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60" windowWidth="19320" windowHeight="13170" firstSheet="6" activeTab="8"/>
  </bookViews>
  <sheets>
    <sheet name="JAP-4, p1-4 ECOS Summary" sheetId="1" r:id="rId1"/>
    <sheet name="JAP-4, p5 Energy Cost Summary" sheetId="2" r:id="rId2"/>
    <sheet name="JAP-4, p6 Demand Cost Summary" sheetId="3" r:id="rId3"/>
    <sheet name="JAP-4, p7 Customer Cost Summary" sheetId="4" r:id="rId4"/>
    <sheet name="JAP-4, p8 Revenue Detail" sheetId="5" r:id="rId5"/>
    <sheet name="JAP-4, p9-11 Expense Detail" sheetId="6" r:id="rId6"/>
    <sheet name="JAP-4, p12-14 Ratebase Detail" sheetId="7" r:id="rId7"/>
    <sheet name="JAP-4, p15 Basic Charge Detail" sheetId="11" r:id="rId8"/>
    <sheet name="JAP-4, p16 Sch 40 Feeder Detail" sheetId="8" r:id="rId9"/>
    <sheet name="JAP-4, p17 Sch 40 Sub OM Detail" sheetId="9" r:id="rId10"/>
    <sheet name="JAP-4, p18 Sch 40 Sub AG Detail" sheetId="10" r:id="rId11"/>
  </sheets>
  <definedNames>
    <definedName name="_xlnm.Print_Area" localSheetId="6">'JAP-4, p12-14 Ratebase Detail'!$A$1:$O$156</definedName>
    <definedName name="_xlnm.Print_Area" localSheetId="0">'JAP-4, p1-4 ECOS Summary'!$A$1:$N$194</definedName>
    <definedName name="_xlnm.Print_Area" localSheetId="7">'JAP-4, p15 Basic Charge Detail'!$A$1:$M$62</definedName>
    <definedName name="_xlnm.Print_Area" localSheetId="8">'JAP-4, p16 Sch 40 Feeder Detail'!$A$1:$E$35</definedName>
    <definedName name="_xlnm.Print_Area" localSheetId="9">'JAP-4, p17 Sch 40 Sub OM Detail'!$A$1:$C$31</definedName>
    <definedName name="_xlnm.Print_Area" localSheetId="10">'JAP-4, p18 Sch 40 Sub AG Detail'!$A$1:$C$25</definedName>
    <definedName name="_xlnm.Print_Area" localSheetId="1">'JAP-4, p5 Energy Cost Summary'!$A$1:$M$26</definedName>
    <definedName name="_xlnm.Print_Area" localSheetId="2">'JAP-4, p6 Demand Cost Summary'!$A$1:$M$26</definedName>
    <definedName name="_xlnm.Print_Area" localSheetId="3">'JAP-4, p7 Customer Cost Summary'!$A$1:$N$26</definedName>
    <definedName name="_xlnm.Print_Area" localSheetId="4">'JAP-4, p8 Revenue Detail'!$A$1:$O$54</definedName>
    <definedName name="_xlnm.Print_Area" localSheetId="5">'JAP-4, p9-11 Expense Detail'!$A$1:$O$143</definedName>
    <definedName name="_xlnm.Print_Titles" localSheetId="6">'JAP-4, p12-14 Ratebase Detail'!$1:$7</definedName>
    <definedName name="_xlnm.Print_Titles" localSheetId="5">'JAP-4, p9-11 Expense Detail'!$1:$7</definedName>
  </definedNames>
  <calcPr calcId="125725" iterate="1" calcOnSave="0"/>
</workbook>
</file>

<file path=xl/calcChain.xml><?xml version="1.0" encoding="utf-8"?>
<calcChain xmlns="http://schemas.openxmlformats.org/spreadsheetml/2006/main">
  <c r="E13" i="8"/>
  <c r="E12"/>
  <c r="M6" i="11"/>
  <c r="L6"/>
  <c r="K6"/>
  <c r="J6"/>
  <c r="I6"/>
  <c r="H6"/>
  <c r="G6"/>
  <c r="F6"/>
  <c r="E6"/>
  <c r="D6"/>
  <c r="O6" i="7"/>
  <c r="N6"/>
  <c r="M6"/>
  <c r="L6"/>
  <c r="K6"/>
  <c r="J6"/>
  <c r="I6"/>
  <c r="H6"/>
  <c r="G6"/>
  <c r="F6"/>
  <c r="O6" i="6"/>
  <c r="N6"/>
  <c r="M6"/>
  <c r="L6"/>
  <c r="K6"/>
  <c r="J6"/>
  <c r="I6"/>
  <c r="H6"/>
  <c r="G6"/>
  <c r="F6"/>
  <c r="O6" i="5"/>
  <c r="N6"/>
  <c r="M6"/>
  <c r="L6"/>
  <c r="K6"/>
  <c r="J6"/>
  <c r="I6"/>
  <c r="H6"/>
  <c r="G6"/>
  <c r="F6"/>
  <c r="N6" i="4"/>
  <c r="M6"/>
  <c r="L6"/>
  <c r="K6"/>
  <c r="J6"/>
  <c r="I6"/>
  <c r="H6"/>
  <c r="G6"/>
  <c r="F6"/>
  <c r="E6"/>
  <c r="M6" i="3"/>
  <c r="L6"/>
  <c r="K6"/>
  <c r="J6"/>
  <c r="I6"/>
  <c r="H6"/>
  <c r="G6"/>
  <c r="F6"/>
  <c r="E6"/>
  <c r="D6"/>
  <c r="M6" i="2"/>
  <c r="L6"/>
  <c r="K6"/>
  <c r="J6"/>
  <c r="I6"/>
  <c r="H6"/>
  <c r="G6"/>
  <c r="F6"/>
  <c r="E6"/>
  <c r="D6"/>
  <c r="C20" i="10"/>
  <c r="C19"/>
  <c r="C18"/>
  <c r="C17"/>
  <c r="C10" i="9"/>
  <c r="E29" i="8"/>
  <c r="C29"/>
  <c r="N210" i="1"/>
  <c r="M210"/>
  <c r="L210"/>
  <c r="K210"/>
  <c r="J210"/>
  <c r="I210"/>
  <c r="H210"/>
  <c r="G210"/>
  <c r="F210"/>
  <c r="E210"/>
  <c r="N209"/>
  <c r="M209"/>
  <c r="L209"/>
  <c r="K209"/>
  <c r="J209"/>
  <c r="I209"/>
  <c r="H209"/>
  <c r="G209"/>
  <c r="F209"/>
  <c r="E209"/>
  <c r="N208"/>
  <c r="M208"/>
  <c r="L208"/>
  <c r="K208"/>
  <c r="J208"/>
  <c r="I208"/>
  <c r="H208"/>
  <c r="G208"/>
  <c r="F208"/>
  <c r="E208"/>
  <c r="N207"/>
  <c r="M207"/>
  <c r="L207"/>
  <c r="K207"/>
  <c r="J207"/>
  <c r="I207"/>
  <c r="H207"/>
  <c r="G207"/>
  <c r="F207"/>
  <c r="E207"/>
  <c r="C210"/>
  <c r="C215" s="1"/>
  <c r="C209"/>
  <c r="C208"/>
  <c r="C213" s="1"/>
  <c r="C207"/>
  <c r="A10" i="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10" i="9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D29" i="8"/>
  <c r="D30" s="1"/>
  <c r="C27"/>
  <c r="C31" s="1"/>
  <c r="E18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C55" i="11"/>
  <c r="C51"/>
  <c r="C50"/>
  <c r="C49"/>
  <c r="C47"/>
  <c r="C46"/>
  <c r="C45"/>
  <c r="C44"/>
  <c r="C42"/>
  <c r="C41"/>
  <c r="C39"/>
  <c r="C38"/>
  <c r="C37"/>
  <c r="M35"/>
  <c r="M53" s="1"/>
  <c r="M61" s="1"/>
  <c r="L35"/>
  <c r="L53" s="1"/>
  <c r="L61" s="1"/>
  <c r="K35"/>
  <c r="K53" s="1"/>
  <c r="K61" s="1"/>
  <c r="J35"/>
  <c r="J53" s="1"/>
  <c r="J61" s="1"/>
  <c r="I35"/>
  <c r="I53" s="1"/>
  <c r="I61" s="1"/>
  <c r="H35"/>
  <c r="H53" s="1"/>
  <c r="H61" s="1"/>
  <c r="G35"/>
  <c r="G53" s="1"/>
  <c r="G61" s="1"/>
  <c r="F35"/>
  <c r="F53" s="1"/>
  <c r="F61" s="1"/>
  <c r="E35"/>
  <c r="E53" s="1"/>
  <c r="E61" s="1"/>
  <c r="D35"/>
  <c r="D53" s="1"/>
  <c r="D61" s="1"/>
  <c r="C34"/>
  <c r="C33"/>
  <c r="C32"/>
  <c r="C31"/>
  <c r="C30"/>
  <c r="C29"/>
  <c r="C28"/>
  <c r="C27"/>
  <c r="C22"/>
  <c r="C21"/>
  <c r="C19"/>
  <c r="C17"/>
  <c r="C16"/>
  <c r="C15"/>
  <c r="M13"/>
  <c r="M24" s="1"/>
  <c r="M60" s="1"/>
  <c r="M62" s="1"/>
  <c r="L13"/>
  <c r="L24" s="1"/>
  <c r="L60" s="1"/>
  <c r="L62" s="1"/>
  <c r="K13"/>
  <c r="K24" s="1"/>
  <c r="K60" s="1"/>
  <c r="K62" s="1"/>
  <c r="J13"/>
  <c r="J24" s="1"/>
  <c r="J60" s="1"/>
  <c r="J62" s="1"/>
  <c r="I13"/>
  <c r="I24" s="1"/>
  <c r="I60" s="1"/>
  <c r="I62" s="1"/>
  <c r="H13"/>
  <c r="H24" s="1"/>
  <c r="H60" s="1"/>
  <c r="H62" s="1"/>
  <c r="G13"/>
  <c r="G24" s="1"/>
  <c r="G60" s="1"/>
  <c r="G62" s="1"/>
  <c r="F13"/>
  <c r="F24" s="1"/>
  <c r="F60" s="1"/>
  <c r="F62" s="1"/>
  <c r="E13"/>
  <c r="E24" s="1"/>
  <c r="E60" s="1"/>
  <c r="E62" s="1"/>
  <c r="D13"/>
  <c r="D24" s="1"/>
  <c r="D60" s="1"/>
  <c r="D62" s="1"/>
  <c r="C12"/>
  <c r="C11"/>
  <c r="C10"/>
  <c r="C9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O152" i="7"/>
  <c r="N152"/>
  <c r="M152"/>
  <c r="L152"/>
  <c r="K152"/>
  <c r="J152"/>
  <c r="I152"/>
  <c r="H152"/>
  <c r="G152"/>
  <c r="F152"/>
  <c r="E152"/>
  <c r="O131"/>
  <c r="N131"/>
  <c r="M131"/>
  <c r="L131"/>
  <c r="K131"/>
  <c r="J131"/>
  <c r="I131"/>
  <c r="H131"/>
  <c r="G131"/>
  <c r="F131"/>
  <c r="E131"/>
  <c r="O124"/>
  <c r="N124"/>
  <c r="M124"/>
  <c r="L124"/>
  <c r="K124"/>
  <c r="J124"/>
  <c r="I124"/>
  <c r="H124"/>
  <c r="G124"/>
  <c r="F124"/>
  <c r="E124"/>
  <c r="O119"/>
  <c r="N119"/>
  <c r="M119"/>
  <c r="L119"/>
  <c r="K119"/>
  <c r="J119"/>
  <c r="I119"/>
  <c r="H119"/>
  <c r="G119"/>
  <c r="F119"/>
  <c r="E119"/>
  <c r="C13" i="8" s="1"/>
  <c r="D13" s="1"/>
  <c r="O91" i="7"/>
  <c r="N91"/>
  <c r="M91"/>
  <c r="L91"/>
  <c r="K91"/>
  <c r="J91"/>
  <c r="I91"/>
  <c r="H91"/>
  <c r="G91"/>
  <c r="F91"/>
  <c r="E91"/>
  <c r="O85"/>
  <c r="N85"/>
  <c r="M85"/>
  <c r="L85"/>
  <c r="K85"/>
  <c r="J85"/>
  <c r="I85"/>
  <c r="H85"/>
  <c r="G85"/>
  <c r="F85"/>
  <c r="E85"/>
  <c r="O79"/>
  <c r="N79"/>
  <c r="M79"/>
  <c r="L79"/>
  <c r="K79"/>
  <c r="J79"/>
  <c r="I79"/>
  <c r="H79"/>
  <c r="G79"/>
  <c r="F79"/>
  <c r="E79"/>
  <c r="O71"/>
  <c r="N71"/>
  <c r="M71"/>
  <c r="L71"/>
  <c r="K71"/>
  <c r="J71"/>
  <c r="I71"/>
  <c r="H71"/>
  <c r="G71"/>
  <c r="F71"/>
  <c r="E71"/>
  <c r="O57"/>
  <c r="N57"/>
  <c r="M57"/>
  <c r="L57"/>
  <c r="K57"/>
  <c r="J57"/>
  <c r="I57"/>
  <c r="H57"/>
  <c r="G57"/>
  <c r="F57"/>
  <c r="E57"/>
  <c r="C23" i="9" s="1"/>
  <c r="O26" i="7"/>
  <c r="N26"/>
  <c r="M26"/>
  <c r="L26"/>
  <c r="K26"/>
  <c r="J26"/>
  <c r="I26"/>
  <c r="H26"/>
  <c r="G26"/>
  <c r="F26"/>
  <c r="E26"/>
  <c r="O20"/>
  <c r="N20"/>
  <c r="M20"/>
  <c r="L20"/>
  <c r="K20"/>
  <c r="J20"/>
  <c r="I20"/>
  <c r="H20"/>
  <c r="G20"/>
  <c r="F20"/>
  <c r="E20"/>
  <c r="O14"/>
  <c r="N14"/>
  <c r="M14"/>
  <c r="L14"/>
  <c r="K14"/>
  <c r="J14"/>
  <c r="I14"/>
  <c r="H14"/>
  <c r="G14"/>
  <c r="F14"/>
  <c r="E14"/>
  <c r="C14" i="9" s="1"/>
  <c r="A9" i="7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O141" i="6"/>
  <c r="N141"/>
  <c r="M141"/>
  <c r="L141"/>
  <c r="K141"/>
  <c r="J141"/>
  <c r="I141"/>
  <c r="H141"/>
  <c r="G141"/>
  <c r="F141"/>
  <c r="E141"/>
  <c r="O135"/>
  <c r="N135"/>
  <c r="M135"/>
  <c r="L135"/>
  <c r="K135"/>
  <c r="J135"/>
  <c r="I135"/>
  <c r="H135"/>
  <c r="G135"/>
  <c r="F135"/>
  <c r="E135"/>
  <c r="O127"/>
  <c r="N127"/>
  <c r="M127"/>
  <c r="L127"/>
  <c r="K127"/>
  <c r="J127"/>
  <c r="I127"/>
  <c r="H127"/>
  <c r="G127"/>
  <c r="F127"/>
  <c r="E127"/>
  <c r="O102"/>
  <c r="N102"/>
  <c r="M102"/>
  <c r="L102"/>
  <c r="K102"/>
  <c r="J102"/>
  <c r="I102"/>
  <c r="H102"/>
  <c r="G102"/>
  <c r="F102"/>
  <c r="E102"/>
  <c r="O93"/>
  <c r="N93"/>
  <c r="M93"/>
  <c r="L93"/>
  <c r="K93"/>
  <c r="J93"/>
  <c r="I93"/>
  <c r="H93"/>
  <c r="G93"/>
  <c r="F93"/>
  <c r="E93"/>
  <c r="C20" i="9" s="1"/>
  <c r="O82" i="6"/>
  <c r="N82"/>
  <c r="M82"/>
  <c r="L82"/>
  <c r="K82"/>
  <c r="J82"/>
  <c r="I82"/>
  <c r="H82"/>
  <c r="G82"/>
  <c r="F82"/>
  <c r="E82"/>
  <c r="O69"/>
  <c r="N69"/>
  <c r="M69"/>
  <c r="L69"/>
  <c r="K69"/>
  <c r="J69"/>
  <c r="I69"/>
  <c r="H69"/>
  <c r="G69"/>
  <c r="F69"/>
  <c r="E69"/>
  <c r="O58"/>
  <c r="N58"/>
  <c r="M58"/>
  <c r="L58"/>
  <c r="K58"/>
  <c r="J58"/>
  <c r="I58"/>
  <c r="H58"/>
  <c r="G58"/>
  <c r="F58"/>
  <c r="E58"/>
  <c r="O50"/>
  <c r="N50"/>
  <c r="M50"/>
  <c r="L50"/>
  <c r="K50"/>
  <c r="J50"/>
  <c r="I50"/>
  <c r="H50"/>
  <c r="G50"/>
  <c r="F50"/>
  <c r="E50"/>
  <c r="O37"/>
  <c r="N37"/>
  <c r="M37"/>
  <c r="L37"/>
  <c r="K37"/>
  <c r="J37"/>
  <c r="I37"/>
  <c r="H37"/>
  <c r="G37"/>
  <c r="F37"/>
  <c r="E37"/>
  <c r="O33"/>
  <c r="N33"/>
  <c r="M33"/>
  <c r="L33"/>
  <c r="K33"/>
  <c r="J33"/>
  <c r="I33"/>
  <c r="H33"/>
  <c r="G33"/>
  <c r="F33"/>
  <c r="E33"/>
  <c r="O26"/>
  <c r="N26"/>
  <c r="M26"/>
  <c r="L26"/>
  <c r="K26"/>
  <c r="J26"/>
  <c r="I26"/>
  <c r="H26"/>
  <c r="G26"/>
  <c r="F26"/>
  <c r="E26"/>
  <c r="O22"/>
  <c r="N22"/>
  <c r="M22"/>
  <c r="L22"/>
  <c r="K22"/>
  <c r="J22"/>
  <c r="I22"/>
  <c r="H22"/>
  <c r="G22"/>
  <c r="F22"/>
  <c r="E22"/>
  <c r="O15"/>
  <c r="N15"/>
  <c r="M15"/>
  <c r="L15"/>
  <c r="K15"/>
  <c r="J15"/>
  <c r="I15"/>
  <c r="H15"/>
  <c r="G15"/>
  <c r="F15"/>
  <c r="E15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O52" i="5"/>
  <c r="N52"/>
  <c r="M52"/>
  <c r="L52"/>
  <c r="K52"/>
  <c r="J52"/>
  <c r="I52"/>
  <c r="H52"/>
  <c r="G52"/>
  <c r="F52"/>
  <c r="E52"/>
  <c r="O19"/>
  <c r="O54" s="1"/>
  <c r="N19"/>
  <c r="M19"/>
  <c r="M54" s="1"/>
  <c r="L19"/>
  <c r="K19"/>
  <c r="K54" s="1"/>
  <c r="J19"/>
  <c r="I19"/>
  <c r="I54" s="1"/>
  <c r="H19"/>
  <c r="G19"/>
  <c r="G54" s="1"/>
  <c r="F19"/>
  <c r="E19"/>
  <c r="E54" s="1"/>
  <c r="O15"/>
  <c r="N15"/>
  <c r="M15"/>
  <c r="L15"/>
  <c r="K15"/>
  <c r="J15"/>
  <c r="I15"/>
  <c r="H15"/>
  <c r="G15"/>
  <c r="F15"/>
  <c r="E15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9"/>
  <c r="N26" i="4"/>
  <c r="M26"/>
  <c r="L26"/>
  <c r="K26"/>
  <c r="J26"/>
  <c r="I26"/>
  <c r="H26"/>
  <c r="G26"/>
  <c r="F26"/>
  <c r="E26"/>
  <c r="D26"/>
  <c r="N14"/>
  <c r="N18" s="1"/>
  <c r="M14"/>
  <c r="M18" s="1"/>
  <c r="L14"/>
  <c r="L18" s="1"/>
  <c r="K14"/>
  <c r="K18" s="1"/>
  <c r="J14"/>
  <c r="J18" s="1"/>
  <c r="I14"/>
  <c r="I18" s="1"/>
  <c r="H14"/>
  <c r="H18" s="1"/>
  <c r="G14"/>
  <c r="G18" s="1"/>
  <c r="F14"/>
  <c r="F18" s="1"/>
  <c r="E14"/>
  <c r="E18" s="1"/>
  <c r="D14"/>
  <c r="D18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M26" i="3"/>
  <c r="L26"/>
  <c r="K26"/>
  <c r="J26"/>
  <c r="I26"/>
  <c r="H26"/>
  <c r="G26"/>
  <c r="F26"/>
  <c r="E26"/>
  <c r="D26"/>
  <c r="C26"/>
  <c r="M14"/>
  <c r="M18" s="1"/>
  <c r="L14"/>
  <c r="L18" s="1"/>
  <c r="K14"/>
  <c r="K18" s="1"/>
  <c r="J14"/>
  <c r="J18" s="1"/>
  <c r="I14"/>
  <c r="I18" s="1"/>
  <c r="H14"/>
  <c r="H18" s="1"/>
  <c r="G14"/>
  <c r="G18" s="1"/>
  <c r="F14"/>
  <c r="F18" s="1"/>
  <c r="E14"/>
  <c r="E18" s="1"/>
  <c r="D14"/>
  <c r="D18" s="1"/>
  <c r="C14"/>
  <c r="C18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M26" i="2"/>
  <c r="L26"/>
  <c r="K26"/>
  <c r="J26"/>
  <c r="I26"/>
  <c r="H26"/>
  <c r="G26"/>
  <c r="F26"/>
  <c r="E26"/>
  <c r="D26"/>
  <c r="C26"/>
  <c r="M14"/>
  <c r="M18" s="1"/>
  <c r="L14"/>
  <c r="L18" s="1"/>
  <c r="K14"/>
  <c r="K18" s="1"/>
  <c r="J14"/>
  <c r="J18" s="1"/>
  <c r="I14"/>
  <c r="I18" s="1"/>
  <c r="H14"/>
  <c r="H18" s="1"/>
  <c r="G14"/>
  <c r="G18" s="1"/>
  <c r="F14"/>
  <c r="F18" s="1"/>
  <c r="E14"/>
  <c r="E18" s="1"/>
  <c r="D14"/>
  <c r="D18" s="1"/>
  <c r="C14"/>
  <c r="C18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D217" i="1"/>
  <c r="C214"/>
  <c r="C212"/>
  <c r="D209"/>
  <c r="N214" s="1"/>
  <c r="N46" s="1"/>
  <c r="D207"/>
  <c r="N212" s="1"/>
  <c r="D204"/>
  <c r="B193"/>
  <c r="N191"/>
  <c r="M191"/>
  <c r="L191"/>
  <c r="K191"/>
  <c r="J191"/>
  <c r="I191"/>
  <c r="H191"/>
  <c r="G191"/>
  <c r="F191"/>
  <c r="E191"/>
  <c r="D191"/>
  <c r="B191"/>
  <c r="N190"/>
  <c r="M190"/>
  <c r="L190"/>
  <c r="K190"/>
  <c r="J190"/>
  <c r="I190"/>
  <c r="H190"/>
  <c r="G190"/>
  <c r="F190"/>
  <c r="E190"/>
  <c r="D190"/>
  <c r="B190"/>
  <c r="N189"/>
  <c r="M189"/>
  <c r="L189"/>
  <c r="K189"/>
  <c r="J189"/>
  <c r="I189"/>
  <c r="H189"/>
  <c r="G189"/>
  <c r="F189"/>
  <c r="E189"/>
  <c r="D189"/>
  <c r="B189"/>
  <c r="N188"/>
  <c r="M188"/>
  <c r="L188"/>
  <c r="K188"/>
  <c r="J188"/>
  <c r="I188"/>
  <c r="H188"/>
  <c r="G188"/>
  <c r="F188"/>
  <c r="E188"/>
  <c r="D188"/>
  <c r="B188"/>
  <c r="N187"/>
  <c r="M187"/>
  <c r="L187"/>
  <c r="K187"/>
  <c r="J187"/>
  <c r="I187"/>
  <c r="H187"/>
  <c r="G187"/>
  <c r="F187"/>
  <c r="E187"/>
  <c r="D187"/>
  <c r="B187"/>
  <c r="N186"/>
  <c r="M186"/>
  <c r="L186"/>
  <c r="K186"/>
  <c r="J186"/>
  <c r="I186"/>
  <c r="H186"/>
  <c r="G186"/>
  <c r="F186"/>
  <c r="E186"/>
  <c r="D186"/>
  <c r="B186"/>
  <c r="B183"/>
  <c r="N182"/>
  <c r="M182"/>
  <c r="L182"/>
  <c r="K182"/>
  <c r="J182"/>
  <c r="I182"/>
  <c r="H182"/>
  <c r="G182"/>
  <c r="F182"/>
  <c r="E182"/>
  <c r="D182"/>
  <c r="B182"/>
  <c r="N181"/>
  <c r="M181"/>
  <c r="L181"/>
  <c r="K181"/>
  <c r="J181"/>
  <c r="I181"/>
  <c r="H181"/>
  <c r="G181"/>
  <c r="F181"/>
  <c r="E181"/>
  <c r="D181"/>
  <c r="B181"/>
  <c r="N180"/>
  <c r="M180"/>
  <c r="L180"/>
  <c r="K180"/>
  <c r="J180"/>
  <c r="I180"/>
  <c r="H180"/>
  <c r="G180"/>
  <c r="F180"/>
  <c r="E180"/>
  <c r="D180"/>
  <c r="B180"/>
  <c r="N179"/>
  <c r="M179"/>
  <c r="L179"/>
  <c r="K179"/>
  <c r="J179"/>
  <c r="I179"/>
  <c r="H179"/>
  <c r="G179"/>
  <c r="F179"/>
  <c r="E179"/>
  <c r="D179"/>
  <c r="B179"/>
  <c r="N178"/>
  <c r="M178"/>
  <c r="L178"/>
  <c r="K178"/>
  <c r="J178"/>
  <c r="I178"/>
  <c r="H178"/>
  <c r="G178"/>
  <c r="F178"/>
  <c r="E178"/>
  <c r="D178"/>
  <c r="B178"/>
  <c r="N177"/>
  <c r="M177"/>
  <c r="L177"/>
  <c r="K177"/>
  <c r="J177"/>
  <c r="I177"/>
  <c r="H177"/>
  <c r="G177"/>
  <c r="F177"/>
  <c r="E177"/>
  <c r="D177"/>
  <c r="B177"/>
  <c r="B175"/>
  <c r="B174"/>
  <c r="N173"/>
  <c r="M173"/>
  <c r="L173"/>
  <c r="K173"/>
  <c r="J173"/>
  <c r="I173"/>
  <c r="H173"/>
  <c r="G173"/>
  <c r="F173"/>
  <c r="E173"/>
  <c r="D173"/>
  <c r="B173"/>
  <c r="N172"/>
  <c r="M172"/>
  <c r="L172"/>
  <c r="K172"/>
  <c r="J172"/>
  <c r="I172"/>
  <c r="H172"/>
  <c r="G172"/>
  <c r="F172"/>
  <c r="E172"/>
  <c r="D172"/>
  <c r="B172"/>
  <c r="N171"/>
  <c r="M171"/>
  <c r="L171"/>
  <c r="K171"/>
  <c r="J171"/>
  <c r="I171"/>
  <c r="H171"/>
  <c r="G171"/>
  <c r="F171"/>
  <c r="E171"/>
  <c r="D171"/>
  <c r="B171"/>
  <c r="N170"/>
  <c r="M170"/>
  <c r="L170"/>
  <c r="K170"/>
  <c r="J170"/>
  <c r="I170"/>
  <c r="H170"/>
  <c r="G170"/>
  <c r="F170"/>
  <c r="E170"/>
  <c r="D170"/>
  <c r="B170"/>
  <c r="N169"/>
  <c r="M169"/>
  <c r="L169"/>
  <c r="K169"/>
  <c r="J169"/>
  <c r="I169"/>
  <c r="H169"/>
  <c r="G169"/>
  <c r="F169"/>
  <c r="E169"/>
  <c r="D169"/>
  <c r="B169"/>
  <c r="N168"/>
  <c r="M168"/>
  <c r="L168"/>
  <c r="K168"/>
  <c r="J168"/>
  <c r="I168"/>
  <c r="H168"/>
  <c r="G168"/>
  <c r="F168"/>
  <c r="E168"/>
  <c r="D168"/>
  <c r="B168"/>
  <c r="B166"/>
  <c r="B165"/>
  <c r="N164"/>
  <c r="M164"/>
  <c r="L164"/>
  <c r="K164"/>
  <c r="J164"/>
  <c r="I164"/>
  <c r="H164"/>
  <c r="G164"/>
  <c r="F164"/>
  <c r="E164"/>
  <c r="D164"/>
  <c r="B164"/>
  <c r="N163"/>
  <c r="M163"/>
  <c r="L163"/>
  <c r="K163"/>
  <c r="J163"/>
  <c r="I163"/>
  <c r="H163"/>
  <c r="G163"/>
  <c r="F163"/>
  <c r="E163"/>
  <c r="D163"/>
  <c r="B163"/>
  <c r="N162"/>
  <c r="M162"/>
  <c r="L162"/>
  <c r="K162"/>
  <c r="J162"/>
  <c r="I162"/>
  <c r="H162"/>
  <c r="G162"/>
  <c r="F162"/>
  <c r="E162"/>
  <c r="D162"/>
  <c r="B162"/>
  <c r="N161"/>
  <c r="M161"/>
  <c r="L161"/>
  <c r="K161"/>
  <c r="J161"/>
  <c r="I161"/>
  <c r="H161"/>
  <c r="G161"/>
  <c r="F161"/>
  <c r="E161"/>
  <c r="D161"/>
  <c r="B161"/>
  <c r="N160"/>
  <c r="M160"/>
  <c r="L160"/>
  <c r="K160"/>
  <c r="J160"/>
  <c r="I160"/>
  <c r="H160"/>
  <c r="G160"/>
  <c r="F160"/>
  <c r="E160"/>
  <c r="D160"/>
  <c r="B160"/>
  <c r="N159"/>
  <c r="M159"/>
  <c r="L159"/>
  <c r="K159"/>
  <c r="J159"/>
  <c r="I159"/>
  <c r="H159"/>
  <c r="G159"/>
  <c r="F159"/>
  <c r="E159"/>
  <c r="D159"/>
  <c r="B159"/>
  <c r="A159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N155"/>
  <c r="M155"/>
  <c r="L155"/>
  <c r="K155"/>
  <c r="J155"/>
  <c r="I155"/>
  <c r="H155"/>
  <c r="G155"/>
  <c r="F155"/>
  <c r="E155"/>
  <c r="A151"/>
  <c r="N148"/>
  <c r="N192" s="1"/>
  <c r="M148"/>
  <c r="M192" s="1"/>
  <c r="L148"/>
  <c r="L192" s="1"/>
  <c r="K148"/>
  <c r="K192" s="1"/>
  <c r="J148"/>
  <c r="J192" s="1"/>
  <c r="I148"/>
  <c r="I192" s="1"/>
  <c r="H148"/>
  <c r="H192" s="1"/>
  <c r="G148"/>
  <c r="G192" s="1"/>
  <c r="F148"/>
  <c r="F192" s="1"/>
  <c r="E148"/>
  <c r="B147"/>
  <c r="B146"/>
  <c r="B145"/>
  <c r="B144"/>
  <c r="B143"/>
  <c r="B142"/>
  <c r="N139"/>
  <c r="N183" s="1"/>
  <c r="M139"/>
  <c r="M183" s="1"/>
  <c r="L139"/>
  <c r="L183" s="1"/>
  <c r="K139"/>
  <c r="K183" s="1"/>
  <c r="J139"/>
  <c r="J183" s="1"/>
  <c r="I139"/>
  <c r="I183" s="1"/>
  <c r="H139"/>
  <c r="H183" s="1"/>
  <c r="G139"/>
  <c r="G183" s="1"/>
  <c r="F139"/>
  <c r="F183" s="1"/>
  <c r="E139"/>
  <c r="E183" s="1"/>
  <c r="D139"/>
  <c r="D183" s="1"/>
  <c r="C139"/>
  <c r="B139" s="1"/>
  <c r="B138"/>
  <c r="B137"/>
  <c r="B136"/>
  <c r="B135"/>
  <c r="B134"/>
  <c r="B133"/>
  <c r="B131"/>
  <c r="N130"/>
  <c r="N174" s="1"/>
  <c r="M130"/>
  <c r="M174" s="1"/>
  <c r="L130"/>
  <c r="L174" s="1"/>
  <c r="K130"/>
  <c r="K174" s="1"/>
  <c r="J130"/>
  <c r="J174" s="1"/>
  <c r="I130"/>
  <c r="I174" s="1"/>
  <c r="H130"/>
  <c r="H174" s="1"/>
  <c r="G130"/>
  <c r="G174" s="1"/>
  <c r="F130"/>
  <c r="F174" s="1"/>
  <c r="E130"/>
  <c r="E174" s="1"/>
  <c r="D130"/>
  <c r="D174" s="1"/>
  <c r="C130"/>
  <c r="B130" s="1"/>
  <c r="B129"/>
  <c r="B128"/>
  <c r="B127"/>
  <c r="B126"/>
  <c r="B125"/>
  <c r="B124"/>
  <c r="B122"/>
  <c r="N121"/>
  <c r="N165" s="1"/>
  <c r="M121"/>
  <c r="M165" s="1"/>
  <c r="L121"/>
  <c r="L165" s="1"/>
  <c r="K121"/>
  <c r="K165" s="1"/>
  <c r="J121"/>
  <c r="J165" s="1"/>
  <c r="I121"/>
  <c r="I165" s="1"/>
  <c r="H121"/>
  <c r="H165" s="1"/>
  <c r="G121"/>
  <c r="G165" s="1"/>
  <c r="F121"/>
  <c r="F165" s="1"/>
  <c r="E121"/>
  <c r="E165" s="1"/>
  <c r="D121"/>
  <c r="D165" s="1"/>
  <c r="C121"/>
  <c r="B121" s="1"/>
  <c r="B120"/>
  <c r="B119"/>
  <c r="B118"/>
  <c r="B117"/>
  <c r="B116"/>
  <c r="B115"/>
  <c r="A115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N111"/>
  <c r="M111"/>
  <c r="L111"/>
  <c r="K111"/>
  <c r="J111"/>
  <c r="I111"/>
  <c r="H111"/>
  <c r="G111"/>
  <c r="F111"/>
  <c r="E111"/>
  <c r="A107"/>
  <c r="A106"/>
  <c r="N104"/>
  <c r="M104"/>
  <c r="L104"/>
  <c r="K104"/>
  <c r="J104"/>
  <c r="I104"/>
  <c r="H104"/>
  <c r="G104"/>
  <c r="F104"/>
  <c r="E104"/>
  <c r="D104" s="1"/>
  <c r="B103"/>
  <c r="N102"/>
  <c r="M102"/>
  <c r="L102"/>
  <c r="K102"/>
  <c r="J102"/>
  <c r="I102"/>
  <c r="H102"/>
  <c r="G102"/>
  <c r="F102"/>
  <c r="E102"/>
  <c r="D101"/>
  <c r="B101"/>
  <c r="D100"/>
  <c r="B100"/>
  <c r="D99"/>
  <c r="B99"/>
  <c r="D98"/>
  <c r="B98"/>
  <c r="D97"/>
  <c r="B97"/>
  <c r="D96"/>
  <c r="D102" s="1"/>
  <c r="B96"/>
  <c r="N93"/>
  <c r="M93"/>
  <c r="L93"/>
  <c r="K93"/>
  <c r="J93"/>
  <c r="I93"/>
  <c r="H93"/>
  <c r="G93"/>
  <c r="F93"/>
  <c r="E93"/>
  <c r="C93"/>
  <c r="B93" s="1"/>
  <c r="D92"/>
  <c r="B92"/>
  <c r="D91"/>
  <c r="B91"/>
  <c r="D90"/>
  <c r="B90"/>
  <c r="D89"/>
  <c r="B89"/>
  <c r="D88"/>
  <c r="B88"/>
  <c r="D87"/>
  <c r="B87"/>
  <c r="B85"/>
  <c r="N84"/>
  <c r="M84"/>
  <c r="L84"/>
  <c r="K84"/>
  <c r="J84"/>
  <c r="I84"/>
  <c r="H84"/>
  <c r="G84"/>
  <c r="F84"/>
  <c r="E84"/>
  <c r="C84"/>
  <c r="B84" s="1"/>
  <c r="D83"/>
  <c r="B83"/>
  <c r="D82"/>
  <c r="B82"/>
  <c r="D81"/>
  <c r="B81"/>
  <c r="D80"/>
  <c r="B80"/>
  <c r="D79"/>
  <c r="B79"/>
  <c r="D78"/>
  <c r="D84" s="1"/>
  <c r="B78"/>
  <c r="B76"/>
  <c r="N75"/>
  <c r="M75"/>
  <c r="L75"/>
  <c r="K75"/>
  <c r="J75"/>
  <c r="I75"/>
  <c r="H75"/>
  <c r="G75"/>
  <c r="F75"/>
  <c r="E75"/>
  <c r="C75"/>
  <c r="B75" s="1"/>
  <c r="D74"/>
  <c r="B74"/>
  <c r="D73"/>
  <c r="B73"/>
  <c r="D72"/>
  <c r="B72"/>
  <c r="D71"/>
  <c r="B71"/>
  <c r="D70"/>
  <c r="B70"/>
  <c r="D69"/>
  <c r="B69"/>
  <c r="A69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N65"/>
  <c r="M65"/>
  <c r="L65"/>
  <c r="K65"/>
  <c r="J65"/>
  <c r="I65"/>
  <c r="H65"/>
  <c r="G65"/>
  <c r="F65"/>
  <c r="E65"/>
  <c r="A61"/>
  <c r="A60"/>
  <c r="N50"/>
  <c r="M50"/>
  <c r="L50"/>
  <c r="K50"/>
  <c r="J50"/>
  <c r="I50"/>
  <c r="H50"/>
  <c r="G50"/>
  <c r="F50"/>
  <c r="E50"/>
  <c r="N45"/>
  <c r="M45"/>
  <c r="L45"/>
  <c r="K45"/>
  <c r="J45"/>
  <c r="I45"/>
  <c r="H45"/>
  <c r="G45"/>
  <c r="F45"/>
  <c r="E45"/>
  <c r="N39"/>
  <c r="N51" s="1"/>
  <c r="M39"/>
  <c r="M51" s="1"/>
  <c r="L39"/>
  <c r="L51" s="1"/>
  <c r="K39"/>
  <c r="K51" s="1"/>
  <c r="J39"/>
  <c r="J51" s="1"/>
  <c r="I39"/>
  <c r="I51" s="1"/>
  <c r="H39"/>
  <c r="H51" s="1"/>
  <c r="G39"/>
  <c r="G51" s="1"/>
  <c r="F39"/>
  <c r="F51" s="1"/>
  <c r="E39"/>
  <c r="N26"/>
  <c r="M26"/>
  <c r="L26"/>
  <c r="K26"/>
  <c r="J26"/>
  <c r="I26"/>
  <c r="H26"/>
  <c r="G26"/>
  <c r="F26"/>
  <c r="E26"/>
  <c r="D25"/>
  <c r="D24"/>
  <c r="D23"/>
  <c r="D22"/>
  <c r="N19"/>
  <c r="N28" s="1"/>
  <c r="M19"/>
  <c r="M28" s="1"/>
  <c r="L19"/>
  <c r="L28" s="1"/>
  <c r="K19"/>
  <c r="K28" s="1"/>
  <c r="J19"/>
  <c r="J28" s="1"/>
  <c r="I19"/>
  <c r="I28" s="1"/>
  <c r="H19"/>
  <c r="H28" s="1"/>
  <c r="G19"/>
  <c r="G28" s="1"/>
  <c r="F19"/>
  <c r="F28" s="1"/>
  <c r="E19"/>
  <c r="E28" s="1"/>
  <c r="D18"/>
  <c r="D17"/>
  <c r="D16"/>
  <c r="N13"/>
  <c r="N33" s="1"/>
  <c r="M13"/>
  <c r="M33" s="1"/>
  <c r="L13"/>
  <c r="L33" s="1"/>
  <c r="K13"/>
  <c r="J13"/>
  <c r="J33" s="1"/>
  <c r="I13"/>
  <c r="I33" s="1"/>
  <c r="H13"/>
  <c r="H33" s="1"/>
  <c r="G13"/>
  <c r="F13"/>
  <c r="F33" s="1"/>
  <c r="E13"/>
  <c r="D12"/>
  <c r="D11"/>
  <c r="D10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D208" l="1"/>
  <c r="N213" s="1"/>
  <c r="N44"/>
  <c r="D210"/>
  <c r="N215" s="1"/>
  <c r="N47" s="1"/>
  <c r="C13" i="11"/>
  <c r="E73" i="7"/>
  <c r="C13" i="9" s="1"/>
  <c r="C15" s="1"/>
  <c r="G73" i="7"/>
  <c r="I73"/>
  <c r="K73"/>
  <c r="M73"/>
  <c r="O73"/>
  <c r="F154"/>
  <c r="H154"/>
  <c r="J154"/>
  <c r="L154"/>
  <c r="L156" s="1"/>
  <c r="N154"/>
  <c r="F73"/>
  <c r="H73"/>
  <c r="J73"/>
  <c r="J156" s="1"/>
  <c r="L73"/>
  <c r="N73"/>
  <c r="N156" s="1"/>
  <c r="E154"/>
  <c r="E156" s="1"/>
  <c r="G154"/>
  <c r="G156" s="1"/>
  <c r="I154"/>
  <c r="I156" s="1"/>
  <c r="K154"/>
  <c r="K156" s="1"/>
  <c r="M154"/>
  <c r="M156" s="1"/>
  <c r="O154"/>
  <c r="O156" s="1"/>
  <c r="F104" i="6"/>
  <c r="H104"/>
  <c r="J104"/>
  <c r="L104"/>
  <c r="F84"/>
  <c r="N104"/>
  <c r="E104"/>
  <c r="G104"/>
  <c r="I104"/>
  <c r="K104"/>
  <c r="M104"/>
  <c r="O104"/>
  <c r="F54" i="5"/>
  <c r="H54"/>
  <c r="J54"/>
  <c r="L54"/>
  <c r="N54"/>
  <c r="D148" i="1"/>
  <c r="D192" s="1"/>
  <c r="F29"/>
  <c r="H29"/>
  <c r="J29"/>
  <c r="L29"/>
  <c r="N29"/>
  <c r="D45"/>
  <c r="D13"/>
  <c r="D26"/>
  <c r="D39"/>
  <c r="D75"/>
  <c r="D93"/>
  <c r="C16" i="8" s="1"/>
  <c r="C19" s="1"/>
  <c r="C33" s="1"/>
  <c r="F34" i="1"/>
  <c r="H34"/>
  <c r="J34"/>
  <c r="L34"/>
  <c r="N34"/>
  <c r="N36" s="1"/>
  <c r="N38" s="1"/>
  <c r="N40" s="1"/>
  <c r="N56" s="1"/>
  <c r="D28"/>
  <c r="G52"/>
  <c r="G53" s="1"/>
  <c r="I52"/>
  <c r="I53" s="1"/>
  <c r="K52"/>
  <c r="K53" s="1"/>
  <c r="M52"/>
  <c r="E51"/>
  <c r="D51" s="1"/>
  <c r="M53"/>
  <c r="E29"/>
  <c r="G29"/>
  <c r="I34"/>
  <c r="K29"/>
  <c r="M34"/>
  <c r="F52"/>
  <c r="H52"/>
  <c r="J52"/>
  <c r="L52"/>
  <c r="N52"/>
  <c r="N41"/>
  <c r="E33"/>
  <c r="G33"/>
  <c r="G34" s="1"/>
  <c r="K33"/>
  <c r="K34" s="1"/>
  <c r="D19"/>
  <c r="I29"/>
  <c r="M29"/>
  <c r="D50"/>
  <c r="C13" i="10"/>
  <c r="C14"/>
  <c r="C23"/>
  <c r="C9" i="9"/>
  <c r="C11" s="1"/>
  <c r="C30" i="8"/>
  <c r="E30" s="1"/>
  <c r="E31" s="1"/>
  <c r="E192" i="1"/>
  <c r="E212"/>
  <c r="G212"/>
  <c r="I212"/>
  <c r="K212"/>
  <c r="M212"/>
  <c r="E213"/>
  <c r="G213"/>
  <c r="I213"/>
  <c r="K213"/>
  <c r="M213"/>
  <c r="E214"/>
  <c r="G214"/>
  <c r="G46" s="1"/>
  <c r="I214"/>
  <c r="I46" s="1"/>
  <c r="K214"/>
  <c r="K46" s="1"/>
  <c r="M214"/>
  <c r="M46" s="1"/>
  <c r="G215"/>
  <c r="G47" s="1"/>
  <c r="K215"/>
  <c r="K47" s="1"/>
  <c r="C11" i="10"/>
  <c r="G84" i="6"/>
  <c r="G106" s="1"/>
  <c r="G143" s="1"/>
  <c r="I84"/>
  <c r="I106" s="1"/>
  <c r="I143" s="1"/>
  <c r="K84"/>
  <c r="M84"/>
  <c r="M106" s="1"/>
  <c r="M143" s="1"/>
  <c r="O84"/>
  <c r="F156" i="7"/>
  <c r="C24" i="11"/>
  <c r="C16" i="10"/>
  <c r="C10"/>
  <c r="C12"/>
  <c r="C19" i="9"/>
  <c r="C21" s="1"/>
  <c r="C25" s="1"/>
  <c r="F212" i="1"/>
  <c r="H212"/>
  <c r="J212"/>
  <c r="L212"/>
  <c r="F213"/>
  <c r="H213"/>
  <c r="J213"/>
  <c r="L213"/>
  <c r="F214"/>
  <c r="F46" s="1"/>
  <c r="H214"/>
  <c r="H46" s="1"/>
  <c r="J214"/>
  <c r="J46" s="1"/>
  <c r="L214"/>
  <c r="L46" s="1"/>
  <c r="F215"/>
  <c r="F47" s="1"/>
  <c r="J215"/>
  <c r="J47" s="1"/>
  <c r="H84" i="6"/>
  <c r="J84"/>
  <c r="L84"/>
  <c r="N84"/>
  <c r="E84"/>
  <c r="E106" s="1"/>
  <c r="E143" s="1"/>
  <c r="F106"/>
  <c r="F143" s="1"/>
  <c r="J106"/>
  <c r="J143" s="1"/>
  <c r="C35" i="11"/>
  <c r="C12" i="8"/>
  <c r="N48" i="1" l="1"/>
  <c r="O106" i="6"/>
  <c r="O143" s="1"/>
  <c r="K106"/>
  <c r="K143" s="1"/>
  <c r="N106"/>
  <c r="N143" s="1"/>
  <c r="L106"/>
  <c r="L143" s="1"/>
  <c r="H106"/>
  <c r="H143" s="1"/>
  <c r="L215" i="1"/>
  <c r="L47" s="1"/>
  <c r="H215"/>
  <c r="H47" s="1"/>
  <c r="M215"/>
  <c r="M47" s="1"/>
  <c r="I215"/>
  <c r="I47" s="1"/>
  <c r="E215"/>
  <c r="D29"/>
  <c r="H156" i="7"/>
  <c r="C21" i="10"/>
  <c r="C25" s="1"/>
  <c r="K44" i="1"/>
  <c r="G44"/>
  <c r="G48" s="1"/>
  <c r="D52"/>
  <c r="E52"/>
  <c r="E53" s="1"/>
  <c r="C14" i="8"/>
  <c r="C35"/>
  <c r="C60" i="11"/>
  <c r="D214" i="1"/>
  <c r="E46"/>
  <c r="D46" s="1"/>
  <c r="D212"/>
  <c r="E44"/>
  <c r="L53"/>
  <c r="H53"/>
  <c r="L44"/>
  <c r="L48" s="1"/>
  <c r="D213"/>
  <c r="C53" i="11"/>
  <c r="J44" i="1"/>
  <c r="J48" s="1"/>
  <c r="F44"/>
  <c r="F48" s="1"/>
  <c r="M44"/>
  <c r="M48" s="1"/>
  <c r="I44"/>
  <c r="G36"/>
  <c r="G38" s="1"/>
  <c r="L36"/>
  <c r="L38" s="1"/>
  <c r="L40" s="1"/>
  <c r="F36"/>
  <c r="F38" s="1"/>
  <c r="F40" s="1"/>
  <c r="D14" i="8"/>
  <c r="D15" s="1"/>
  <c r="E15" s="1"/>
  <c r="D12"/>
  <c r="E47" i="1"/>
  <c r="D47" s="1"/>
  <c r="D33"/>
  <c r="E34"/>
  <c r="N58"/>
  <c r="N53"/>
  <c r="N54" s="1"/>
  <c r="J53"/>
  <c r="F53"/>
  <c r="F54" s="1"/>
  <c r="H44"/>
  <c r="K48"/>
  <c r="C17" i="9"/>
  <c r="C27" s="1"/>
  <c r="C31" s="1"/>
  <c r="K36" i="1"/>
  <c r="K38" s="1"/>
  <c r="M36"/>
  <c r="M38" s="1"/>
  <c r="I36"/>
  <c r="I38" s="1"/>
  <c r="J36"/>
  <c r="J38" s="1"/>
  <c r="J40" s="1"/>
  <c r="H48" l="1"/>
  <c r="D215"/>
  <c r="I48"/>
  <c r="H36"/>
  <c r="H38" s="1"/>
  <c r="H40" s="1"/>
  <c r="H41" s="1"/>
  <c r="G54"/>
  <c r="D53"/>
  <c r="J54"/>
  <c r="M54"/>
  <c r="L58"/>
  <c r="K40"/>
  <c r="K58"/>
  <c r="D34"/>
  <c r="E36"/>
  <c r="F56"/>
  <c r="F41"/>
  <c r="J56"/>
  <c r="J41"/>
  <c r="M40"/>
  <c r="M58"/>
  <c r="L41"/>
  <c r="L56"/>
  <c r="G40"/>
  <c r="G58"/>
  <c r="C61" i="11"/>
  <c r="D44" i="1"/>
  <c r="D48" s="1"/>
  <c r="E48"/>
  <c r="I54"/>
  <c r="K54"/>
  <c r="F58"/>
  <c r="J58"/>
  <c r="L54"/>
  <c r="C62" i="11"/>
  <c r="E14" i="8"/>
  <c r="E16" s="1"/>
  <c r="I40" i="1"/>
  <c r="I58"/>
  <c r="H54" l="1"/>
  <c r="H56"/>
  <c r="H58"/>
  <c r="E19" i="8"/>
  <c r="E33" s="1"/>
  <c r="E35"/>
  <c r="E38" i="1"/>
  <c r="D36"/>
  <c r="E54"/>
  <c r="D54" s="1"/>
  <c r="I56"/>
  <c r="I41"/>
  <c r="G56"/>
  <c r="G41"/>
  <c r="M56"/>
  <c r="M41"/>
  <c r="K56"/>
  <c r="K41"/>
  <c r="D35"/>
  <c r="E40" l="1"/>
  <c r="D38"/>
  <c r="D58" s="1"/>
  <c r="E58"/>
  <c r="D40" l="1"/>
  <c r="E56"/>
  <c r="E41"/>
  <c r="D41" l="1"/>
  <c r="D56"/>
  <c r="D57" l="1"/>
  <c r="N57"/>
  <c r="H57"/>
  <c r="L57"/>
  <c r="J57"/>
  <c r="F57"/>
  <c r="M57"/>
  <c r="I57"/>
  <c r="K57"/>
  <c r="G57"/>
  <c r="E57"/>
</calcChain>
</file>

<file path=xl/sharedStrings.xml><?xml version="1.0" encoding="utf-8"?>
<sst xmlns="http://schemas.openxmlformats.org/spreadsheetml/2006/main" count="1081" uniqueCount="566">
  <si>
    <t>Puget Sound Energy</t>
  </si>
  <si>
    <t>ELECTRIC COST OF SERVICE SUMMARY</t>
  </si>
  <si>
    <t>Adjusted Test Year Twelve Months ended December 2010 @ Proforma Rev Requirement</t>
  </si>
  <si>
    <t>Line No.</t>
  </si>
  <si>
    <t>Description</t>
  </si>
  <si>
    <t>Total Company</t>
  </si>
  <si>
    <t>Residential
Sch 7</t>
  </si>
  <si>
    <t>Sec Volt
Sch 24
(kW&lt; 50)</t>
  </si>
  <si>
    <t>Sec Volt
Sch 25
(kW &gt; 50 &amp; &lt; 350)</t>
  </si>
  <si>
    <t>Sec Volt
Sch 26
(kW &gt; 350)</t>
  </si>
  <si>
    <t>Pri Volt
Sch 31/35/43</t>
  </si>
  <si>
    <t>Campus
Sch 40</t>
  </si>
  <si>
    <t>High Volt
Sch 46/49</t>
  </si>
  <si>
    <t>Choice /
Retail Wheeling
Sch 448/449</t>
  </si>
  <si>
    <t>Lighting
Sch 50-59</t>
  </si>
  <si>
    <t>Firm Resale /
Special Contract</t>
  </si>
  <si>
    <t>(a)</t>
  </si>
  <si>
    <t>(b)</t>
  </si>
  <si>
    <t>(c)</t>
  </si>
  <si>
    <t>(d)</t>
  </si>
  <si>
    <t>(e)</t>
  </si>
  <si>
    <t>(g)</t>
  </si>
  <si>
    <t>(h)</t>
  </si>
  <si>
    <t>(k)</t>
  </si>
  <si>
    <t>(l)</t>
  </si>
  <si>
    <t>(m)</t>
  </si>
  <si>
    <t>(n)</t>
  </si>
  <si>
    <t>(o)</t>
  </si>
  <si>
    <t>Rate Base</t>
  </si>
  <si>
    <t>Plant in Service</t>
  </si>
  <si>
    <t>Accumulated Reserve</t>
  </si>
  <si>
    <t>Other Ratebase Items</t>
  </si>
  <si>
    <t>TOTAL RATE BASE</t>
  </si>
  <si>
    <t>Revenue at Current Rates</t>
  </si>
  <si>
    <t>Firm Sales</t>
  </si>
  <si>
    <t>Non-Firm Sales</t>
  </si>
  <si>
    <t>Other Operating Revenue</t>
  </si>
  <si>
    <t>TOTAL REVENUE - Current</t>
  </si>
  <si>
    <t>Expenses at Current Rates</t>
  </si>
  <si>
    <t>Operation and Maintenance</t>
  </si>
  <si>
    <t>Depreciation Expense</t>
  </si>
  <si>
    <t>Taxes Other Than Income</t>
  </si>
  <si>
    <t>Income Taxes</t>
  </si>
  <si>
    <t>TOTAL EXPENSES - Current</t>
  </si>
  <si>
    <t>OPERATING INCOME - Current</t>
  </si>
  <si>
    <t>Current Rate of Return</t>
  </si>
  <si>
    <t>Calculation of Rate Schedule Revenue Requirement at Equal Rates of Return</t>
  </si>
  <si>
    <t>Required Return</t>
  </si>
  <si>
    <t>Required Operating Income</t>
  </si>
  <si>
    <t>Operating Income Deficiency / (Surplus)</t>
  </si>
  <si>
    <t>Revenue Conversion Factor</t>
  </si>
  <si>
    <t>Revenue Deficiency / (Surplus)</t>
  </si>
  <si>
    <t>Revenue Requirement</t>
  </si>
  <si>
    <t>Revenues Other Than Rate Sch. Rev.</t>
  </si>
  <si>
    <t>Rate Schedule Revenue Requirement</t>
  </si>
  <si>
    <t>Deficiency / (Surplus) as % of Firm Sales</t>
  </si>
  <si>
    <t>Expense at Required Return</t>
  </si>
  <si>
    <t>TOTAL EXPENSES - Required</t>
  </si>
  <si>
    <t>Rate Schedule Revenue as Proposed</t>
  </si>
  <si>
    <t>Other Revenue</t>
  </si>
  <si>
    <t>Revenue as Proposed</t>
  </si>
  <si>
    <t>Proposed Revenue Increase</t>
  </si>
  <si>
    <t>Proposed Revenue - Revenue Requirement</t>
  </si>
  <si>
    <t>Current Revenue to Cost Ratio</t>
  </si>
  <si>
    <t>Parity Ratio</t>
  </si>
  <si>
    <t>Proposed Revenue to Cost Ratio</t>
  </si>
  <si>
    <t>Functional Rate Base</t>
  </si>
  <si>
    <t>System Total</t>
  </si>
  <si>
    <t>Production</t>
  </si>
  <si>
    <t>Demand</t>
  </si>
  <si>
    <t>Energy</t>
  </si>
  <si>
    <t>Customer</t>
  </si>
  <si>
    <t>~</t>
  </si>
  <si>
    <t>Transmission</t>
  </si>
  <si>
    <t>Distribution</t>
  </si>
  <si>
    <t>TOTAL</t>
  </si>
  <si>
    <t>Functional Revenue Requirement</t>
  </si>
  <si>
    <t>TOTAL REVENUE REQUIREMENT</t>
  </si>
  <si>
    <t>Unit Costs (per kWh)</t>
  </si>
  <si>
    <t>Total</t>
  </si>
  <si>
    <t>Delivered kWh</t>
  </si>
  <si>
    <t>Allocate Deficiency to Cost</t>
  </si>
  <si>
    <t>Uncollectible Expense</t>
  </si>
  <si>
    <t>Regulatory Exp</t>
  </si>
  <si>
    <t>Utility Tax</t>
  </si>
  <si>
    <t>FIT</t>
  </si>
  <si>
    <t>Total Deficiency (Expense)</t>
  </si>
  <si>
    <t>Allocation to Class</t>
  </si>
  <si>
    <t>ELECTRIC COST OF SERVICE SUMMARY - ENERGY RELATED</t>
  </si>
  <si>
    <t>(f)</t>
  </si>
  <si>
    <t>(i)</t>
  </si>
  <si>
    <t>(j)</t>
  </si>
  <si>
    <t>Expense</t>
  </si>
  <si>
    <t>TOTAL EXPENSES</t>
  </si>
  <si>
    <t>Requested Return on Net Investment</t>
  </si>
  <si>
    <t>Total Cost of Service</t>
  </si>
  <si>
    <t>Construction Work in Progress</t>
  </si>
  <si>
    <t>Working Capital Assets</t>
  </si>
  <si>
    <t>Other Items</t>
  </si>
  <si>
    <t>ELECTRIC COST OF SERVICE SUMMARY - DEMAND RELATED</t>
  </si>
  <si>
    <t>ELECTRIC COST OF SERVICE SUMMARY - CUSTOMER RELATED</t>
  </si>
  <si>
    <t>COS ID</t>
  </si>
  <si>
    <t>Account Description</t>
  </si>
  <si>
    <t>Allocation Method</t>
  </si>
  <si>
    <t>REVENUE</t>
  </si>
  <si>
    <t>Sales of Electricity - Firm Revenue</t>
  </si>
  <si>
    <t>PROFORMA_RETAIL</t>
  </si>
  <si>
    <t>Sales of Electricity - Transportation Revenue - Retail</t>
  </si>
  <si>
    <t>DIR_449</t>
  </si>
  <si>
    <t>Sales of Electricity - Small Firm Resale</t>
  </si>
  <si>
    <t>DIR_RESALE_SMALL</t>
  </si>
  <si>
    <t>Sales of Electricity - Unbilled Revenue</t>
  </si>
  <si>
    <t>UNBILLED</t>
  </si>
  <si>
    <t>Other Elect Revenue -  OATT - Sch 449</t>
  </si>
  <si>
    <t>DIR_449_OATT</t>
  </si>
  <si>
    <t>Other Elect Revenue - Other Transmission</t>
  </si>
  <si>
    <t>DIR_SPEC_CONT</t>
  </si>
  <si>
    <t>SALES REVENUE</t>
  </si>
  <si>
    <t>NON FIRM REVENUE</t>
  </si>
  <si>
    <t>Sales of Electricity - Non Firm Revenue</t>
  </si>
  <si>
    <t>PC4</t>
  </si>
  <si>
    <t>TOTAL NON FIRM REVENUE</t>
  </si>
  <si>
    <t>OTHER OPERATING REVENUE</t>
  </si>
  <si>
    <t>Late Payment Revenue - Interest</t>
  </si>
  <si>
    <t>DIR450.01</t>
  </si>
  <si>
    <t>Late Payment Revenue - Field Call</t>
  </si>
  <si>
    <t>DIR450.02</t>
  </si>
  <si>
    <t xml:space="preserve">Misc Service Revenue - Temporary Service </t>
  </si>
  <si>
    <t>CUST_2</t>
  </si>
  <si>
    <t>Misc Service Revenue - Reconnection Charge</t>
  </si>
  <si>
    <t>DIR451.02</t>
  </si>
  <si>
    <t>Misc Service Revenue - Modified Service Charge</t>
  </si>
  <si>
    <t>Misc Service Revenue - Water Heater Rental</t>
  </si>
  <si>
    <t>RESID</t>
  </si>
  <si>
    <t>Misc Service Revenue - Billing Initiation Charge</t>
  </si>
  <si>
    <t>DIR451.05</t>
  </si>
  <si>
    <t>Misc Service Revenue - NSF Handling Chg</t>
  </si>
  <si>
    <t>DIR451.06</t>
  </si>
  <si>
    <t>Misc Service Revenue - Deferred FIT CIAC</t>
  </si>
  <si>
    <t>DIR252.00</t>
  </si>
  <si>
    <t>Misc Service Revenue - Energy Diversion</t>
  </si>
  <si>
    <t>Rental Revenue - Steam Plant</t>
  </si>
  <si>
    <t>PP.T</t>
  </si>
  <si>
    <t>Rental Revenue - Distribution Pole Contacts</t>
  </si>
  <si>
    <t>D364.T</t>
  </si>
  <si>
    <t>Rental Revenue - Personal Cell Site</t>
  </si>
  <si>
    <t>Rental Revenue - Land &amp; Bldg</t>
  </si>
  <si>
    <t>PTDP.T</t>
  </si>
  <si>
    <t>Rental Revenue - Transf &amp; Equip</t>
  </si>
  <si>
    <t>DIR454.05</t>
  </si>
  <si>
    <t>Rental Revenue - Pole Rental</t>
  </si>
  <si>
    <t>DIR373.00</t>
  </si>
  <si>
    <t>Other Elect Revenue -  Wheeling</t>
  </si>
  <si>
    <t>Other Elect Revenue - Jobbing Revenue</t>
  </si>
  <si>
    <t>DP.T</t>
  </si>
  <si>
    <t>Other Elect Revenue - Dist O&amp;M</t>
  </si>
  <si>
    <t>LINE.T</t>
  </si>
  <si>
    <t>Other Elect Revenue - Summit Buyout</t>
  </si>
  <si>
    <t>GP.T</t>
  </si>
  <si>
    <t>Other Elect Revenue - PCS</t>
  </si>
  <si>
    <t>Other Elect Revenue - Non-Core Gas Sales</t>
  </si>
  <si>
    <t>Other Elect Revenue -Green Energy Option</t>
  </si>
  <si>
    <t>Other Elect Revenue - Sumas Water Sale</t>
  </si>
  <si>
    <t>Other Elect Revenue - Small Generator Application Fee</t>
  </si>
  <si>
    <t>Other Elect Revenue - Intolight</t>
  </si>
  <si>
    <t>CUS</t>
  </si>
  <si>
    <t>Other Elect Revenue - AG Settlement</t>
  </si>
  <si>
    <t>Other Elect Revenue - REC Revenue</t>
  </si>
  <si>
    <t>Other Elect Revenue - Cedar Hills Facility Fee</t>
  </si>
  <si>
    <t>Other Elect Revenue -  Imbalance</t>
  </si>
  <si>
    <t>IMBAL</t>
  </si>
  <si>
    <t>TOTAL OTHER OPERATING INCOME</t>
  </si>
  <si>
    <t>TOTAL REVENUE</t>
  </si>
  <si>
    <t>EXPENSES</t>
  </si>
  <si>
    <t>O &amp; M Expenses</t>
  </si>
  <si>
    <t>Production - O&amp;M - Fuel</t>
  </si>
  <si>
    <t>FUEL.ST</t>
  </si>
  <si>
    <t>Steam Prod O&amp;M - Fuel</t>
  </si>
  <si>
    <t>FUEL.OT</t>
  </si>
  <si>
    <t>Other Prod O&amp;M - Fuel</t>
  </si>
  <si>
    <t>Sub-total</t>
  </si>
  <si>
    <t>Production - O&amp;M - Purchase Power</t>
  </si>
  <si>
    <t>Purch Pwr - Other</t>
  </si>
  <si>
    <t>Purch Pwr - Res Exchange</t>
  </si>
  <si>
    <t>BPAX</t>
  </si>
  <si>
    <t>Purch Pwr - Transp Ancillary</t>
  </si>
  <si>
    <t>ANCIL</t>
  </si>
  <si>
    <t>Regulation &amp; Frequency Response</t>
  </si>
  <si>
    <t>Production - O&amp;M - Wheeling</t>
  </si>
  <si>
    <t>Wheeling by Others - Wheeling</t>
  </si>
  <si>
    <t>Production - O&amp;M - Other</t>
  </si>
  <si>
    <t xml:space="preserve">Steam Prod O&amp;M </t>
  </si>
  <si>
    <t>Hydro Prod O&amp;M - O&amp;M</t>
  </si>
  <si>
    <t>Other Prod O&amp;M - O&amp;M</t>
  </si>
  <si>
    <t>System Control &amp; Load Dispatch</t>
  </si>
  <si>
    <t>Transmission  - O&amp;M</t>
  </si>
  <si>
    <t>Transmission O&amp;M</t>
  </si>
  <si>
    <t>TP.T</t>
  </si>
  <si>
    <t>Distribution Expense - Operating</t>
  </si>
  <si>
    <t>Dist O&amp;M - Load Dispatch</t>
  </si>
  <si>
    <t>DES3.T</t>
  </si>
  <si>
    <t>Dist O&amp;M - Station</t>
  </si>
  <si>
    <t>D362.T</t>
  </si>
  <si>
    <t>Dist O&amp;M - OVHD Lines</t>
  </si>
  <si>
    <t>Dist O&amp;M - UNGD Lines</t>
  </si>
  <si>
    <t>D366.T</t>
  </si>
  <si>
    <t>Dist O&amp;M - Street Lighting</t>
  </si>
  <si>
    <t>Dist O&amp;M - Meter</t>
  </si>
  <si>
    <t>D370.T</t>
  </si>
  <si>
    <t>Dist O&amp;M - Cust Installations - Meters</t>
  </si>
  <si>
    <t>Dist O&amp;M - Rents</t>
  </si>
  <si>
    <t>Dist O&amp;M - Supr &amp; Eng</t>
  </si>
  <si>
    <t>DES1.T</t>
  </si>
  <si>
    <t>Dist O&amp;M - Miscellaneous</t>
  </si>
  <si>
    <t>Customer Accounts Expense</t>
  </si>
  <si>
    <t>CAE - Suprv</t>
  </si>
  <si>
    <t>CAES1.T</t>
  </si>
  <si>
    <t>CAE - Meter Reading</t>
  </si>
  <si>
    <t>CUST_4</t>
  </si>
  <si>
    <t>CAE - Records &amp; Collections</t>
  </si>
  <si>
    <t>CUST_3</t>
  </si>
  <si>
    <t xml:space="preserve">CAE - Uncollect Accts </t>
  </si>
  <si>
    <t>DIR904.00</t>
  </si>
  <si>
    <t>CAE - Miscellaneous</t>
  </si>
  <si>
    <t>CUST_1</t>
  </si>
  <si>
    <t>Customer Service &amp; Information Expense</t>
  </si>
  <si>
    <t>Cust Svc Exp - Cust Assistance</t>
  </si>
  <si>
    <t>DIR908.01</t>
  </si>
  <si>
    <t>Cust Svc Exp - Weatherization</t>
  </si>
  <si>
    <t>Cust Svc Exp - Info &amp; Instruct</t>
  </si>
  <si>
    <t>Cust Svc Exp - Misc</t>
  </si>
  <si>
    <t>Cust Svc Exp - Demonstration</t>
  </si>
  <si>
    <t>Cust Svc Exp - Demonstration &amp; Selling</t>
  </si>
  <si>
    <t>Cust Svc Exp - Advertising</t>
  </si>
  <si>
    <t>Cust Svc Exp - Misc Selling</t>
  </si>
  <si>
    <t>General Expenses</t>
  </si>
  <si>
    <t>A&amp;G Exp - Salaries</t>
  </si>
  <si>
    <t>ADJPTDCE.T</t>
  </si>
  <si>
    <t>A&amp;G Exp - Office Supplies</t>
  </si>
  <si>
    <t>A&amp;G Exp - Transf (credit)</t>
  </si>
  <si>
    <t>A&amp;G Exp - Outside Svcs</t>
  </si>
  <si>
    <t>A&amp;G Exp - Prop Insurance - Other</t>
  </si>
  <si>
    <t>PTDGP.T</t>
  </si>
  <si>
    <t>A&amp;G Exp - Injuries &amp; Damages - Other</t>
  </si>
  <si>
    <t>SW.T</t>
  </si>
  <si>
    <t>A&amp;G Exp - Pensions &amp; Benefits</t>
  </si>
  <si>
    <t xml:space="preserve">A&amp;G Exp - Reg Comm Exp </t>
  </si>
  <si>
    <t>PTDE.T</t>
  </si>
  <si>
    <t>A&amp;G Exp - Miscellaneous</t>
  </si>
  <si>
    <t>A&amp;G Exp - Rents</t>
  </si>
  <si>
    <t>TOTAL OPERATING EXPENSES</t>
  </si>
  <si>
    <t>Distribution Expense - Maintenance</t>
  </si>
  <si>
    <t>Dist O&amp;M - Station Eqpt</t>
  </si>
  <si>
    <t>Dist O&amp;M - Lines Transformers</t>
  </si>
  <si>
    <t>D368.T</t>
  </si>
  <si>
    <t>Dist O&amp;M - Meters</t>
  </si>
  <si>
    <t>General Expense - Maintenance &amp; Other</t>
  </si>
  <si>
    <t>A&amp;G Exp - Maint of Gen Plant</t>
  </si>
  <si>
    <t>Regulatory Debit / Credit - Production</t>
  </si>
  <si>
    <t>Regulatory Debit / Credit - Transmission</t>
  </si>
  <si>
    <t>Regulatory Debit / Credit - Distribution</t>
  </si>
  <si>
    <t>Regulatory Debit / Credit - Transmission + Distribution</t>
  </si>
  <si>
    <t>TDP.T</t>
  </si>
  <si>
    <t>FAS 133 Gain / Loss - Production</t>
  </si>
  <si>
    <t>TOTAL MAINTENANCE EXPENSES</t>
  </si>
  <si>
    <t>TOTAL O &amp; M EXPENSES</t>
  </si>
  <si>
    <t>Depr Exp - Production Steam Baseload</t>
  </si>
  <si>
    <t>Depr Exp - Production Hydro</t>
  </si>
  <si>
    <t>Depr Exp - Production Other</t>
  </si>
  <si>
    <t>Depr Exp - Transmission</t>
  </si>
  <si>
    <t>Depr Exp - Distribution</t>
  </si>
  <si>
    <t>Depr Exp - General</t>
  </si>
  <si>
    <t>Depr Exp - FAS 143</t>
  </si>
  <si>
    <t>Depr Exp - VROW</t>
  </si>
  <si>
    <t>Amort Exp - Limited Term Plant - Prod</t>
  </si>
  <si>
    <t>Amort Exp - Limited Term Plant - General</t>
  </si>
  <si>
    <t>Accretion Exp - FAS 143</t>
  </si>
  <si>
    <t>Amort Exp - WUTC AFUDC</t>
  </si>
  <si>
    <t>Amort Exp - Acq Adjustment - Transmission</t>
  </si>
  <si>
    <t>PC3</t>
  </si>
  <si>
    <t>Amort Exp - Acq Adjustment - Distribution</t>
  </si>
  <si>
    <t>Amort Exp - FERC Colstrip</t>
  </si>
  <si>
    <t>Amort Exp - Acq Adjustment - Production</t>
  </si>
  <si>
    <t>Amort Exp - Property Losses - Production</t>
  </si>
  <si>
    <t>Amort Exp - Storm T&amp;D</t>
  </si>
  <si>
    <t>TOTAL DEPRECIATION EXPENSES</t>
  </si>
  <si>
    <t>Taxes (Other Than Income)</t>
  </si>
  <si>
    <t>Property Taxes</t>
  </si>
  <si>
    <t>Payroll Taxes</t>
  </si>
  <si>
    <t>Other Taxes - Wash Excise - Allocated</t>
  </si>
  <si>
    <t>REVFAC1.T</t>
  </si>
  <si>
    <t>Other Taxes - Muni</t>
  </si>
  <si>
    <t>Other Taxes - MT Elec Energy Lic</t>
  </si>
  <si>
    <t>NRG</t>
  </si>
  <si>
    <t>TOTAL TAXES OTHER THAN INCOME</t>
  </si>
  <si>
    <t>INCOME TAXES</t>
  </si>
  <si>
    <t>409.10</t>
  </si>
  <si>
    <t>Current Federal Income Tax @ Rate</t>
  </si>
  <si>
    <t>RB.T</t>
  </si>
  <si>
    <t>410.10</t>
  </si>
  <si>
    <t>Provision for Def Inc Tax</t>
  </si>
  <si>
    <t>411.10</t>
  </si>
  <si>
    <t>Prov for Def Income Tax (Credit)</t>
  </si>
  <si>
    <t>TOTAL FIT</t>
  </si>
  <si>
    <t>RATE BASE</t>
  </si>
  <si>
    <t>Plant-in-Service</t>
  </si>
  <si>
    <t>Intangible Plant</t>
  </si>
  <si>
    <t>Production Plant</t>
  </si>
  <si>
    <t>General Plant</t>
  </si>
  <si>
    <t>Thermal Baseload Generation</t>
  </si>
  <si>
    <t>Hydro Baseload Generation</t>
  </si>
  <si>
    <t>Other Production Generation</t>
  </si>
  <si>
    <t>Transmission Plant</t>
  </si>
  <si>
    <t>Transmission Plant - Integrated Generation</t>
  </si>
  <si>
    <t>Bulk Transmission Plant (&gt;230 kV)</t>
  </si>
  <si>
    <t>Sub Transmission Plant (&lt;230 kV)</t>
  </si>
  <si>
    <t>Distribution Plant</t>
  </si>
  <si>
    <t>Land &amp; Land Rights - Assigned</t>
  </si>
  <si>
    <t>DIR360.01</t>
  </si>
  <si>
    <t>Land &amp; Land Rights - Allocated</t>
  </si>
  <si>
    <t>NCP_360</t>
  </si>
  <si>
    <t>Land &amp; Land Rights -  - HV Distribution</t>
  </si>
  <si>
    <t>Structures &amp; Improve - Assigned</t>
  </si>
  <si>
    <t>DIR361.01</t>
  </si>
  <si>
    <t>Structures &amp; Improve - Allocated</t>
  </si>
  <si>
    <t>NCP_361</t>
  </si>
  <si>
    <t>Structures &amp; Improve -  - HV Distribution</t>
  </si>
  <si>
    <t>Station Equipment - Assigned</t>
  </si>
  <si>
    <t>DIR362.01</t>
  </si>
  <si>
    <t>Station Equipment - Allocated</t>
  </si>
  <si>
    <t>NCP_362</t>
  </si>
  <si>
    <t>Station Equipment -  - HV Distribution</t>
  </si>
  <si>
    <t xml:space="preserve">Poles Towers &amp; Fixtures </t>
  </si>
  <si>
    <t>OH_NCP</t>
  </si>
  <si>
    <t>Poles Towers &amp; Fixtures  - HV Distribution</t>
  </si>
  <si>
    <t>OH Lines Direct Assignment</t>
  </si>
  <si>
    <t>DIR364.01</t>
  </si>
  <si>
    <t xml:space="preserve">OVHD Cond &amp; Devices </t>
  </si>
  <si>
    <t>OVHD Cond &amp; Devices  - HV Distribution</t>
  </si>
  <si>
    <t xml:space="preserve">UG Conduit </t>
  </si>
  <si>
    <t>UG_NCP</t>
  </si>
  <si>
    <t>UG Conduit  - HV Distribution</t>
  </si>
  <si>
    <t>DEM_2A</t>
  </si>
  <si>
    <t>UG Conduit Direct Assignment</t>
  </si>
  <si>
    <t>DIR366.01</t>
  </si>
  <si>
    <t xml:space="preserve">UG Conductor &amp; Devices </t>
  </si>
  <si>
    <t>UG Conductor &amp; Devices - HV Distribution</t>
  </si>
  <si>
    <t>368.OH</t>
  </si>
  <si>
    <t>Line Transf  OVHD</t>
  </si>
  <si>
    <t>TFR</t>
  </si>
  <si>
    <t>368.UG</t>
  </si>
  <si>
    <t>Line Transf  UNGD</t>
  </si>
  <si>
    <t>Line Transf  Assigned</t>
  </si>
  <si>
    <t>369.OH</t>
  </si>
  <si>
    <t>Services - OVHD</t>
  </si>
  <si>
    <t>OH_SVC</t>
  </si>
  <si>
    <t>369.UG</t>
  </si>
  <si>
    <t>Services - UNGD</t>
  </si>
  <si>
    <t>Meters</t>
  </si>
  <si>
    <t>METER</t>
  </si>
  <si>
    <t>Leased Prop Assigned - Water Htrs</t>
  </si>
  <si>
    <t>DIR372.00</t>
  </si>
  <si>
    <t xml:space="preserve">Str &amp; Area Lighting Sys </t>
  </si>
  <si>
    <t>Asset Retirement Obligation</t>
  </si>
  <si>
    <t>Land &amp; Land Rights</t>
  </si>
  <si>
    <t>Structures &amp; Improvements</t>
  </si>
  <si>
    <t>Office Furniture &amp; Equip</t>
  </si>
  <si>
    <t>Transportation Equip</t>
  </si>
  <si>
    <t>Stores Equip</t>
  </si>
  <si>
    <t>Tools &amp; Shop &amp; Garage Equip</t>
  </si>
  <si>
    <t>SWPTD.T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</si>
  <si>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</si>
  <si>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</si>
  <si>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</si>
  <si>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</si>
  <si>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</si>
  <si>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</si>
  <si>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Accumulated Reserve for Depreciation</t>
  </si>
  <si>
    <t>Accum Amortization - Production</t>
  </si>
  <si>
    <t>Accum Amortization - General</t>
  </si>
  <si>
    <t>Accum Depreciation Thermal Baseload Generation</t>
  </si>
  <si>
    <t>Accum Depreciation Hydro Baseload Generation</t>
  </si>
  <si>
    <t>Accum Depreciation Other Production Generation</t>
  </si>
  <si>
    <t>Transmisson Plant</t>
  </si>
  <si>
    <t>108.04_IG</t>
  </si>
  <si>
    <t>Accum Depreciation Integrating Gen Transmisson Plant</t>
  </si>
  <si>
    <t>108.04_BT</t>
  </si>
  <si>
    <t>Accum Depreciation Bulk Transmisson Plant &gt;230kV</t>
  </si>
  <si>
    <t>108.04_ST</t>
  </si>
  <si>
    <t>Accum Depreciation Sub Transmisson Plant &lt;230kV</t>
  </si>
  <si>
    <t>108.05_360a</t>
  </si>
  <si>
    <t>Land Rights - Assigned</t>
  </si>
  <si>
    <t>DIR108.360</t>
  </si>
  <si>
    <t>108.05_360b</t>
  </si>
  <si>
    <t>Land Rights - Allocated</t>
  </si>
  <si>
    <t>108.05_360c</t>
  </si>
  <si>
    <t>Land Rights - HV Distribution</t>
  </si>
  <si>
    <t>108.05_361a</t>
  </si>
  <si>
    <t>DIR108.361</t>
  </si>
  <si>
    <t>108.05_361b</t>
  </si>
  <si>
    <t>108.05_361c</t>
  </si>
  <si>
    <t>Structures &amp; Improve - HV Distribution</t>
  </si>
  <si>
    <t>108.05_362a</t>
  </si>
  <si>
    <t>DIR108.362</t>
  </si>
  <si>
    <t>108.05_362b</t>
  </si>
  <si>
    <t>108.05_362c</t>
  </si>
  <si>
    <t>Station Equipment - HV Distribution</t>
  </si>
  <si>
    <t>108.10_364a</t>
  </si>
  <si>
    <t>108.10_364b</t>
  </si>
  <si>
    <t>108.10_364c</t>
  </si>
  <si>
    <t>Poles &amp; OH Conductor - Assigned</t>
  </si>
  <si>
    <t>DIR108.364</t>
  </si>
  <si>
    <t>108.10_365a</t>
  </si>
  <si>
    <t>108.10_365b</t>
  </si>
  <si>
    <t>OVHD Cond &amp; Devices - HV Distribution</t>
  </si>
  <si>
    <t>108.10_366a</t>
  </si>
  <si>
    <t xml:space="preserve">UNGD Conduit </t>
  </si>
  <si>
    <t>108.10_366b</t>
  </si>
  <si>
    <t>UNGD Conduit - HV Distribution</t>
  </si>
  <si>
    <t>108.10_366c</t>
  </si>
  <si>
    <t>UG Conduit &amp; Conductor - Assigned</t>
  </si>
  <si>
    <t>DIR108.366</t>
  </si>
  <si>
    <t>108.10_367a</t>
  </si>
  <si>
    <t xml:space="preserve">UNGDCond &amp; Devices </t>
  </si>
  <si>
    <t>108.10_367b</t>
  </si>
  <si>
    <t>UNGDCond &amp; Devices - HV Distribution</t>
  </si>
  <si>
    <t>108.10_368</t>
  </si>
  <si>
    <t>Line Transformers</t>
  </si>
  <si>
    <t>108.10_369</t>
  </si>
  <si>
    <t>Services</t>
  </si>
  <si>
    <t>D369.T</t>
  </si>
  <si>
    <t>108.10_370</t>
  </si>
  <si>
    <t>108.10_372</t>
  </si>
  <si>
    <t>108.10_373</t>
  </si>
  <si>
    <t>108.10_374</t>
  </si>
  <si>
    <t>Accum Depreciation General Plant</t>
  </si>
  <si>
    <t>RWIP</t>
  </si>
  <si>
    <t>TOTAL ACCUMULATED RESERVE FOR DEPRECIATION</t>
  </si>
  <si>
    <t>Rate Base Adjustments and Working Capital</t>
  </si>
  <si>
    <t>WC</t>
  </si>
  <si>
    <t>Working Capital</t>
  </si>
  <si>
    <t>EPIS.T</t>
  </si>
  <si>
    <t>Misc Def Debits - Production</t>
  </si>
  <si>
    <t>Misc Def Debits - Transmission</t>
  </si>
  <si>
    <t xml:space="preserve">Accum Deferred Income Tax - Prod </t>
  </si>
  <si>
    <t>Accum Deferred Income Tax - General</t>
  </si>
  <si>
    <t>Customer Deposits</t>
  </si>
  <si>
    <t>DIR235.00</t>
  </si>
  <si>
    <t>Customer Deposits - Transmission</t>
  </si>
  <si>
    <t>Customer Advances</t>
  </si>
  <si>
    <t>Landlord Incentive</t>
  </si>
  <si>
    <t>Acquisition Adjustment - Production</t>
  </si>
  <si>
    <t>Acquisition Adjustment - Transmission</t>
  </si>
  <si>
    <t>Acquisition Adjustment - Distribution</t>
  </si>
  <si>
    <t>Accum Amort Acquition Adj - Production</t>
  </si>
  <si>
    <t>Accum Amort Acquition Adj - Transmission</t>
  </si>
  <si>
    <t>Accum Amort Acquition Adj - Distribution</t>
  </si>
  <si>
    <t>ARO - Production</t>
  </si>
  <si>
    <t>ARO - Transmission</t>
  </si>
  <si>
    <t>ARO - Distribution</t>
  </si>
  <si>
    <t>ARO - General</t>
  </si>
  <si>
    <t>TOTAL OTHER RATE BASE</t>
  </si>
  <si>
    <t>Customer Charge Calculation</t>
  </si>
  <si>
    <t>PLANT INVESTMENT:</t>
  </si>
  <si>
    <t>Meters (A/C 370)</t>
  </si>
  <si>
    <t>UG Service (A/C 369)</t>
  </si>
  <si>
    <t>OH Service (A/C 369)</t>
  </si>
  <si>
    <t>Transformers (A/C 368)</t>
  </si>
  <si>
    <t>Subtotal Transformer, Meter &amp; Service</t>
  </si>
  <si>
    <t>Prod, Trans &amp; Dist Plant</t>
  </si>
  <si>
    <t>Related General Plant</t>
  </si>
  <si>
    <t>Related Distribution Accumulated Depreciation</t>
  </si>
  <si>
    <t>General Accumulated Depreciation</t>
  </si>
  <si>
    <t>Related General Accumulated Depreciation</t>
  </si>
  <si>
    <t>Net Plant Investment</t>
  </si>
  <si>
    <t>EXPENSE:</t>
  </si>
  <si>
    <t>OE - Supervision &amp; Eng (A/C 580)</t>
  </si>
  <si>
    <t>OE - Meters (A/C 586)</t>
  </si>
  <si>
    <t>OE - Customer Installation (A/C 587)</t>
  </si>
  <si>
    <t>ME - Line Transformers (A/C 595)</t>
  </si>
  <si>
    <t>ME - Meters (A/C 597)</t>
  </si>
  <si>
    <t>CAE - Supervision (A/C 901)</t>
  </si>
  <si>
    <t>CAE - Meter Reading (A/C 902)</t>
  </si>
  <si>
    <t>CAE - Records &amp; Collections (A/C 903)</t>
  </si>
  <si>
    <t>Subtotal O&amp;M and Cust Acctg Expense</t>
  </si>
  <si>
    <t>Total Admin &amp; General</t>
  </si>
  <si>
    <t>Total Prod, Tran, Dist &amp; Customer Expense</t>
  </si>
  <si>
    <t>Related Admin &amp; General</t>
  </si>
  <si>
    <t>Distribution Depreciation Expense</t>
  </si>
  <si>
    <t>Related Distribution Depreciation Expense</t>
  </si>
  <si>
    <t>Total Depreciation Expense</t>
  </si>
  <si>
    <t>General Distribution Expense</t>
  </si>
  <si>
    <t>Depreciation Net of General Expense</t>
  </si>
  <si>
    <t>Related General Depr Expense</t>
  </si>
  <si>
    <t>Total Plant in Service</t>
  </si>
  <si>
    <t>Property Tax (A/C 236)</t>
  </si>
  <si>
    <t>Related Property Tax</t>
  </si>
  <si>
    <t>Total Related Expense</t>
  </si>
  <si>
    <t>Customers (Annual)</t>
  </si>
  <si>
    <t>Cost of Capital (Net of Tax)</t>
  </si>
  <si>
    <t>Conversion Factor</t>
  </si>
  <si>
    <t>1 - FIT Rate</t>
  </si>
  <si>
    <t>$ / Month per Customer for Plant Investment</t>
  </si>
  <si>
    <t>$ / Month per Customer for Expense</t>
  </si>
  <si>
    <t>TOTAL MONTHLY CUSTOMER CHARGE</t>
  </si>
  <si>
    <t>Line</t>
  </si>
  <si>
    <t>FERC 366 &amp; 367</t>
  </si>
  <si>
    <t>No.</t>
  </si>
  <si>
    <t>% to Total</t>
  </si>
  <si>
    <t>UG Lines</t>
  </si>
  <si>
    <t>Distribution Ratebase</t>
  </si>
  <si>
    <t>Direct Ratebase</t>
  </si>
  <si>
    <t>Direct Accumulated Depreciation</t>
  </si>
  <si>
    <t>Indirect Ratebase</t>
  </si>
  <si>
    <t>General / Other Ratebase</t>
  </si>
  <si>
    <t>Total Distribution Ratebase</t>
  </si>
  <si>
    <t>Rate of Return</t>
  </si>
  <si>
    <t>Return on Distribution Ratebase</t>
  </si>
  <si>
    <t>Distribution Expense</t>
  </si>
  <si>
    <t>Total Distribution Expense</t>
  </si>
  <si>
    <t xml:space="preserve">Less:  </t>
  </si>
  <si>
    <t>Depreciation</t>
  </si>
  <si>
    <t>Property Tax</t>
  </si>
  <si>
    <t>Subtotal Distribution Expense</t>
  </si>
  <si>
    <t>Direct Expense</t>
  </si>
  <si>
    <t>Indirect Expense</t>
  </si>
  <si>
    <t>Total Distribution Cost of Service</t>
  </si>
  <si>
    <t>% Expense to Distribution Plant</t>
  </si>
  <si>
    <t>Substation O&amp;M  %</t>
  </si>
  <si>
    <t>A&amp;G - Operating Expense</t>
  </si>
  <si>
    <t>A&amp;G - Maintenance Expense</t>
  </si>
  <si>
    <t>Total A&amp;G</t>
  </si>
  <si>
    <t>Plant In Service</t>
  </si>
  <si>
    <t>Total Plant In Service</t>
  </si>
  <si>
    <t>% A&amp;G to Total Plant</t>
  </si>
  <si>
    <t>Distribution Operating Expense</t>
  </si>
  <si>
    <t>Distribution Maintenance Expense</t>
  </si>
  <si>
    <t>Total Distribution O&amp;M Expense</t>
  </si>
  <si>
    <t>Distribution Plant in Service</t>
  </si>
  <si>
    <t>% Dist O&amp;M Expense to Plant</t>
  </si>
  <si>
    <t>Total O&amp;M and A&amp;G</t>
  </si>
  <si>
    <t>Revenue Sensitive Factor</t>
  </si>
  <si>
    <t>After Tax Rate</t>
  </si>
  <si>
    <t>Substation A&amp;G  %</t>
  </si>
  <si>
    <t>O&amp;M Expense</t>
  </si>
  <si>
    <t>Production O&amp;M</t>
  </si>
  <si>
    <t>Distribution O&amp;M</t>
  </si>
  <si>
    <t>Customer Accounting</t>
  </si>
  <si>
    <t>Customer Service / Sales</t>
  </si>
  <si>
    <t>Less:</t>
  </si>
  <si>
    <t>Fuel</t>
  </si>
  <si>
    <t>Purchased Power</t>
  </si>
  <si>
    <t>Other Purchase Power</t>
  </si>
  <si>
    <t>Wheeling</t>
  </si>
  <si>
    <t>Conservation Amortization</t>
  </si>
  <si>
    <t>Total O&amp;M for A&amp;G Calculation</t>
  </si>
  <si>
    <t>A&amp;G % to Total</t>
  </si>
  <si>
    <t>ELECTRIC COST OF SERVICE</t>
  </si>
  <si>
    <t>Revenue Detail</t>
  </si>
  <si>
    <t>Expense Detail</t>
  </si>
  <si>
    <t>Ratebase Detail</t>
  </si>
  <si>
    <t>Schedule 40 Feeder Overhead</t>
  </si>
  <si>
    <t>Schedule 40 Substation O&amp;M Overhead</t>
  </si>
  <si>
    <t>Twelve Months ended December 2010 @ Proforma Rev Requirement</t>
  </si>
  <si>
    <t>Schedule 40 Substation Admin &amp; General Overhead</t>
  </si>
  <si>
    <t>Twelve Months ended December 2008 @ Proforma Rev Requirement</t>
  </si>
</sst>
</file>

<file path=xl/styles.xml><?xml version="1.0" encoding="utf-8"?>
<styleSheet xmlns="http://schemas.openxmlformats.org/spreadsheetml/2006/main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%"/>
    <numFmt numFmtId="166" formatCode="_(* #,##0.000000_);_(* \(#,##0.000000\);_(* &quot;-&quot;??_);_(@_)"/>
    <numFmt numFmtId="167" formatCode="_(&quot;$&quot;* #,##0.000000_);_(&quot;$&quot;* \(#,##0.000000\);_(&quot;$&quot;* &quot;-&quot;??_);_(@_)"/>
    <numFmt numFmtId="168" formatCode="_(&quot;$&quot;* #,##0.0000_);_(&quot;$&quot;* \(#,##0.0000\);_(&quot;$&quot;* &quot;-&quot;????_);_(@_)"/>
    <numFmt numFmtId="169" formatCode="_(* #,##0_);_(* \(#,##0\);_(* &quot;-&quot;??_);_(@_)"/>
    <numFmt numFmtId="170" formatCode="_(&quot;$&quot;* #,##0_);_(&quot;$&quot;* \(#,##0\);_(&quot;$&quot;* &quot;-&quot;??_);_(@_)"/>
  </numFmts>
  <fonts count="15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56"/>
      <name val="Arial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4"/>
      <color indexed="56"/>
      <name val="Arial"/>
      <family val="2"/>
    </font>
    <font>
      <b/>
      <sz val="14"/>
      <name val="Times New Roman"/>
      <family val="1"/>
    </font>
    <font>
      <b/>
      <i/>
      <sz val="10"/>
      <name val="Times New Roman"/>
      <family val="1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0" fontId="1" fillId="2" borderId="1" applyNumberFormat="0" applyAlignment="0" applyProtection="0"/>
    <xf numFmtId="42" fontId="2" fillId="3" borderId="0"/>
    <xf numFmtId="0" fontId="3" fillId="3" borderId="0">
      <alignment horizontal="left" wrapText="1"/>
    </xf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2" applyNumberFormat="0" applyFill="0" applyAlignment="0" applyProtection="0"/>
    <xf numFmtId="164" fontId="7" fillId="3" borderId="0">
      <alignment horizontal="left" vertical="center"/>
    </xf>
    <xf numFmtId="0" fontId="3" fillId="3" borderId="3" applyNumberFormat="0">
      <alignment horizontal="center" vertical="center" wrapText="1"/>
    </xf>
    <xf numFmtId="42" fontId="2" fillId="3" borderId="5">
      <alignment vertical="center"/>
    </xf>
    <xf numFmtId="42" fontId="2" fillId="3" borderId="6">
      <alignment horizontal="left"/>
    </xf>
    <xf numFmtId="0" fontId="11" fillId="0" borderId="0">
      <alignment horizontal="left" vertical="center"/>
    </xf>
    <xf numFmtId="168" fontId="4" fillId="3" borderId="0"/>
    <xf numFmtId="41" fontId="2" fillId="4" borderId="0"/>
    <xf numFmtId="41" fontId="14" fillId="3" borderId="0">
      <alignment horizontal="left"/>
    </xf>
  </cellStyleXfs>
  <cellXfs count="165">
    <xf numFmtId="0" fontId="0" fillId="0" borderId="0" xfId="0"/>
    <xf numFmtId="0" fontId="0" fillId="3" borderId="0" xfId="0" applyNumberFormat="1" applyFill="1" applyAlignment="1"/>
    <xf numFmtId="0" fontId="0" fillId="0" borderId="0" xfId="0" applyNumberFormat="1" applyFill="1" applyBorder="1" applyAlignment="1"/>
    <xf numFmtId="164" fontId="8" fillId="0" borderId="0" xfId="8" applyFont="1" applyFill="1" applyAlignment="1">
      <alignment horizontal="centerContinuous" vertical="center"/>
    </xf>
    <xf numFmtId="0" fontId="8" fillId="0" borderId="0" xfId="3" applyFont="1" applyFill="1" applyAlignment="1">
      <alignment horizontal="left"/>
    </xf>
    <xf numFmtId="0" fontId="9" fillId="0" borderId="0" xfId="3" applyFont="1" applyFill="1">
      <alignment horizontal="left" wrapText="1"/>
    </xf>
    <xf numFmtId="0" fontId="9" fillId="0" borderId="4" xfId="9" applyFont="1" applyFill="1" applyBorder="1">
      <alignment horizontal="center" vertical="center" wrapText="1"/>
    </xf>
    <xf numFmtId="41" fontId="9" fillId="0" borderId="4" xfId="9" quotePrefix="1" applyNumberFormat="1" applyFont="1" applyFill="1" applyBorder="1" applyAlignment="1">
      <alignment horizontal="center" vertical="center" wrapText="1"/>
    </xf>
    <xf numFmtId="0" fontId="9" fillId="0" borderId="4" xfId="9" quotePrefix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/>
    <xf numFmtId="0" fontId="10" fillId="0" borderId="0" xfId="0" applyNumberFormat="1" applyFont="1" applyFill="1" applyAlignment="1">
      <alignment horizontal="center"/>
    </xf>
    <xf numFmtId="0" fontId="10" fillId="0" borderId="0" xfId="0" quotePrefix="1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left"/>
    </xf>
    <xf numFmtId="0" fontId="9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/>
    <xf numFmtId="42" fontId="10" fillId="0" borderId="0" xfId="2" applyFont="1" applyFill="1"/>
    <xf numFmtId="42" fontId="10" fillId="0" borderId="0" xfId="2" quotePrefix="1" applyFont="1" applyFill="1" applyAlignment="1">
      <alignment horizontal="left"/>
    </xf>
    <xf numFmtId="42" fontId="10" fillId="0" borderId="5" xfId="10" applyFont="1" applyFill="1">
      <alignment vertical="center"/>
    </xf>
    <xf numFmtId="0" fontId="9" fillId="0" borderId="0" xfId="3" quotePrefix="1" applyFont="1" applyFill="1" applyAlignment="1">
      <alignment horizontal="left" wrapText="1"/>
    </xf>
    <xf numFmtId="42" fontId="10" fillId="0" borderId="0" xfId="2" applyFont="1" applyFill="1" applyAlignment="1">
      <alignment horizontal="left"/>
    </xf>
    <xf numFmtId="42" fontId="10" fillId="0" borderId="5" xfId="10" quotePrefix="1" applyFont="1" applyFill="1" applyAlignment="1">
      <alignment horizontal="left" vertical="center"/>
    </xf>
    <xf numFmtId="42" fontId="10" fillId="0" borderId="0" xfId="0" applyNumberFormat="1" applyFont="1" applyFill="1" applyAlignment="1"/>
    <xf numFmtId="42" fontId="10" fillId="0" borderId="5" xfId="11" applyFont="1" applyFill="1" applyBorder="1">
      <alignment horizontal="left"/>
    </xf>
    <xf numFmtId="164" fontId="8" fillId="0" borderId="0" xfId="8" applyFont="1" applyFill="1">
      <alignment horizontal="left" vertical="center"/>
    </xf>
    <xf numFmtId="42" fontId="10" fillId="0" borderId="5" xfId="2" applyFont="1" applyFill="1" applyBorder="1"/>
    <xf numFmtId="10" fontId="10" fillId="0" borderId="5" xfId="6" applyNumberFormat="1" applyFont="1" applyFill="1" applyBorder="1"/>
    <xf numFmtId="165" fontId="10" fillId="0" borderId="0" xfId="6" applyNumberFormat="1" applyFont="1" applyFill="1" applyBorder="1"/>
    <xf numFmtId="42" fontId="10" fillId="0" borderId="0" xfId="2" applyFont="1" applyFill="1" applyBorder="1"/>
    <xf numFmtId="10" fontId="10" fillId="0" borderId="0" xfId="6" applyNumberFormat="1" applyFont="1" applyFill="1" applyBorder="1"/>
    <xf numFmtId="166" fontId="10" fillId="0" borderId="0" xfId="4" applyNumberFormat="1" applyFont="1" applyFill="1"/>
    <xf numFmtId="42" fontId="10" fillId="0" borderId="4" xfId="2" quotePrefix="1" applyFont="1" applyFill="1" applyBorder="1" applyAlignment="1">
      <alignment horizontal="left"/>
    </xf>
    <xf numFmtId="42" fontId="10" fillId="0" borderId="4" xfId="2" applyFont="1" applyFill="1" applyBorder="1"/>
    <xf numFmtId="42" fontId="10" fillId="0" borderId="0" xfId="2" quotePrefix="1" applyFont="1" applyFill="1" applyBorder="1" applyAlignment="1">
      <alignment horizontal="left"/>
    </xf>
    <xf numFmtId="42" fontId="10" fillId="0" borderId="5" xfId="10" quotePrefix="1" applyFont="1" applyFill="1" applyBorder="1" applyAlignment="1">
      <alignment horizontal="left" vertical="center"/>
    </xf>
    <xf numFmtId="42" fontId="10" fillId="0" borderId="0" xfId="10" applyFont="1" applyFill="1" applyBorder="1">
      <alignment vertical="center"/>
    </xf>
    <xf numFmtId="42" fontId="10" fillId="0" borderId="0" xfId="10" applyFont="1" applyFill="1" applyBorder="1" applyAlignment="1">
      <alignment horizontal="left" vertical="center"/>
    </xf>
    <xf numFmtId="42" fontId="10" fillId="0" borderId="4" xfId="10" applyFont="1" applyFill="1" applyBorder="1">
      <alignment vertical="center"/>
    </xf>
    <xf numFmtId="42" fontId="10" fillId="0" borderId="4" xfId="0" applyNumberFormat="1" applyFont="1" applyFill="1" applyBorder="1" applyAlignment="1"/>
    <xf numFmtId="0" fontId="10" fillId="0" borderId="4" xfId="0" applyNumberFormat="1" applyFont="1" applyFill="1" applyBorder="1" applyAlignment="1"/>
    <xf numFmtId="42" fontId="10" fillId="0" borderId="7" xfId="10" applyFont="1" applyFill="1" applyBorder="1">
      <alignment vertical="center"/>
    </xf>
    <xf numFmtId="42" fontId="10" fillId="0" borderId="7" xfId="0" applyNumberFormat="1" applyFont="1" applyFill="1" applyBorder="1" applyAlignment="1"/>
    <xf numFmtId="42" fontId="10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43" fontId="10" fillId="0" borderId="0" xfId="4" applyFont="1" applyFill="1"/>
    <xf numFmtId="42" fontId="9" fillId="0" borderId="6" xfId="2" applyFont="1" applyFill="1" applyBorder="1"/>
    <xf numFmtId="43" fontId="9" fillId="0" borderId="6" xfId="4" applyFont="1" applyFill="1" applyBorder="1"/>
    <xf numFmtId="43" fontId="9" fillId="0" borderId="6" xfId="4" applyNumberFormat="1" applyFont="1" applyFill="1" applyBorder="1"/>
    <xf numFmtId="43" fontId="10" fillId="0" borderId="5" xfId="4" applyFont="1" applyFill="1" applyBorder="1"/>
    <xf numFmtId="0" fontId="12" fillId="0" borderId="0" xfId="12" applyFont="1" applyFill="1">
      <alignment horizontal="left" vertical="center"/>
    </xf>
    <xf numFmtId="41" fontId="9" fillId="0" borderId="4" xfId="9" applyNumberFormat="1" applyFont="1" applyFill="1" applyBorder="1">
      <alignment horizontal="center" vertical="center" wrapText="1"/>
    </xf>
    <xf numFmtId="41" fontId="9" fillId="0" borderId="0" xfId="0" applyNumberFormat="1" applyFont="1" applyFill="1" applyAlignment="1"/>
    <xf numFmtId="41" fontId="10" fillId="0" borderId="0" xfId="1" applyNumberFormat="1" applyFont="1" applyFill="1" applyBorder="1" applyAlignment="1">
      <alignment horizontal="left" indent="1"/>
    </xf>
    <xf numFmtId="42" fontId="10" fillId="0" borderId="6" xfId="11" applyFont="1" applyFill="1">
      <alignment horizontal="left"/>
    </xf>
    <xf numFmtId="41" fontId="10" fillId="0" borderId="0" xfId="1" applyNumberFormat="1" applyFont="1" applyFill="1" applyBorder="1"/>
    <xf numFmtId="42" fontId="10" fillId="0" borderId="0" xfId="11" applyFont="1" applyFill="1" applyBorder="1">
      <alignment horizontal="left"/>
    </xf>
    <xf numFmtId="42" fontId="10" fillId="0" borderId="5" xfId="10" applyFont="1" applyFill="1" applyBorder="1">
      <alignment vertical="center"/>
    </xf>
    <xf numFmtId="167" fontId="10" fillId="0" borderId="0" xfId="5" applyNumberFormat="1" applyFont="1" applyFill="1"/>
    <xf numFmtId="169" fontId="10" fillId="0" borderId="4" xfId="4" applyNumberFormat="1" applyFont="1" applyFill="1" applyBorder="1" applyAlignment="1">
      <alignment vertical="center"/>
    </xf>
    <xf numFmtId="0" fontId="10" fillId="0" borderId="0" xfId="0" quotePrefix="1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left" indent="1"/>
    </xf>
    <xf numFmtId="170" fontId="10" fillId="0" borderId="0" xfId="5" applyNumberFormat="1" applyFont="1" applyFill="1"/>
    <xf numFmtId="0" fontId="10" fillId="0" borderId="0" xfId="0" quotePrefix="1" applyNumberFormat="1" applyFont="1" applyFill="1" applyAlignment="1">
      <alignment horizontal="left" indent="1"/>
    </xf>
    <xf numFmtId="170" fontId="10" fillId="0" borderId="4" xfId="5" applyNumberFormat="1" applyFont="1" applyFill="1" applyBorder="1"/>
    <xf numFmtId="41" fontId="10" fillId="0" borderId="0" xfId="0" applyNumberFormat="1" applyFont="1" applyFill="1" applyAlignment="1">
      <alignment horizontal="left" indent="1"/>
    </xf>
    <xf numFmtId="43" fontId="9" fillId="0" borderId="4" xfId="4" applyFont="1" applyFill="1" applyBorder="1" applyAlignment="1">
      <alignment horizontal="left" wrapText="1"/>
    </xf>
    <xf numFmtId="0" fontId="9" fillId="0" borderId="4" xfId="3" applyFont="1" applyFill="1" applyBorder="1">
      <alignment horizontal="left" wrapText="1"/>
    </xf>
    <xf numFmtId="0" fontId="9" fillId="0" borderId="4" xfId="0" quotePrefix="1" applyNumberFormat="1" applyFont="1" applyFill="1" applyBorder="1" applyAlignment="1">
      <alignment horizontal="left"/>
    </xf>
    <xf numFmtId="0" fontId="9" fillId="0" borderId="4" xfId="0" applyNumberFormat="1" applyFont="1" applyFill="1" applyBorder="1" applyAlignment="1"/>
    <xf numFmtId="164" fontId="9" fillId="0" borderId="4" xfId="8" applyFont="1" applyFill="1" applyBorder="1" applyAlignment="1">
      <alignment horizontal="center" vertical="center" wrapText="1"/>
    </xf>
    <xf numFmtId="43" fontId="8" fillId="0" borderId="0" xfId="4" applyFont="1" applyFill="1" applyAlignment="1">
      <alignment horizontal="left" vertical="center"/>
    </xf>
    <xf numFmtId="41" fontId="10" fillId="0" borderId="0" xfId="14" applyFont="1" applyFill="1"/>
    <xf numFmtId="0" fontId="9" fillId="0" borderId="4" xfId="0" applyNumberFormat="1" applyFont="1" applyFill="1" applyBorder="1" applyAlignment="1">
      <alignment horizontal="center"/>
    </xf>
    <xf numFmtId="43" fontId="9" fillId="0" borderId="4" xfId="4" applyFont="1" applyFill="1" applyBorder="1"/>
    <xf numFmtId="41" fontId="9" fillId="0" borderId="4" xfId="1" applyNumberFormat="1" applyFont="1" applyFill="1" applyBorder="1"/>
    <xf numFmtId="41" fontId="10" fillId="0" borderId="4" xfId="14" applyFont="1" applyFill="1" applyBorder="1"/>
    <xf numFmtId="43" fontId="9" fillId="0" borderId="0" xfId="4" applyFont="1" applyFill="1"/>
    <xf numFmtId="41" fontId="9" fillId="0" borderId="0" xfId="1" applyNumberFormat="1" applyFont="1" applyFill="1" applyBorder="1"/>
    <xf numFmtId="0" fontId="9" fillId="0" borderId="0" xfId="0" applyNumberFormat="1" applyFont="1" applyFill="1" applyBorder="1" applyAlignment="1">
      <alignment horizontal="center"/>
    </xf>
    <xf numFmtId="43" fontId="9" fillId="0" borderId="0" xfId="4" applyFont="1" applyFill="1" applyBorder="1"/>
    <xf numFmtId="41" fontId="10" fillId="0" borderId="0" xfId="14" applyFont="1" applyFill="1" applyBorder="1"/>
    <xf numFmtId="43" fontId="10" fillId="0" borderId="4" xfId="4" applyFont="1" applyFill="1" applyBorder="1"/>
    <xf numFmtId="41" fontId="10" fillId="0" borderId="4" xfId="1" applyNumberFormat="1" applyFont="1" applyFill="1" applyBorder="1"/>
    <xf numFmtId="164" fontId="9" fillId="0" borderId="4" xfId="8" applyFont="1" applyFill="1" applyBorder="1" applyAlignment="1">
      <alignment horizontal="center" wrapText="1"/>
    </xf>
    <xf numFmtId="41" fontId="10" fillId="0" borderId="0" xfId="1" applyNumberFormat="1" applyFont="1" applyFill="1" applyBorder="1" applyAlignment="1">
      <alignment horizontal="right"/>
    </xf>
    <xf numFmtId="43" fontId="10" fillId="0" borderId="0" xfId="4" applyFont="1" applyFill="1" applyAlignment="1">
      <alignment horizontal="right"/>
    </xf>
    <xf numFmtId="43" fontId="13" fillId="0" borderId="0" xfId="4" applyFont="1" applyFill="1" applyAlignment="1">
      <alignment horizontal="right"/>
    </xf>
    <xf numFmtId="41" fontId="13" fillId="0" borderId="0" xfId="15" applyFont="1" applyFill="1">
      <alignment horizontal="left"/>
    </xf>
    <xf numFmtId="43" fontId="10" fillId="0" borderId="4" xfId="4" applyFont="1" applyFill="1" applyBorder="1" applyAlignment="1">
      <alignment horizontal="right"/>
    </xf>
    <xf numFmtId="43" fontId="9" fillId="0" borderId="4" xfId="4" applyFont="1" applyFill="1" applyBorder="1" applyAlignment="1">
      <alignment horizontal="right"/>
    </xf>
    <xf numFmtId="41" fontId="9" fillId="0" borderId="4" xfId="14" applyFont="1" applyFill="1" applyBorder="1"/>
    <xf numFmtId="43" fontId="9" fillId="0" borderId="0" xfId="4" applyFont="1" applyFill="1" applyAlignment="1">
      <alignment horizontal="right"/>
    </xf>
    <xf numFmtId="41" fontId="9" fillId="0" borderId="0" xfId="7" applyNumberFormat="1" applyFont="1" applyFill="1" applyBorder="1" applyAlignment="1">
      <alignment horizontal="left"/>
    </xf>
    <xf numFmtId="43" fontId="8" fillId="0" borderId="0" xfId="4" applyFont="1" applyFill="1" applyAlignment="1">
      <alignment horizontal="right" vertical="center"/>
    </xf>
    <xf numFmtId="0" fontId="9" fillId="0" borderId="5" xfId="0" applyNumberFormat="1" applyFont="1" applyFill="1" applyBorder="1" applyAlignment="1">
      <alignment horizontal="center"/>
    </xf>
    <xf numFmtId="43" fontId="9" fillId="0" borderId="5" xfId="4" applyFont="1" applyFill="1" applyBorder="1" applyAlignment="1">
      <alignment horizontal="right"/>
    </xf>
    <xf numFmtId="41" fontId="9" fillId="0" borderId="5" xfId="1" applyNumberFormat="1" applyFont="1" applyFill="1" applyBorder="1"/>
    <xf numFmtId="41" fontId="9" fillId="0" borderId="5" xfId="14" applyFont="1" applyFill="1" applyBorder="1"/>
    <xf numFmtId="0" fontId="9" fillId="0" borderId="3" xfId="9" applyFont="1" applyFill="1">
      <alignment horizontal="center" vertical="center" wrapText="1"/>
    </xf>
    <xf numFmtId="41" fontId="9" fillId="0" borderId="3" xfId="9" applyNumberFormat="1" applyFont="1" applyFill="1">
      <alignment horizontal="center" vertical="center" wrapText="1"/>
    </xf>
    <xf numFmtId="43" fontId="10" fillId="0" borderId="0" xfId="4" applyFont="1" applyFill="1" applyAlignment="1">
      <alignment horizontal="left"/>
    </xf>
    <xf numFmtId="41" fontId="9" fillId="0" borderId="4" xfId="7" applyNumberFormat="1" applyFont="1" applyFill="1" applyBorder="1" applyAlignment="1">
      <alignment horizontal="left"/>
    </xf>
    <xf numFmtId="41" fontId="9" fillId="0" borderId="5" xfId="1" applyNumberFormat="1" applyFont="1" applyFill="1" applyBorder="1" applyAlignment="1">
      <alignment horizontal="right"/>
    </xf>
    <xf numFmtId="43" fontId="8" fillId="0" borderId="5" xfId="4" applyFont="1" applyFill="1" applyBorder="1" applyAlignment="1">
      <alignment horizontal="left" vertical="center"/>
    </xf>
    <xf numFmtId="0" fontId="10" fillId="0" borderId="5" xfId="0" applyNumberFormat="1" applyFont="1" applyFill="1" applyBorder="1" applyAlignment="1"/>
    <xf numFmtId="41" fontId="10" fillId="0" borderId="0" xfId="0" applyNumberFormat="1" applyFont="1" applyFill="1" applyAlignment="1"/>
    <xf numFmtId="42" fontId="10" fillId="0" borderId="6" xfId="10" applyFont="1" applyFill="1" applyBorder="1">
      <alignment vertical="center"/>
    </xf>
    <xf numFmtId="42" fontId="10" fillId="0" borderId="0" xfId="10" applyFont="1" applyFill="1" applyBorder="1" applyAlignment="1">
      <alignment horizontal="center" vertical="center"/>
    </xf>
    <xf numFmtId="42" fontId="10" fillId="0" borderId="0" xfId="10" quotePrefix="1" applyFont="1" applyFill="1" applyBorder="1" applyAlignment="1">
      <alignment horizontal="left" vertical="center"/>
    </xf>
    <xf numFmtId="42" fontId="10" fillId="0" borderId="6" xfId="10" quotePrefix="1" applyFont="1" applyFill="1" applyBorder="1" applyAlignment="1">
      <alignment horizontal="left" vertical="center"/>
    </xf>
    <xf numFmtId="37" fontId="10" fillId="0" borderId="0" xfId="10" applyNumberFormat="1" applyFont="1" applyFill="1" applyBorder="1">
      <alignment vertical="center"/>
    </xf>
    <xf numFmtId="44" fontId="10" fillId="0" borderId="0" xfId="5" applyFont="1" applyFill="1" applyBorder="1" applyAlignment="1">
      <alignment vertical="center"/>
    </xf>
    <xf numFmtId="42" fontId="9" fillId="0" borderId="5" xfId="10" applyFont="1" applyFill="1" applyBorder="1" applyAlignment="1">
      <alignment horizontal="left" vertical="center"/>
    </xf>
    <xf numFmtId="44" fontId="9" fillId="0" borderId="5" xfId="5" applyFont="1" applyFill="1" applyBorder="1" applyAlignment="1">
      <alignment vertical="center"/>
    </xf>
    <xf numFmtId="164" fontId="8" fillId="0" borderId="0" xfId="8" applyFont="1" applyFill="1" applyAlignment="1">
      <alignment horizontal="center" vertical="center"/>
    </xf>
    <xf numFmtId="43" fontId="9" fillId="0" borderId="6" xfId="4" applyFont="1" applyFill="1" applyBorder="1" applyAlignment="1">
      <alignment horizontal="left" wrapText="1"/>
    </xf>
    <xf numFmtId="0" fontId="9" fillId="0" borderId="6" xfId="3" applyFont="1" applyFill="1" applyBorder="1" applyAlignment="1">
      <alignment horizontal="center" wrapText="1"/>
    </xf>
    <xf numFmtId="43" fontId="9" fillId="0" borderId="3" xfId="4" applyFont="1" applyFill="1" applyBorder="1" applyAlignment="1">
      <alignment horizontal="left" wrapText="1"/>
    </xf>
    <xf numFmtId="0" fontId="9" fillId="0" borderId="3" xfId="3" applyFont="1" applyFill="1" applyBorder="1">
      <alignment horizontal="left" wrapText="1"/>
    </xf>
    <xf numFmtId="0" fontId="9" fillId="0" borderId="3" xfId="0" applyNumberFormat="1" applyFont="1" applyFill="1" applyBorder="1" applyAlignment="1"/>
    <xf numFmtId="164" fontId="9" fillId="0" borderId="3" xfId="8" applyFont="1" applyFill="1" applyBorder="1" applyAlignment="1">
      <alignment horizontal="center" vertical="center" wrapText="1"/>
    </xf>
    <xf numFmtId="43" fontId="9" fillId="0" borderId="0" xfId="4" applyFont="1" applyFill="1" applyBorder="1" applyAlignment="1">
      <alignment horizontal="left" wrapText="1"/>
    </xf>
    <xf numFmtId="0" fontId="10" fillId="0" borderId="0" xfId="0" applyNumberFormat="1" applyFont="1" applyFill="1" applyAlignment="1">
      <alignment horizontal="left"/>
    </xf>
    <xf numFmtId="170" fontId="10" fillId="0" borderId="0" xfId="5" applyNumberFormat="1" applyFont="1" applyFill="1" applyBorder="1"/>
    <xf numFmtId="0" fontId="10" fillId="0" borderId="0" xfId="0" applyNumberFormat="1" applyFont="1" applyFill="1" applyAlignment="1">
      <alignment horizontal="left" indent="2"/>
    </xf>
    <xf numFmtId="0" fontId="10" fillId="0" borderId="4" xfId="0" quotePrefix="1" applyNumberFormat="1" applyFont="1" applyFill="1" applyBorder="1" applyAlignment="1">
      <alignment horizontal="left" indent="2"/>
    </xf>
    <xf numFmtId="10" fontId="10" fillId="0" borderId="4" xfId="6" applyNumberFormat="1" applyFont="1" applyFill="1" applyBorder="1"/>
    <xf numFmtId="0" fontId="10" fillId="0" borderId="0" xfId="0" applyNumberFormat="1" applyFont="1" applyFill="1" applyAlignment="1">
      <alignment horizontal="left" indent="3"/>
    </xf>
    <xf numFmtId="0" fontId="10" fillId="0" borderId="0" xfId="0" applyNumberFormat="1" applyFont="1" applyFill="1" applyAlignment="1">
      <alignment horizontal="left" indent="4"/>
    </xf>
    <xf numFmtId="0" fontId="10" fillId="0" borderId="0" xfId="0" quotePrefix="1" applyNumberFormat="1" applyFont="1" applyFill="1" applyAlignment="1">
      <alignment horizontal="left" indent="5"/>
    </xf>
    <xf numFmtId="10" fontId="10" fillId="0" borderId="0" xfId="0" applyNumberFormat="1" applyFont="1" applyFill="1" applyAlignment="1"/>
    <xf numFmtId="0" fontId="10" fillId="0" borderId="5" xfId="0" quotePrefix="1" applyNumberFormat="1" applyFont="1" applyFill="1" applyBorder="1" applyAlignment="1">
      <alignment horizontal="left"/>
    </xf>
    <xf numFmtId="43" fontId="9" fillId="3" borderId="4" xfId="4" applyFont="1" applyFill="1" applyBorder="1" applyAlignment="1">
      <alignment horizontal="center" wrapText="1"/>
    </xf>
    <xf numFmtId="0" fontId="9" fillId="3" borderId="4" xfId="3" applyFont="1" applyBorder="1" applyAlignment="1">
      <alignment horizontal="center" wrapText="1"/>
    </xf>
    <xf numFmtId="165" fontId="10" fillId="0" borderId="5" xfId="0" applyNumberFormat="1" applyFont="1" applyFill="1" applyBorder="1" applyAlignment="1"/>
    <xf numFmtId="0" fontId="0" fillId="0" borderId="0" xfId="0" applyNumberFormat="1" applyFill="1" applyAlignment="1"/>
    <xf numFmtId="0" fontId="3" fillId="0" borderId="0" xfId="3" applyFill="1">
      <alignment horizontal="left" wrapText="1"/>
    </xf>
    <xf numFmtId="0" fontId="0" fillId="0" borderId="0" xfId="0" applyFill="1"/>
    <xf numFmtId="0" fontId="3" fillId="0" borderId="0" xfId="3" applyFont="1" applyFill="1" applyAlignment="1">
      <alignment horizontal="center" wrapText="1"/>
    </xf>
    <xf numFmtId="43" fontId="9" fillId="0" borderId="4" xfId="4" applyFont="1" applyFill="1" applyBorder="1" applyAlignment="1">
      <alignment horizontal="center" wrapText="1"/>
    </xf>
    <xf numFmtId="0" fontId="9" fillId="0" borderId="4" xfId="3" applyFont="1" applyFill="1" applyBorder="1" applyAlignment="1">
      <alignment horizontal="center" wrapText="1"/>
    </xf>
    <xf numFmtId="0" fontId="9" fillId="0" borderId="4" xfId="0" applyNumberFormat="1" applyFont="1" applyFill="1" applyBorder="1" applyAlignment="1">
      <alignment horizontal="center" wrapText="1"/>
    </xf>
    <xf numFmtId="41" fontId="10" fillId="0" borderId="0" xfId="1" quotePrefix="1" applyNumberFormat="1" applyFont="1" applyFill="1" applyBorder="1" applyAlignment="1">
      <alignment horizontal="left"/>
    </xf>
    <xf numFmtId="41" fontId="10" fillId="0" borderId="4" xfId="1" applyNumberFormat="1" applyFont="1" applyFill="1" applyBorder="1" applyAlignment="1">
      <alignment horizontal="left" indent="1"/>
    </xf>
    <xf numFmtId="0" fontId="10" fillId="0" borderId="4" xfId="0" applyNumberFormat="1" applyFont="1" applyFill="1" applyBorder="1" applyAlignment="1">
      <alignment horizontal="left" indent="1"/>
    </xf>
    <xf numFmtId="10" fontId="10" fillId="0" borderId="4" xfId="0" applyNumberFormat="1" applyFont="1" applyFill="1" applyBorder="1" applyAlignment="1"/>
    <xf numFmtId="0" fontId="10" fillId="0" borderId="4" xfId="0" applyNumberFormat="1" applyFont="1" applyFill="1" applyBorder="1" applyAlignment="1">
      <alignment horizontal="left" indent="2"/>
    </xf>
    <xf numFmtId="0" fontId="10" fillId="0" borderId="4" xfId="0" applyNumberFormat="1" applyFont="1" applyFill="1" applyBorder="1" applyAlignment="1">
      <alignment horizontal="left" indent="3"/>
    </xf>
    <xf numFmtId="165" fontId="10" fillId="0" borderId="0" xfId="0" applyNumberFormat="1" applyFont="1" applyFill="1" applyAlignment="1"/>
    <xf numFmtId="0" fontId="9" fillId="3" borderId="4" xfId="0" quotePrefix="1" applyNumberFormat="1" applyFont="1" applyFill="1" applyBorder="1" applyAlignment="1">
      <alignment horizontal="center" wrapText="1"/>
    </xf>
    <xf numFmtId="41" fontId="10" fillId="0" borderId="0" xfId="1" applyNumberFormat="1" applyFont="1" applyFill="1" applyBorder="1" applyAlignment="1">
      <alignment horizontal="left" indent="2"/>
    </xf>
    <xf numFmtId="41" fontId="10" fillId="0" borderId="0" xfId="1" applyNumberFormat="1" applyFont="1" applyFill="1" applyBorder="1" applyAlignment="1">
      <alignment horizontal="left" indent="3"/>
    </xf>
    <xf numFmtId="41" fontId="10" fillId="0" borderId="4" xfId="1" quotePrefix="1" applyNumberFormat="1" applyFont="1" applyFill="1" applyBorder="1" applyAlignment="1">
      <alignment horizontal="left" indent="4"/>
    </xf>
    <xf numFmtId="170" fontId="10" fillId="0" borderId="4" xfId="5" applyNumberFormat="1" applyFont="1" applyFill="1" applyBorder="1" applyAlignment="1"/>
    <xf numFmtId="170" fontId="10" fillId="0" borderId="0" xfId="5" applyNumberFormat="1" applyFont="1" applyFill="1" applyAlignment="1"/>
    <xf numFmtId="0" fontId="10" fillId="0" borderId="5" xfId="0" applyNumberFormat="1" applyFont="1" applyFill="1" applyBorder="1" applyAlignment="1">
      <alignment horizontal="left" indent="2"/>
    </xf>
    <xf numFmtId="9" fontId="10" fillId="3" borderId="5" xfId="0" applyNumberFormat="1" applyFont="1" applyFill="1" applyBorder="1" applyAlignment="1"/>
    <xf numFmtId="41" fontId="10" fillId="0" borderId="3" xfId="1" applyNumberFormat="1" applyFont="1" applyFill="1" applyBorder="1" applyAlignment="1">
      <alignment horizontal="left" indent="1"/>
    </xf>
    <xf numFmtId="167" fontId="10" fillId="0" borderId="3" xfId="5" applyNumberFormat="1" applyFont="1" applyFill="1" applyBorder="1"/>
    <xf numFmtId="170" fontId="10" fillId="0" borderId="6" xfId="5" applyNumberFormat="1" applyFont="1" applyFill="1" applyBorder="1" applyAlignment="1">
      <alignment vertical="center"/>
    </xf>
    <xf numFmtId="0" fontId="9" fillId="0" borderId="0" xfId="3" applyFont="1" applyFill="1" applyAlignment="1">
      <alignment horizontal="left"/>
    </xf>
    <xf numFmtId="0" fontId="0" fillId="3" borderId="0" xfId="0" applyNumberFormat="1" applyFill="1" applyAlignment="1"/>
    <xf numFmtId="164" fontId="9" fillId="0" borderId="4" xfId="8" quotePrefix="1" applyFont="1" applyFill="1" applyBorder="1" applyAlignment="1">
      <alignment horizontal="center" vertical="center" wrapText="1"/>
    </xf>
    <xf numFmtId="164" fontId="9" fillId="0" borderId="4" xfId="8" applyFont="1" applyFill="1" applyBorder="1" applyAlignment="1">
      <alignment horizontal="center" vertical="center" wrapText="1"/>
    </xf>
    <xf numFmtId="164" fontId="8" fillId="0" borderId="0" xfId="8" applyFont="1" applyFill="1" applyAlignment="1">
      <alignment horizontal="center" vertical="center"/>
    </xf>
    <xf numFmtId="164" fontId="8" fillId="0" borderId="0" xfId="8" quotePrefix="1" applyFont="1" applyFill="1" applyAlignment="1">
      <alignment horizontal="center" vertical="center"/>
    </xf>
  </cellXfs>
  <cellStyles count="16">
    <cellStyle name="Calculation" xfId="1" builtinId="22"/>
    <cellStyle name="CheckCell" xfId="14"/>
    <cellStyle name="Comma" xfId="4" builtinId="3"/>
    <cellStyle name="Currency" xfId="5" builtinId="4"/>
    <cellStyle name="Normal" xfId="0" builtinId="0"/>
    <cellStyle name="Percent" xfId="6" builtinId="5"/>
    <cellStyle name="Report" xfId="2"/>
    <cellStyle name="Report Bar" xfId="10"/>
    <cellStyle name="Report Heading" xfId="9"/>
    <cellStyle name="Report Unit Cost" xfId="13"/>
    <cellStyle name="Reports Total" xfId="11"/>
    <cellStyle name="Sub-total" xfId="15"/>
    <cellStyle name="Title: Major" xfId="8"/>
    <cellStyle name="Title: Minor" xfId="3"/>
    <cellStyle name="Title: Worksheet" xfId="12"/>
    <cellStyle name="Total" xfId="7" builtin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7"/>
  <sheetViews>
    <sheetView showGridLines="0" zoomScaleNormal="100" workbookViewId="0">
      <selection sqref="A1:E1"/>
    </sheetView>
  </sheetViews>
  <sheetFormatPr defaultRowHeight="15"/>
  <cols>
    <col min="1" max="1" width="6" customWidth="1"/>
    <col min="2" max="2" width="2" bestFit="1" customWidth="1"/>
    <col min="3" max="3" width="40.5703125" customWidth="1"/>
    <col min="4" max="4" width="17.28515625" bestFit="1" customWidth="1"/>
    <col min="5" max="5" width="16.5703125" bestFit="1" customWidth="1"/>
    <col min="6" max="6" width="16.28515625" customWidth="1"/>
    <col min="7" max="7" width="16.140625" bestFit="1" customWidth="1"/>
    <col min="8" max="8" width="17.140625" customWidth="1"/>
    <col min="9" max="9" width="16.5703125" customWidth="1"/>
    <col min="10" max="10" width="14.140625" bestFit="1" customWidth="1"/>
    <col min="11" max="11" width="15.140625" bestFit="1" customWidth="1"/>
    <col min="12" max="12" width="17.42578125" customWidth="1"/>
    <col min="13" max="13" width="14.42578125" bestFit="1" customWidth="1"/>
    <col min="14" max="14" width="14.28515625" bestFit="1" customWidth="1"/>
  </cols>
  <sheetData>
    <row r="1" spans="1:14" ht="15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5.7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38.25">
      <c r="A6" s="6" t="s">
        <v>3</v>
      </c>
      <c r="B6" s="6"/>
      <c r="C6" s="6" t="s">
        <v>4</v>
      </c>
      <c r="D6" s="6" t="s">
        <v>5</v>
      </c>
      <c r="E6" s="7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8" t="s">
        <v>15</v>
      </c>
    </row>
    <row r="7" spans="1:14">
      <c r="A7" s="9"/>
      <c r="B7" s="9"/>
      <c r="C7" s="10" t="s">
        <v>16</v>
      </c>
      <c r="D7" s="10" t="s">
        <v>17</v>
      </c>
      <c r="E7" s="10" t="s">
        <v>18</v>
      </c>
      <c r="F7" s="10" t="s">
        <v>19</v>
      </c>
      <c r="G7" s="10" t="s">
        <v>20</v>
      </c>
      <c r="H7" s="11" t="s">
        <v>21</v>
      </c>
      <c r="I7" s="11" t="s">
        <v>22</v>
      </c>
      <c r="J7" s="11" t="s">
        <v>23</v>
      </c>
      <c r="K7" s="11" t="s">
        <v>24</v>
      </c>
      <c r="L7" s="11" t="s">
        <v>25</v>
      </c>
      <c r="M7" s="11" t="s">
        <v>26</v>
      </c>
      <c r="N7" s="11" t="s">
        <v>27</v>
      </c>
    </row>
    <row r="8" spans="1:14">
      <c r="A8" s="1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13">
        <v>1</v>
      </c>
      <c r="B9" s="9"/>
      <c r="C9" s="14" t="s">
        <v>28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13">
        <f>+A9+1</f>
        <v>2</v>
      </c>
      <c r="B10" s="9"/>
      <c r="C10" s="15" t="s">
        <v>29</v>
      </c>
      <c r="D10" s="15">
        <f>SUM(E10:N10)</f>
        <v>7632223899</v>
      </c>
      <c r="E10" s="15">
        <v>4415153757.6927185</v>
      </c>
      <c r="F10" s="15">
        <v>919534116.87168229</v>
      </c>
      <c r="G10" s="15">
        <v>884025595.66979456</v>
      </c>
      <c r="H10" s="15">
        <v>532919109.80583727</v>
      </c>
      <c r="I10" s="15">
        <v>412731433.74967289</v>
      </c>
      <c r="J10" s="15">
        <v>175628163.65013549</v>
      </c>
      <c r="K10" s="15">
        <v>121927004.81660713</v>
      </c>
      <c r="L10" s="15">
        <v>71677705.999374822</v>
      </c>
      <c r="M10" s="15">
        <v>88642630.765421152</v>
      </c>
      <c r="N10" s="15">
        <v>9984379.9787564166</v>
      </c>
    </row>
    <row r="11" spans="1:14">
      <c r="A11" s="13">
        <f t="shared" ref="A11:A58" si="0">+A10+1</f>
        <v>3</v>
      </c>
      <c r="B11" s="9"/>
      <c r="C11" s="15" t="s">
        <v>30</v>
      </c>
      <c r="D11" s="15">
        <f>SUM(E11:N11)</f>
        <v>-2695534703.3312502</v>
      </c>
      <c r="E11" s="15">
        <v>-1577867328.024193</v>
      </c>
      <c r="F11" s="15">
        <v>-319614767.96861058</v>
      </c>
      <c r="G11" s="15">
        <v>-305729698.72310024</v>
      </c>
      <c r="H11" s="15">
        <v>-183795014.9577271</v>
      </c>
      <c r="I11" s="15">
        <v>-142145148.44753748</v>
      </c>
      <c r="J11" s="15">
        <v>-61485644.730836824</v>
      </c>
      <c r="K11" s="15">
        <v>-42296927.821762376</v>
      </c>
      <c r="L11" s="15">
        <v>-22794201.62693182</v>
      </c>
      <c r="M11" s="15">
        <v>-35795368.403457955</v>
      </c>
      <c r="N11" s="15">
        <v>-4010602.6270927852</v>
      </c>
    </row>
    <row r="12" spans="1:14">
      <c r="A12" s="13">
        <f t="shared" si="0"/>
        <v>4</v>
      </c>
      <c r="B12" s="9"/>
      <c r="C12" s="16" t="s">
        <v>31</v>
      </c>
      <c r="D12" s="15">
        <f>SUM(E12:N12)</f>
        <v>-31932250.12875</v>
      </c>
      <c r="E12" s="15">
        <v>-53480588.54448013</v>
      </c>
      <c r="F12" s="15">
        <v>-15088847.959825318</v>
      </c>
      <c r="G12" s="15">
        <v>13107750.45595911</v>
      </c>
      <c r="H12" s="15">
        <v>14338733.059346298</v>
      </c>
      <c r="I12" s="15">
        <v>6950953.494135581</v>
      </c>
      <c r="J12" s="15">
        <v>5156015.9159154305</v>
      </c>
      <c r="K12" s="15">
        <v>5025074.4100730186</v>
      </c>
      <c r="L12" s="15">
        <v>-4197164.2880263953</v>
      </c>
      <c r="M12" s="15">
        <v>-3331690.102074841</v>
      </c>
      <c r="N12" s="15">
        <v>-412486.56977274799</v>
      </c>
    </row>
    <row r="13" spans="1:14" ht="15.75" thickBot="1">
      <c r="A13" s="13">
        <f t="shared" si="0"/>
        <v>5</v>
      </c>
      <c r="B13" s="9"/>
      <c r="C13" s="17" t="s">
        <v>32</v>
      </c>
      <c r="D13" s="17">
        <f>SUM(D10:D12)</f>
        <v>4904756945.54</v>
      </c>
      <c r="E13" s="17">
        <f t="shared" ref="E13:N13" si="1">SUM(E10:E12)</f>
        <v>2783805841.1240454</v>
      </c>
      <c r="F13" s="17">
        <f t="shared" si="1"/>
        <v>584830500.94324636</v>
      </c>
      <c r="G13" s="17">
        <f t="shared" si="1"/>
        <v>591403647.40265346</v>
      </c>
      <c r="H13" s="17">
        <f t="shared" si="1"/>
        <v>363462827.90745652</v>
      </c>
      <c r="I13" s="17">
        <f t="shared" si="1"/>
        <v>277537238.79627097</v>
      </c>
      <c r="J13" s="17">
        <f t="shared" si="1"/>
        <v>119298534.83521409</v>
      </c>
      <c r="K13" s="17">
        <f t="shared" si="1"/>
        <v>84655151.404917777</v>
      </c>
      <c r="L13" s="17">
        <f t="shared" si="1"/>
        <v>44686340.084416613</v>
      </c>
      <c r="M13" s="17">
        <f t="shared" si="1"/>
        <v>49515572.259888358</v>
      </c>
      <c r="N13" s="17">
        <f t="shared" si="1"/>
        <v>5561290.7818908831</v>
      </c>
    </row>
    <row r="14" spans="1:14" ht="15.75" thickTop="1">
      <c r="A14" s="13">
        <f t="shared" si="0"/>
        <v>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>
      <c r="A15" s="13">
        <f t="shared" si="0"/>
        <v>7</v>
      </c>
      <c r="B15" s="9"/>
      <c r="C15" s="18" t="s">
        <v>33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>
      <c r="A16" s="13">
        <f t="shared" si="0"/>
        <v>8</v>
      </c>
      <c r="B16" s="14"/>
      <c r="C16" s="19" t="s">
        <v>34</v>
      </c>
      <c r="D16" s="15">
        <f>SUM(E16:N16)</f>
        <v>1978554104</v>
      </c>
      <c r="E16" s="15">
        <v>1083315595.4028969</v>
      </c>
      <c r="F16" s="15">
        <v>245723261.88298795</v>
      </c>
      <c r="G16" s="15">
        <v>258678159.87972882</v>
      </c>
      <c r="H16" s="15">
        <v>162178856.92758951</v>
      </c>
      <c r="I16" s="15">
        <v>117611854.94630289</v>
      </c>
      <c r="J16" s="15">
        <v>49381431.981334224</v>
      </c>
      <c r="K16" s="15">
        <v>36438104.983516157</v>
      </c>
      <c r="L16" s="15">
        <v>7033518.9956436735</v>
      </c>
      <c r="M16" s="15">
        <v>16975573</v>
      </c>
      <c r="N16" s="15">
        <v>1217746</v>
      </c>
    </row>
    <row r="17" spans="1:14">
      <c r="A17" s="13">
        <f t="shared" si="0"/>
        <v>9</v>
      </c>
      <c r="B17" s="14"/>
      <c r="C17" s="19" t="s">
        <v>35</v>
      </c>
      <c r="D17" s="15">
        <f>SUM(E17:N17)</f>
        <v>7074826.0000000009</v>
      </c>
      <c r="E17" s="15">
        <v>3767418.1055720425</v>
      </c>
      <c r="F17" s="15">
        <v>854130.5251477214</v>
      </c>
      <c r="G17" s="15">
        <v>947598.55871118803</v>
      </c>
      <c r="H17" s="15">
        <v>646356.06428557902</v>
      </c>
      <c r="I17" s="15">
        <v>441000.3068452591</v>
      </c>
      <c r="J17" s="15">
        <v>217796.74716644594</v>
      </c>
      <c r="K17" s="15">
        <v>171680.36252098531</v>
      </c>
      <c r="L17" s="15">
        <v>0</v>
      </c>
      <c r="M17" s="15">
        <v>26404.598923657715</v>
      </c>
      <c r="N17" s="15">
        <v>2440.7308271213242</v>
      </c>
    </row>
    <row r="18" spans="1:14">
      <c r="A18" s="13">
        <f t="shared" si="0"/>
        <v>10</v>
      </c>
      <c r="B18" s="14"/>
      <c r="C18" s="16" t="s">
        <v>36</v>
      </c>
      <c r="D18" s="15">
        <f>SUM(E18:N18)</f>
        <v>36674342.730000012</v>
      </c>
      <c r="E18" s="15">
        <v>20585373.914548367</v>
      </c>
      <c r="F18" s="15">
        <v>3858971.2595954076</v>
      </c>
      <c r="G18" s="15">
        <v>2524553.4153402322</v>
      </c>
      <c r="H18" s="15">
        <v>1438089.7088973408</v>
      </c>
      <c r="I18" s="15">
        <v>1600274.7741483839</v>
      </c>
      <c r="J18" s="15">
        <v>478763.46413621196</v>
      </c>
      <c r="K18" s="15">
        <v>2857330.0695926119</v>
      </c>
      <c r="L18" s="15">
        <v>3095106.377271418</v>
      </c>
      <c r="M18" s="15">
        <v>154766.71689743939</v>
      </c>
      <c r="N18" s="15">
        <v>81113.029572592262</v>
      </c>
    </row>
    <row r="19" spans="1:14" ht="15.75" thickBot="1">
      <c r="A19" s="13">
        <f t="shared" si="0"/>
        <v>11</v>
      </c>
      <c r="B19" s="9"/>
      <c r="C19" s="20" t="s">
        <v>37</v>
      </c>
      <c r="D19" s="17">
        <f>SUM(D16:D18)</f>
        <v>2022303272.73</v>
      </c>
      <c r="E19" s="17">
        <f t="shared" ref="E19:N19" si="2">SUM(E16:E18)</f>
        <v>1107668387.4230173</v>
      </c>
      <c r="F19" s="17">
        <f t="shared" si="2"/>
        <v>250436363.66773108</v>
      </c>
      <c r="G19" s="17">
        <f t="shared" si="2"/>
        <v>262150311.85378027</v>
      </c>
      <c r="H19" s="17">
        <f t="shared" si="2"/>
        <v>164263302.70077243</v>
      </c>
      <c r="I19" s="17">
        <f t="shared" si="2"/>
        <v>119653130.02729654</v>
      </c>
      <c r="J19" s="17">
        <f t="shared" si="2"/>
        <v>50077992.192636885</v>
      </c>
      <c r="K19" s="17">
        <f t="shared" si="2"/>
        <v>39467115.415629752</v>
      </c>
      <c r="L19" s="17">
        <f t="shared" si="2"/>
        <v>10128625.372915091</v>
      </c>
      <c r="M19" s="17">
        <f t="shared" si="2"/>
        <v>17156744.315821096</v>
      </c>
      <c r="N19" s="17">
        <f t="shared" si="2"/>
        <v>1301299.7603997136</v>
      </c>
    </row>
    <row r="20" spans="1:14" ht="15.75" thickTop="1">
      <c r="A20" s="13">
        <f t="shared" si="0"/>
        <v>12</v>
      </c>
      <c r="B20" s="14"/>
      <c r="C20" s="9"/>
      <c r="D20" s="21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>
      <c r="A21" s="13">
        <f t="shared" si="0"/>
        <v>13</v>
      </c>
      <c r="B21" s="9"/>
      <c r="C21" s="5" t="s">
        <v>38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spans="1:14">
      <c r="A22" s="13">
        <f t="shared" si="0"/>
        <v>14</v>
      </c>
      <c r="B22" s="14"/>
      <c r="C22" s="15" t="s">
        <v>39</v>
      </c>
      <c r="D22" s="15">
        <f>SUM(E22:N22)</f>
        <v>1216694101.0000002</v>
      </c>
      <c r="E22" s="15">
        <v>672199319.67606664</v>
      </c>
      <c r="F22" s="15">
        <v>146631483.5027276</v>
      </c>
      <c r="G22" s="15">
        <v>151631630.21913457</v>
      </c>
      <c r="H22" s="15">
        <v>100680910.30294651</v>
      </c>
      <c r="I22" s="15">
        <v>71403541.84985663</v>
      </c>
      <c r="J22" s="15">
        <v>34207464.214812413</v>
      </c>
      <c r="K22" s="15">
        <v>26342301.46933829</v>
      </c>
      <c r="L22" s="15">
        <v>3345806.2801041575</v>
      </c>
      <c r="M22" s="15">
        <v>9470072.5830885265</v>
      </c>
      <c r="N22" s="15">
        <v>781570.90192483459</v>
      </c>
    </row>
    <row r="23" spans="1:14">
      <c r="A23" s="13">
        <f t="shared" si="0"/>
        <v>15</v>
      </c>
      <c r="B23" s="14"/>
      <c r="C23" s="15" t="s">
        <v>40</v>
      </c>
      <c r="D23" s="15">
        <f>SUM(E23:N23)</f>
        <v>276726345.00000012</v>
      </c>
      <c r="E23" s="15">
        <v>161385179.47558022</v>
      </c>
      <c r="F23" s="15">
        <v>33317079.787373837</v>
      </c>
      <c r="G23" s="15">
        <v>31593459.531377256</v>
      </c>
      <c r="H23" s="15">
        <v>19005587.296516109</v>
      </c>
      <c r="I23" s="15">
        <v>14727637.977414066</v>
      </c>
      <c r="J23" s="15">
        <v>6304315.5529852193</v>
      </c>
      <c r="K23" s="15">
        <v>4358835.3421795443</v>
      </c>
      <c r="L23" s="15">
        <v>2467279.4519337658</v>
      </c>
      <c r="M23" s="15">
        <v>3215520.7977274959</v>
      </c>
      <c r="N23" s="15">
        <v>351449.78691253508</v>
      </c>
    </row>
    <row r="24" spans="1:14">
      <c r="A24" s="13">
        <f t="shared" si="0"/>
        <v>16</v>
      </c>
      <c r="B24" s="14"/>
      <c r="C24" s="15" t="s">
        <v>41</v>
      </c>
      <c r="D24" s="15">
        <f>SUM(E24:N24)</f>
        <v>125686554.73999999</v>
      </c>
      <c r="E24" s="15">
        <v>71482688.117767662</v>
      </c>
      <c r="F24" s="15">
        <v>15117987.617622152</v>
      </c>
      <c r="G24" s="15">
        <v>14976575.466677213</v>
      </c>
      <c r="H24" s="15">
        <v>9441522.0737148654</v>
      </c>
      <c r="I24" s="15">
        <v>7018894.4002618128</v>
      </c>
      <c r="J24" s="15">
        <v>3166326.021131088</v>
      </c>
      <c r="K24" s="15">
        <v>2310987.0293506449</v>
      </c>
      <c r="L24" s="15">
        <v>816675.14082956431</v>
      </c>
      <c r="M24" s="15">
        <v>1229422.4400584176</v>
      </c>
      <c r="N24" s="15">
        <v>125476.43258656815</v>
      </c>
    </row>
    <row r="25" spans="1:14">
      <c r="A25" s="13">
        <f t="shared" si="0"/>
        <v>17</v>
      </c>
      <c r="B25" s="14"/>
      <c r="C25" s="15" t="s">
        <v>42</v>
      </c>
      <c r="D25" s="15">
        <f>SUM(E25:N25)</f>
        <v>90327378.000000015</v>
      </c>
      <c r="E25" s="15">
        <v>51267348.266558245</v>
      </c>
      <c r="F25" s="15">
        <v>10770402.348411161</v>
      </c>
      <c r="G25" s="15">
        <v>10891455.25510578</v>
      </c>
      <c r="H25" s="15">
        <v>6693633.2645798838</v>
      </c>
      <c r="I25" s="15">
        <v>5111203.5430467157</v>
      </c>
      <c r="J25" s="15">
        <v>2197035.2395760054</v>
      </c>
      <c r="K25" s="15">
        <v>1559032.9848153896</v>
      </c>
      <c r="L25" s="15">
        <v>822956.15808486415</v>
      </c>
      <c r="M25" s="15">
        <v>911892.6507606646</v>
      </c>
      <c r="N25" s="15">
        <v>102418.28906130791</v>
      </c>
    </row>
    <row r="26" spans="1:14" ht="15.75" thickBot="1">
      <c r="A26" s="13">
        <f t="shared" si="0"/>
        <v>18</v>
      </c>
      <c r="B26" s="9"/>
      <c r="C26" s="20" t="s">
        <v>43</v>
      </c>
      <c r="D26" s="22">
        <f>SUM(D22:D25)</f>
        <v>1709434378.7400005</v>
      </c>
      <c r="E26" s="22">
        <f t="shared" ref="E26:N26" si="3">SUM(E22:E25)</f>
        <v>956334535.53597283</v>
      </c>
      <c r="F26" s="22">
        <f t="shared" si="3"/>
        <v>205836953.25613478</v>
      </c>
      <c r="G26" s="22">
        <f t="shared" si="3"/>
        <v>209093120.47229484</v>
      </c>
      <c r="H26" s="22">
        <f t="shared" si="3"/>
        <v>135821652.93775737</v>
      </c>
      <c r="I26" s="22">
        <f t="shared" si="3"/>
        <v>98261277.770579234</v>
      </c>
      <c r="J26" s="22">
        <f t="shared" si="3"/>
        <v>45875141.028504729</v>
      </c>
      <c r="K26" s="22">
        <f t="shared" si="3"/>
        <v>34571156.825683869</v>
      </c>
      <c r="L26" s="22">
        <f t="shared" si="3"/>
        <v>7452717.0309523512</v>
      </c>
      <c r="M26" s="22">
        <f t="shared" si="3"/>
        <v>14826908.471635103</v>
      </c>
      <c r="N26" s="22">
        <f t="shared" si="3"/>
        <v>1360915.4104852458</v>
      </c>
    </row>
    <row r="27" spans="1:14" ht="16.5" thickTop="1">
      <c r="A27" s="13">
        <f t="shared" si="0"/>
        <v>19</v>
      </c>
      <c r="B27" s="9"/>
      <c r="C27" s="9"/>
      <c r="D27" s="21"/>
      <c r="E27" s="21"/>
      <c r="F27" s="21"/>
      <c r="G27" s="21"/>
      <c r="H27" s="21"/>
      <c r="I27" s="21"/>
      <c r="J27" s="21"/>
      <c r="K27" s="21"/>
      <c r="L27" s="21"/>
      <c r="M27" s="23"/>
      <c r="N27" s="23"/>
    </row>
    <row r="28" spans="1:14">
      <c r="A28" s="13">
        <f t="shared" si="0"/>
        <v>20</v>
      </c>
      <c r="B28" s="5"/>
      <c r="C28" s="15" t="s">
        <v>44</v>
      </c>
      <c r="D28" s="15">
        <f>SUM(E28:N28)</f>
        <v>312868893.98999983</v>
      </c>
      <c r="E28" s="15">
        <f t="shared" ref="E28:N28" si="4">E19-E26</f>
        <v>151333851.88704443</v>
      </c>
      <c r="F28" s="15">
        <f t="shared" si="4"/>
        <v>44599410.411596298</v>
      </c>
      <c r="G28" s="15">
        <f t="shared" si="4"/>
        <v>53057191.381485432</v>
      </c>
      <c r="H28" s="15">
        <f t="shared" si="4"/>
        <v>28441649.763015062</v>
      </c>
      <c r="I28" s="15">
        <f t="shared" si="4"/>
        <v>21391852.256717309</v>
      </c>
      <c r="J28" s="15">
        <f>J19-J26</f>
        <v>4202851.1641321555</v>
      </c>
      <c r="K28" s="15">
        <f t="shared" si="4"/>
        <v>4895958.5899458826</v>
      </c>
      <c r="L28" s="15">
        <f t="shared" si="4"/>
        <v>2675908.3419627398</v>
      </c>
      <c r="M28" s="15">
        <f>M19-M26</f>
        <v>2329835.8441859931</v>
      </c>
      <c r="N28" s="15">
        <f t="shared" si="4"/>
        <v>-59615.650085532106</v>
      </c>
    </row>
    <row r="29" spans="1:14" ht="15.75" thickBot="1">
      <c r="A29" s="13">
        <f t="shared" si="0"/>
        <v>21</v>
      </c>
      <c r="B29" s="5"/>
      <c r="C29" s="24" t="s">
        <v>45</v>
      </c>
      <c r="D29" s="25">
        <f>IF(D13=0, 0, D28/D13)</f>
        <v>6.3788868126176609E-2</v>
      </c>
      <c r="E29" s="25">
        <f t="shared" ref="E29:N29" si="5">IF(E13=0, 0, E28/E13)</f>
        <v>5.4362215083915061E-2</v>
      </c>
      <c r="F29" s="25">
        <f t="shared" si="5"/>
        <v>7.6260404236208529E-2</v>
      </c>
      <c r="G29" s="25">
        <f t="shared" si="5"/>
        <v>8.9714007707770826E-2</v>
      </c>
      <c r="H29" s="25">
        <f t="shared" si="5"/>
        <v>7.8251880465357415E-2</v>
      </c>
      <c r="I29" s="25">
        <f t="shared" si="5"/>
        <v>7.707741256451793E-2</v>
      </c>
      <c r="J29" s="25">
        <f t="shared" si="5"/>
        <v>3.5229696407734705E-2</v>
      </c>
      <c r="K29" s="25">
        <f t="shared" si="5"/>
        <v>5.7834148409088633E-2</v>
      </c>
      <c r="L29" s="25">
        <f>IF(L13=0, 0, L28/L13)</f>
        <v>5.9882020700457957E-2</v>
      </c>
      <c r="M29" s="25">
        <f t="shared" si="5"/>
        <v>4.7052588465656284E-2</v>
      </c>
      <c r="N29" s="25">
        <f t="shared" si="5"/>
        <v>-1.0719750580145409E-2</v>
      </c>
    </row>
    <row r="30" spans="1:14" ht="15.75" thickTop="1">
      <c r="A30" s="13">
        <f t="shared" si="0"/>
        <v>22</v>
      </c>
      <c r="B30" s="5"/>
      <c r="C30" s="15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4">
      <c r="A31" s="13">
        <f t="shared" si="0"/>
        <v>23</v>
      </c>
      <c r="B31" s="5"/>
      <c r="C31" s="159" t="s">
        <v>46</v>
      </c>
      <c r="D31" s="159"/>
      <c r="E31" s="159"/>
      <c r="F31" s="159"/>
      <c r="G31" s="15"/>
      <c r="H31" s="15"/>
      <c r="I31" s="15"/>
      <c r="J31" s="15"/>
      <c r="K31" s="15"/>
      <c r="L31" s="15"/>
      <c r="M31" s="15"/>
      <c r="N31" s="15"/>
    </row>
    <row r="32" spans="1:14">
      <c r="A32" s="13">
        <f t="shared" si="0"/>
        <v>24</v>
      </c>
      <c r="B32" s="5"/>
      <c r="C32" s="15" t="s">
        <v>47</v>
      </c>
      <c r="D32" s="28">
        <v>8.4199999999999997E-2</v>
      </c>
      <c r="E32" s="28">
        <v>8.4199999999999997E-2</v>
      </c>
      <c r="F32" s="28">
        <v>8.4199999999999997E-2</v>
      </c>
      <c r="G32" s="28">
        <v>8.4199999999999997E-2</v>
      </c>
      <c r="H32" s="28">
        <v>8.4199999999999997E-2</v>
      </c>
      <c r="I32" s="28">
        <v>8.4199999999999997E-2</v>
      </c>
      <c r="J32" s="28">
        <v>8.4199999999999997E-2</v>
      </c>
      <c r="K32" s="28">
        <v>8.4199999999999997E-2</v>
      </c>
      <c r="L32" s="28">
        <v>8.4199999999999997E-2</v>
      </c>
      <c r="M32" s="28">
        <v>8.4199999999999997E-2</v>
      </c>
      <c r="N32" s="28">
        <v>8.4199999999999997E-2</v>
      </c>
    </row>
    <row r="33" spans="1:14">
      <c r="A33" s="13">
        <f t="shared" si="0"/>
        <v>25</v>
      </c>
      <c r="B33" s="5"/>
      <c r="C33" s="15" t="s">
        <v>48</v>
      </c>
      <c r="D33" s="15">
        <f>SUM(E33:N33)</f>
        <v>412980534.81446797</v>
      </c>
      <c r="E33" s="15">
        <f>E32*E13</f>
        <v>234396451.82264462</v>
      </c>
      <c r="F33" s="15">
        <f t="shared" ref="F33:N33" si="6">F32*F13</f>
        <v>49242728.179421343</v>
      </c>
      <c r="G33" s="15">
        <f t="shared" si="6"/>
        <v>49796187.111303419</v>
      </c>
      <c r="H33" s="15">
        <f t="shared" si="6"/>
        <v>30603570.109807838</v>
      </c>
      <c r="I33" s="15">
        <f t="shared" si="6"/>
        <v>23368635.506646015</v>
      </c>
      <c r="J33" s="15">
        <f t="shared" si="6"/>
        <v>10044936.633125026</v>
      </c>
      <c r="K33" s="15">
        <f t="shared" si="6"/>
        <v>7127963.7482940769</v>
      </c>
      <c r="L33" s="15">
        <f t="shared" si="6"/>
        <v>3762589.8351078788</v>
      </c>
      <c r="M33" s="15">
        <f t="shared" si="6"/>
        <v>4169211.1842825995</v>
      </c>
      <c r="N33" s="15">
        <f t="shared" si="6"/>
        <v>468260.68383521232</v>
      </c>
    </row>
    <row r="34" spans="1:14">
      <c r="A34" s="13">
        <f t="shared" si="0"/>
        <v>26</v>
      </c>
      <c r="B34" s="5"/>
      <c r="C34" s="16" t="s">
        <v>49</v>
      </c>
      <c r="D34" s="15">
        <f>SUM(E34:N34)</f>
        <v>100111640.82446824</v>
      </c>
      <c r="E34" s="15">
        <f>E33-E28</f>
        <v>83062599.935600191</v>
      </c>
      <c r="F34" s="15">
        <f t="shared" ref="F34:N34" si="7">F33-F28</f>
        <v>4643317.7678250447</v>
      </c>
      <c r="G34" s="15">
        <f t="shared" si="7"/>
        <v>-3261004.2701820135</v>
      </c>
      <c r="H34" s="15">
        <f t="shared" si="7"/>
        <v>2161920.3467927761</v>
      </c>
      <c r="I34" s="15">
        <f t="shared" si="7"/>
        <v>1976783.2499287054</v>
      </c>
      <c r="J34" s="15">
        <f t="shared" si="7"/>
        <v>5842085.4689928703</v>
      </c>
      <c r="K34" s="15">
        <f t="shared" si="7"/>
        <v>2232005.1583481943</v>
      </c>
      <c r="L34" s="15">
        <f t="shared" si="7"/>
        <v>1086681.493145139</v>
      </c>
      <c r="M34" s="15">
        <f t="shared" si="7"/>
        <v>1839375.3400966064</v>
      </c>
      <c r="N34" s="15">
        <f t="shared" si="7"/>
        <v>527876.33392074448</v>
      </c>
    </row>
    <row r="35" spans="1:14">
      <c r="A35" s="13">
        <f t="shared" si="0"/>
        <v>27</v>
      </c>
      <c r="B35" s="5"/>
      <c r="C35" s="15" t="s">
        <v>50</v>
      </c>
      <c r="D35" s="29">
        <f>+D34/D36</f>
        <v>0.62074899739878364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</row>
    <row r="36" spans="1:14">
      <c r="A36" s="13">
        <f t="shared" si="0"/>
        <v>28</v>
      </c>
      <c r="B36" s="5"/>
      <c r="C36" s="30" t="s">
        <v>51</v>
      </c>
      <c r="D36" s="31">
        <f>SUM(E36:N36)</f>
        <v>161275557.82446828</v>
      </c>
      <c r="E36" s="31">
        <f t="shared" ref="E36:N36" si="8">SUM(E34,E212:E215)</f>
        <v>117943179.91901086</v>
      </c>
      <c r="F36" s="31">
        <f t="shared" si="8"/>
        <v>11912359.40344407</v>
      </c>
      <c r="G36" s="31">
        <f t="shared" si="8"/>
        <v>4064758.8593939035</v>
      </c>
      <c r="H36" s="31">
        <f t="shared" si="8"/>
        <v>6680260.4493120648</v>
      </c>
      <c r="I36" s="31">
        <f t="shared" si="8"/>
        <v>5407362.9750706051</v>
      </c>
      <c r="J36" s="31">
        <f t="shared" si="8"/>
        <v>7327641.6571324728</v>
      </c>
      <c r="K36" s="31">
        <f t="shared" si="8"/>
        <v>3293767.6104569314</v>
      </c>
      <c r="L36" s="31">
        <f t="shared" si="8"/>
        <v>1609795.7746342204</v>
      </c>
      <c r="M36" s="31">
        <f t="shared" si="8"/>
        <v>2442016.4462265116</v>
      </c>
      <c r="N36" s="31">
        <f t="shared" si="8"/>
        <v>594414.72978663375</v>
      </c>
    </row>
    <row r="37" spans="1:14">
      <c r="A37" s="13">
        <f t="shared" si="0"/>
        <v>29</v>
      </c>
      <c r="B37" s="5"/>
      <c r="C37" s="32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</row>
    <row r="38" spans="1:14">
      <c r="A38" s="13">
        <f t="shared" si="0"/>
        <v>30</v>
      </c>
      <c r="B38" s="5"/>
      <c r="C38" s="15" t="s">
        <v>52</v>
      </c>
      <c r="D38" s="15">
        <f>SUM(E38:N38)</f>
        <v>2183578830.5544682</v>
      </c>
      <c r="E38" s="15">
        <f>E36+E19</f>
        <v>1225611567.3420281</v>
      </c>
      <c r="F38" s="15">
        <f t="shared" ref="F38:N38" si="9">F36+F19</f>
        <v>262348723.07117516</v>
      </c>
      <c r="G38" s="15">
        <f t="shared" si="9"/>
        <v>266215070.71317416</v>
      </c>
      <c r="H38" s="15">
        <f t="shared" si="9"/>
        <v>170943563.1500845</v>
      </c>
      <c r="I38" s="15">
        <f t="shared" si="9"/>
        <v>125060493.00236715</v>
      </c>
      <c r="J38" s="15">
        <f t="shared" si="9"/>
        <v>57405633.849769354</v>
      </c>
      <c r="K38" s="15">
        <f t="shared" si="9"/>
        <v>42760883.026086681</v>
      </c>
      <c r="L38" s="15">
        <f t="shared" si="9"/>
        <v>11738421.147549311</v>
      </c>
      <c r="M38" s="15">
        <f t="shared" si="9"/>
        <v>19598760.762047607</v>
      </c>
      <c r="N38" s="15">
        <f t="shared" si="9"/>
        <v>1895714.4901863474</v>
      </c>
    </row>
    <row r="39" spans="1:14">
      <c r="A39" s="13">
        <f t="shared" si="0"/>
        <v>31</v>
      </c>
      <c r="B39" s="5"/>
      <c r="C39" s="15" t="s">
        <v>53</v>
      </c>
      <c r="D39" s="15">
        <f>SUM(E39:N39)</f>
        <v>43749168.730000012</v>
      </c>
      <c r="E39" s="15">
        <f>SUM(E17:E18)</f>
        <v>24352792.020120408</v>
      </c>
      <c r="F39" s="15">
        <f t="shared" ref="F39:N39" si="10">SUM(F17:F18)</f>
        <v>4713101.7847431293</v>
      </c>
      <c r="G39" s="15">
        <f t="shared" si="10"/>
        <v>3472151.9740514201</v>
      </c>
      <c r="H39" s="15">
        <f t="shared" si="10"/>
        <v>2084445.7731829197</v>
      </c>
      <c r="I39" s="15">
        <f t="shared" si="10"/>
        <v>2041275.080993643</v>
      </c>
      <c r="J39" s="15">
        <f t="shared" si="10"/>
        <v>696560.21130265784</v>
      </c>
      <c r="K39" s="15">
        <f t="shared" si="10"/>
        <v>3029010.4321135972</v>
      </c>
      <c r="L39" s="15">
        <f>SUM(L17:L18)</f>
        <v>3095106.377271418</v>
      </c>
      <c r="M39" s="15">
        <f t="shared" si="10"/>
        <v>181171.31582109712</v>
      </c>
      <c r="N39" s="15">
        <f t="shared" si="10"/>
        <v>83553.760399713588</v>
      </c>
    </row>
    <row r="40" spans="1:14">
      <c r="A40" s="13">
        <f t="shared" si="0"/>
        <v>32</v>
      </c>
      <c r="B40" s="5"/>
      <c r="C40" s="31" t="s">
        <v>54</v>
      </c>
      <c r="D40" s="31">
        <f>SUM(E40:N40)</f>
        <v>2139829661.8244689</v>
      </c>
      <c r="E40" s="31">
        <f>E38-E39</f>
        <v>1201258775.3219078</v>
      </c>
      <c r="F40" s="31">
        <f t="shared" ref="F40:N40" si="11">F38-F39</f>
        <v>257635621.28643203</v>
      </c>
      <c r="G40" s="31">
        <f t="shared" si="11"/>
        <v>262742918.73912275</v>
      </c>
      <c r="H40" s="31">
        <f t="shared" si="11"/>
        <v>168859117.37690157</v>
      </c>
      <c r="I40" s="31">
        <f t="shared" si="11"/>
        <v>123019217.92137352</v>
      </c>
      <c r="J40" s="31">
        <f t="shared" si="11"/>
        <v>56709073.638466693</v>
      </c>
      <c r="K40" s="31">
        <f t="shared" si="11"/>
        <v>39731872.593973085</v>
      </c>
      <c r="L40" s="31">
        <f>L38-L39</f>
        <v>8643314.7702778932</v>
      </c>
      <c r="M40" s="31">
        <f t="shared" si="11"/>
        <v>19417589.446226511</v>
      </c>
      <c r="N40" s="31">
        <f t="shared" si="11"/>
        <v>1812160.7297866337</v>
      </c>
    </row>
    <row r="41" spans="1:14">
      <c r="A41" s="13">
        <f t="shared" si="0"/>
        <v>33</v>
      </c>
      <c r="B41" s="5"/>
      <c r="C41" s="15" t="s">
        <v>55</v>
      </c>
      <c r="D41" s="28">
        <f>IF(D16=0,0,(D40/D16)-1)</f>
        <v>8.1511825983642039E-2</v>
      </c>
      <c r="E41" s="28">
        <f t="shared" ref="E41:N41" si="12">IF(E16=0,0,(E40/E16)-1)</f>
        <v>0.10887241023715388</v>
      </c>
      <c r="F41" s="28">
        <f t="shared" si="12"/>
        <v>4.847876148216157E-2</v>
      </c>
      <c r="G41" s="28">
        <f t="shared" si="12"/>
        <v>1.5713575747112962E-2</v>
      </c>
      <c r="H41" s="28">
        <f t="shared" si="12"/>
        <v>4.1190698811588655E-2</v>
      </c>
      <c r="I41" s="28">
        <f t="shared" si="12"/>
        <v>4.5976342925119429E-2</v>
      </c>
      <c r="J41" s="28">
        <f t="shared" si="12"/>
        <v>0.14838860201345017</v>
      </c>
      <c r="K41" s="28">
        <f t="shared" si="12"/>
        <v>9.0393493622869858E-2</v>
      </c>
      <c r="L41" s="28">
        <f t="shared" si="12"/>
        <v>0.22887487410374141</v>
      </c>
      <c r="M41" s="28">
        <f t="shared" si="12"/>
        <v>0.14385472856948689</v>
      </c>
      <c r="N41" s="28">
        <f t="shared" si="12"/>
        <v>0.48812702302995348</v>
      </c>
    </row>
    <row r="42" spans="1:14">
      <c r="A42" s="13">
        <f t="shared" si="0"/>
        <v>34</v>
      </c>
      <c r="B42" s="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</row>
    <row r="43" spans="1:14">
      <c r="A43" s="13">
        <f t="shared" si="0"/>
        <v>35</v>
      </c>
      <c r="B43" s="5"/>
      <c r="C43" s="5" t="s">
        <v>56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</row>
    <row r="44" spans="1:14">
      <c r="A44" s="13">
        <f t="shared" si="0"/>
        <v>36</v>
      </c>
      <c r="B44" s="5"/>
      <c r="C44" s="15" t="s">
        <v>39</v>
      </c>
      <c r="D44" s="15">
        <f>SUM(E44:N44)</f>
        <v>1217733361.0000002</v>
      </c>
      <c r="E44" s="15">
        <f t="shared" ref="E44:N44" si="13">+E22+E212+E213</f>
        <v>673000586.59835434</v>
      </c>
      <c r="F44" s="15">
        <f t="shared" si="13"/>
        <v>146725294.43117005</v>
      </c>
      <c r="G44" s="15">
        <f t="shared" si="13"/>
        <v>151697426.87876537</v>
      </c>
      <c r="H44" s="15">
        <f t="shared" si="13"/>
        <v>100714348.80684917</v>
      </c>
      <c r="I44" s="15">
        <f t="shared" si="13"/>
        <v>71426646.431273937</v>
      </c>
      <c r="J44" s="15">
        <f t="shared" si="13"/>
        <v>34216948.345197581</v>
      </c>
      <c r="K44" s="15">
        <f t="shared" si="13"/>
        <v>26350259.272202354</v>
      </c>
      <c r="L44" s="15">
        <f t="shared" si="13"/>
        <v>3346556.3607682856</v>
      </c>
      <c r="M44" s="15">
        <f t="shared" si="13"/>
        <v>9473529.6662733126</v>
      </c>
      <c r="N44" s="15">
        <f t="shared" si="13"/>
        <v>781764.20914581895</v>
      </c>
    </row>
    <row r="45" spans="1:14">
      <c r="A45" s="13">
        <f t="shared" si="0"/>
        <v>37</v>
      </c>
      <c r="B45" s="5"/>
      <c r="C45" s="15" t="s">
        <v>40</v>
      </c>
      <c r="D45" s="15">
        <f>SUM(E45:N45)</f>
        <v>276726345.00000012</v>
      </c>
      <c r="E45" s="15">
        <f>+E23</f>
        <v>161385179.47558022</v>
      </c>
      <c r="F45" s="15">
        <f t="shared" ref="F45:N45" si="14">+F23</f>
        <v>33317079.787373837</v>
      </c>
      <c r="G45" s="15">
        <f t="shared" si="14"/>
        <v>31593459.531377256</v>
      </c>
      <c r="H45" s="15">
        <f t="shared" si="14"/>
        <v>19005587.296516109</v>
      </c>
      <c r="I45" s="15">
        <f t="shared" si="14"/>
        <v>14727637.977414066</v>
      </c>
      <c r="J45" s="15">
        <f t="shared" si="14"/>
        <v>6304315.5529852193</v>
      </c>
      <c r="K45" s="15">
        <f t="shared" si="14"/>
        <v>4358835.3421795443</v>
      </c>
      <c r="L45" s="15">
        <f t="shared" si="14"/>
        <v>2467279.4519337658</v>
      </c>
      <c r="M45" s="15">
        <f t="shared" si="14"/>
        <v>3215520.7977274959</v>
      </c>
      <c r="N45" s="15">
        <f t="shared" si="14"/>
        <v>351449.78691253508</v>
      </c>
    </row>
    <row r="46" spans="1:14">
      <c r="A46" s="13">
        <f t="shared" si="0"/>
        <v>38</v>
      </c>
      <c r="B46" s="5"/>
      <c r="C46" s="15" t="s">
        <v>41</v>
      </c>
      <c r="D46" s="15">
        <f>SUM(E46:N46)</f>
        <v>131905017.74000001</v>
      </c>
      <c r="E46" s="15">
        <f t="shared" ref="E46:N46" si="15">+E24+E214</f>
        <v>74966320.415051281</v>
      </c>
      <c r="F46" s="15">
        <f t="shared" si="15"/>
        <v>15865583.522297228</v>
      </c>
      <c r="G46" s="15">
        <f t="shared" si="15"/>
        <v>15736664.347747179</v>
      </c>
      <c r="H46" s="15">
        <f t="shared" si="15"/>
        <v>9931751.1675534118</v>
      </c>
      <c r="I46" s="15">
        <f t="shared" si="15"/>
        <v>7376070.3338735783</v>
      </c>
      <c r="J46" s="15">
        <f t="shared" si="15"/>
        <v>3331236.2753244722</v>
      </c>
      <c r="K46" s="15">
        <f t="shared" si="15"/>
        <v>2434381.2494133986</v>
      </c>
      <c r="L46" s="15">
        <f t="shared" si="15"/>
        <v>847909.90456162055</v>
      </c>
      <c r="M46" s="15">
        <f t="shared" si="15"/>
        <v>1284400.8940222415</v>
      </c>
      <c r="N46" s="15">
        <f t="shared" si="15"/>
        <v>130699.6301555809</v>
      </c>
    </row>
    <row r="47" spans="1:14">
      <c r="A47" s="13">
        <f t="shared" si="0"/>
        <v>39</v>
      </c>
      <c r="B47" s="5"/>
      <c r="C47" s="15" t="s">
        <v>42</v>
      </c>
      <c r="D47" s="15">
        <f>SUM(E47:N47)</f>
        <v>144233572.00000003</v>
      </c>
      <c r="E47" s="15">
        <f t="shared" ref="E47:N47" si="16">+E25+E215</f>
        <v>81863029.030397668</v>
      </c>
      <c r="F47" s="15">
        <f t="shared" si="16"/>
        <v>17198037.150912654</v>
      </c>
      <c r="G47" s="15">
        <f t="shared" si="16"/>
        <v>17391332.843980901</v>
      </c>
      <c r="H47" s="15">
        <f t="shared" si="16"/>
        <v>10688305.769357964</v>
      </c>
      <c r="I47" s="15">
        <f t="shared" si="16"/>
        <v>8161502.7531595519</v>
      </c>
      <c r="J47" s="15">
        <f t="shared" si="16"/>
        <v>3508197.0431370549</v>
      </c>
      <c r="K47" s="15">
        <f t="shared" si="16"/>
        <v>2489443.4139973088</v>
      </c>
      <c r="L47" s="15">
        <f t="shared" si="16"/>
        <v>1314085.5951777613</v>
      </c>
      <c r="M47" s="15">
        <f t="shared" si="16"/>
        <v>1456098.2197419605</v>
      </c>
      <c r="N47" s="15">
        <f t="shared" si="16"/>
        <v>163540.18013720011</v>
      </c>
    </row>
    <row r="48" spans="1:14" ht="15.75" thickBot="1">
      <c r="A48" s="13">
        <f t="shared" si="0"/>
        <v>40</v>
      </c>
      <c r="B48" s="5"/>
      <c r="C48" s="33" t="s">
        <v>57</v>
      </c>
      <c r="D48" s="24">
        <f>SUM(D44:D47)</f>
        <v>1770598295.7400005</v>
      </c>
      <c r="E48" s="24">
        <f t="shared" ref="E48:N48" si="17">SUM(E44:E47)</f>
        <v>991215115.51938343</v>
      </c>
      <c r="F48" s="24">
        <f t="shared" si="17"/>
        <v>213105994.89175376</v>
      </c>
      <c r="G48" s="24">
        <f t="shared" si="17"/>
        <v>216418883.60187072</v>
      </c>
      <c r="H48" s="24">
        <f t="shared" si="17"/>
        <v>140339993.04027665</v>
      </c>
      <c r="I48" s="24">
        <f t="shared" si="17"/>
        <v>101691857.49572115</v>
      </c>
      <c r="J48" s="24">
        <f t="shared" si="17"/>
        <v>47360697.216644332</v>
      </c>
      <c r="K48" s="24">
        <f t="shared" si="17"/>
        <v>35632919.277792603</v>
      </c>
      <c r="L48" s="24">
        <f t="shared" si="17"/>
        <v>7975831.3124414328</v>
      </c>
      <c r="M48" s="24">
        <f t="shared" si="17"/>
        <v>15429549.57776501</v>
      </c>
      <c r="N48" s="24">
        <f t="shared" si="17"/>
        <v>1427453.806351135</v>
      </c>
    </row>
    <row r="49" spans="1:14" ht="15.75" thickTop="1">
      <c r="A49" s="13">
        <f t="shared" si="0"/>
        <v>41</v>
      </c>
      <c r="B49" s="5"/>
      <c r="C49" s="34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</row>
    <row r="50" spans="1:14">
      <c r="A50" s="13">
        <f t="shared" si="0"/>
        <v>42</v>
      </c>
      <c r="B50" s="5"/>
      <c r="C50" s="35" t="s">
        <v>58</v>
      </c>
      <c r="D50" s="15">
        <f>SUM(E50:N50)</f>
        <v>2139829661</v>
      </c>
      <c r="E50" s="27">
        <f t="shared" ref="E50:N50" si="18">+E16+E217</f>
        <v>1174491676.6941645</v>
      </c>
      <c r="F50" s="27">
        <f t="shared" si="18"/>
        <v>266404293.55411738</v>
      </c>
      <c r="G50" s="27">
        <f t="shared" si="18"/>
        <v>275006684.78708917</v>
      </c>
      <c r="H50" s="27">
        <f t="shared" si="18"/>
        <v>175828464.46509963</v>
      </c>
      <c r="I50" s="27">
        <f t="shared" si="18"/>
        <v>127510529.03534462</v>
      </c>
      <c r="J50" s="27">
        <f t="shared" si="18"/>
        <v>53093189.587166101</v>
      </c>
      <c r="K50" s="27">
        <f t="shared" si="18"/>
        <v>39504878.503272355</v>
      </c>
      <c r="L50" s="27">
        <f t="shared" si="18"/>
        <v>7773479.6260545263</v>
      </c>
      <c r="M50" s="27">
        <f t="shared" si="18"/>
        <v>18404303.747691844</v>
      </c>
      <c r="N50" s="27">
        <f t="shared" si="18"/>
        <v>1812161</v>
      </c>
    </row>
    <row r="51" spans="1:14">
      <c r="A51" s="13">
        <f t="shared" si="0"/>
        <v>43</v>
      </c>
      <c r="B51" s="5"/>
      <c r="C51" s="27" t="s">
        <v>59</v>
      </c>
      <c r="D51" s="15">
        <f>SUM(E51:N51)</f>
        <v>43749168.730000012</v>
      </c>
      <c r="E51" s="27">
        <f>+E39</f>
        <v>24352792.020120408</v>
      </c>
      <c r="F51" s="27">
        <f t="shared" ref="F51:N51" si="19">+F39</f>
        <v>4713101.7847431293</v>
      </c>
      <c r="G51" s="27">
        <f t="shared" si="19"/>
        <v>3472151.9740514201</v>
      </c>
      <c r="H51" s="27">
        <f t="shared" si="19"/>
        <v>2084445.7731829197</v>
      </c>
      <c r="I51" s="27">
        <f t="shared" si="19"/>
        <v>2041275.080993643</v>
      </c>
      <c r="J51" s="27">
        <f t="shared" si="19"/>
        <v>696560.21130265784</v>
      </c>
      <c r="K51" s="27">
        <f t="shared" si="19"/>
        <v>3029010.4321135972</v>
      </c>
      <c r="L51" s="27">
        <f t="shared" si="19"/>
        <v>3095106.377271418</v>
      </c>
      <c r="M51" s="27">
        <f t="shared" si="19"/>
        <v>181171.31582109712</v>
      </c>
      <c r="N51" s="27">
        <f t="shared" si="19"/>
        <v>83553.760399713588</v>
      </c>
    </row>
    <row r="52" spans="1:14">
      <c r="A52" s="13">
        <f t="shared" si="0"/>
        <v>44</v>
      </c>
      <c r="B52" s="5"/>
      <c r="C52" s="36" t="s">
        <v>60</v>
      </c>
      <c r="D52" s="37">
        <f>SUM(D50:D51)</f>
        <v>2183578829.73</v>
      </c>
      <c r="E52" s="37">
        <f t="shared" ref="E52:N52" si="20">SUM(E50:E51)</f>
        <v>1198844468.7142849</v>
      </c>
      <c r="F52" s="37">
        <f t="shared" si="20"/>
        <v>271117395.33886051</v>
      </c>
      <c r="G52" s="37">
        <f t="shared" si="20"/>
        <v>278478836.76114058</v>
      </c>
      <c r="H52" s="37">
        <f t="shared" si="20"/>
        <v>177912910.23828256</v>
      </c>
      <c r="I52" s="37">
        <f t="shared" si="20"/>
        <v>129551804.11633825</v>
      </c>
      <c r="J52" s="37">
        <f t="shared" si="20"/>
        <v>53789749.798468761</v>
      </c>
      <c r="K52" s="37">
        <f t="shared" si="20"/>
        <v>42533888.93538595</v>
      </c>
      <c r="L52" s="37">
        <f t="shared" si="20"/>
        <v>10868586.003325945</v>
      </c>
      <c r="M52" s="37">
        <f t="shared" si="20"/>
        <v>18585475.06351294</v>
      </c>
      <c r="N52" s="37">
        <f t="shared" si="20"/>
        <v>1895714.7603997136</v>
      </c>
    </row>
    <row r="53" spans="1:14" ht="15.75" thickBot="1">
      <c r="A53" s="13">
        <f t="shared" si="0"/>
        <v>45</v>
      </c>
      <c r="B53" s="5"/>
      <c r="C53" s="39" t="s">
        <v>61</v>
      </c>
      <c r="D53" s="40">
        <f>SUM(E53:N53)</f>
        <v>161275556.99999997</v>
      </c>
      <c r="E53" s="40">
        <f>+E52-E19</f>
        <v>91176081.291267633</v>
      </c>
      <c r="F53" s="40">
        <f t="shared" ref="F53:N53" si="21">+F52-F19</f>
        <v>20681031.671129435</v>
      </c>
      <c r="G53" s="40">
        <f t="shared" si="21"/>
        <v>16328524.907360315</v>
      </c>
      <c r="H53" s="40">
        <f t="shared" si="21"/>
        <v>13649607.537510127</v>
      </c>
      <c r="I53" s="40">
        <f t="shared" si="21"/>
        <v>9898674.0890417099</v>
      </c>
      <c r="J53" s="40">
        <f t="shared" si="21"/>
        <v>3711757.6058318764</v>
      </c>
      <c r="K53" s="40">
        <f t="shared" si="21"/>
        <v>3066773.5197561979</v>
      </c>
      <c r="L53" s="40">
        <f t="shared" si="21"/>
        <v>739960.63041085377</v>
      </c>
      <c r="M53" s="40">
        <f t="shared" si="21"/>
        <v>1428730.7476918437</v>
      </c>
      <c r="N53" s="40">
        <f t="shared" si="21"/>
        <v>594415</v>
      </c>
    </row>
    <row r="54" spans="1:14" ht="16.5" thickTop="1" thickBot="1">
      <c r="A54" s="13">
        <f t="shared" si="0"/>
        <v>46</v>
      </c>
      <c r="B54" s="5"/>
      <c r="C54" s="39" t="s">
        <v>62</v>
      </c>
      <c r="D54" s="40">
        <f>SUM(E54:N54)</f>
        <v>-0.82446828437969089</v>
      </c>
      <c r="E54" s="40">
        <f>+E53-E36</f>
        <v>-26767098.627743229</v>
      </c>
      <c r="F54" s="40">
        <f t="shared" ref="F54:N54" si="22">+F53-F36</f>
        <v>8768672.2676853649</v>
      </c>
      <c r="G54" s="40">
        <f t="shared" si="22"/>
        <v>12263766.047966411</v>
      </c>
      <c r="H54" s="40">
        <f t="shared" si="22"/>
        <v>6969347.088198062</v>
      </c>
      <c r="I54" s="40">
        <f t="shared" si="22"/>
        <v>4491311.1139711048</v>
      </c>
      <c r="J54" s="40">
        <f t="shared" si="22"/>
        <v>-3615884.0513005964</v>
      </c>
      <c r="K54" s="40">
        <f t="shared" si="22"/>
        <v>-226994.09070073348</v>
      </c>
      <c r="L54" s="40">
        <f t="shared" si="22"/>
        <v>-869835.14422336663</v>
      </c>
      <c r="M54" s="40">
        <f t="shared" si="22"/>
        <v>-1013285.698534668</v>
      </c>
      <c r="N54" s="40">
        <f t="shared" si="22"/>
        <v>0.2702133662533015</v>
      </c>
    </row>
    <row r="55" spans="1:14" ht="15.75" thickTop="1">
      <c r="A55" s="13">
        <f t="shared" si="0"/>
        <v>47</v>
      </c>
      <c r="B55" s="5"/>
      <c r="C55" s="34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</row>
    <row r="56" spans="1:14">
      <c r="A56" s="13">
        <f t="shared" si="0"/>
        <v>48</v>
      </c>
      <c r="B56" s="5"/>
      <c r="C56" s="15" t="s">
        <v>63</v>
      </c>
      <c r="D56" s="43">
        <f>+D16/D40</f>
        <v>0.92463159068139955</v>
      </c>
      <c r="E56" s="43">
        <f>+E16/E40</f>
        <v>0.90181700867291892</v>
      </c>
      <c r="F56" s="43">
        <f t="shared" ref="F56:M56" si="23">+F16/F40</f>
        <v>0.95376276252498382</v>
      </c>
      <c r="G56" s="43">
        <f t="shared" si="23"/>
        <v>0.98452952079964595</v>
      </c>
      <c r="H56" s="43">
        <f t="shared" si="23"/>
        <v>0.9604388524997356</v>
      </c>
      <c r="I56" s="43">
        <f t="shared" si="23"/>
        <v>0.95604456712993668</v>
      </c>
      <c r="J56" s="43">
        <f t="shared" si="23"/>
        <v>0.87078537547892498</v>
      </c>
      <c r="K56" s="43">
        <f t="shared" si="23"/>
        <v>0.91710011647030809</v>
      </c>
      <c r="L56" s="43">
        <f t="shared" si="23"/>
        <v>0.8137524991951135</v>
      </c>
      <c r="M56" s="43">
        <f t="shared" si="23"/>
        <v>0.87423688954855949</v>
      </c>
      <c r="N56" s="43">
        <f>+N16/N40</f>
        <v>0.6719856467386196</v>
      </c>
    </row>
    <row r="57" spans="1:14">
      <c r="A57" s="13">
        <f t="shared" si="0"/>
        <v>49</v>
      </c>
      <c r="B57" s="5"/>
      <c r="C57" s="44" t="s">
        <v>64</v>
      </c>
      <c r="D57" s="45">
        <f>+D56/$D$56</f>
        <v>1</v>
      </c>
      <c r="E57" s="45">
        <f>+E56/$D$56</f>
        <v>0.97532575975295455</v>
      </c>
      <c r="F57" s="45">
        <f t="shared" ref="F57:M57" si="24">+F56/$D$56</f>
        <v>1.031505706853598</v>
      </c>
      <c r="G57" s="45">
        <f t="shared" si="24"/>
        <v>1.0647803197748253</v>
      </c>
      <c r="H57" s="45">
        <f t="shared" si="24"/>
        <v>1.0387259771126229</v>
      </c>
      <c r="I57" s="45">
        <f t="shared" si="24"/>
        <v>1.0339735055184385</v>
      </c>
      <c r="J57" s="45">
        <f t="shared" si="24"/>
        <v>0.94176468147406356</v>
      </c>
      <c r="K57" s="45">
        <f t="shared" si="24"/>
        <v>0.99185462157361381</v>
      </c>
      <c r="L57" s="46">
        <f t="shared" si="24"/>
        <v>0.88008295130325942</v>
      </c>
      <c r="M57" s="45">
        <f t="shared" si="24"/>
        <v>0.9454975347579222</v>
      </c>
      <c r="N57" s="45">
        <f>+N56/$D$56</f>
        <v>0.72676042383908313</v>
      </c>
    </row>
    <row r="58" spans="1:14" ht="15.75" thickBot="1">
      <c r="A58" s="13">
        <f t="shared" si="0"/>
        <v>50</v>
      </c>
      <c r="B58" s="5"/>
      <c r="C58" s="24" t="s">
        <v>65</v>
      </c>
      <c r="D58" s="47">
        <f>+D52/D38</f>
        <v>0.99999999962242347</v>
      </c>
      <c r="E58" s="47">
        <f t="shared" ref="E58:N58" si="25">+E52/E38</f>
        <v>0.97816021050960478</v>
      </c>
      <c r="F58" s="47">
        <f t="shared" si="25"/>
        <v>1.0334237276440124</v>
      </c>
      <c r="G58" s="47">
        <f t="shared" si="25"/>
        <v>1.0460671366767949</v>
      </c>
      <c r="H58" s="47">
        <f t="shared" si="25"/>
        <v>1.040769871411181</v>
      </c>
      <c r="I58" s="47">
        <f t="shared" si="25"/>
        <v>1.0359131089774778</v>
      </c>
      <c r="J58" s="47">
        <f t="shared" si="25"/>
        <v>0.93701168667933588</v>
      </c>
      <c r="K58" s="47">
        <f t="shared" si="25"/>
        <v>0.9946915481010471</v>
      </c>
      <c r="L58" s="47">
        <f>+L52/L38</f>
        <v>0.92589845488675737</v>
      </c>
      <c r="M58" s="47">
        <f t="shared" si="25"/>
        <v>0.94829848117250026</v>
      </c>
      <c r="N58" s="47">
        <f t="shared" si="25"/>
        <v>1.0000001425390626</v>
      </c>
    </row>
    <row r="59" spans="1:14" ht="15.75" thickTop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.75">
      <c r="A60" s="3" t="str">
        <f>A1</f>
        <v>Puget Sound Energy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</row>
    <row r="61" spans="1:14" ht="15.75">
      <c r="A61" s="3" t="str">
        <f>A2</f>
        <v>ELECTRIC COST OF SERVICE SUMMARY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</row>
    <row r="62" spans="1:14" ht="15.75">
      <c r="A62" s="3" t="s">
        <v>2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3" spans="1:14" ht="15.75">
      <c r="A63" s="3" t="s">
        <v>66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</row>
    <row r="64" spans="1:14" ht="18.75">
      <c r="A64" s="4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ht="38.25">
      <c r="A65" s="38"/>
      <c r="B65" s="6"/>
      <c r="C65" s="6"/>
      <c r="D65" s="6" t="s">
        <v>67</v>
      </c>
      <c r="E65" s="49" t="str">
        <f>+E6</f>
        <v>Residential
Sch 7</v>
      </c>
      <c r="F65" s="49" t="str">
        <f t="shared" ref="F65:N65" si="26">+F6</f>
        <v>Sec Volt
Sch 24
(kW&lt; 50)</v>
      </c>
      <c r="G65" s="49" t="str">
        <f t="shared" si="26"/>
        <v>Sec Volt
Sch 25
(kW &gt; 50 &amp; &lt; 350)</v>
      </c>
      <c r="H65" s="49" t="str">
        <f t="shared" si="26"/>
        <v>Sec Volt
Sch 26
(kW &gt; 350)</v>
      </c>
      <c r="I65" s="49" t="str">
        <f t="shared" si="26"/>
        <v>Pri Volt
Sch 31/35/43</v>
      </c>
      <c r="J65" s="49" t="str">
        <f t="shared" si="26"/>
        <v>Campus
Sch 40</v>
      </c>
      <c r="K65" s="49" t="str">
        <f t="shared" si="26"/>
        <v>High Volt
Sch 46/49</v>
      </c>
      <c r="L65" s="49" t="str">
        <f t="shared" si="26"/>
        <v>Choice /
Retail Wheeling
Sch 448/449</v>
      </c>
      <c r="M65" s="49" t="str">
        <f t="shared" si="26"/>
        <v>Lighting
Sch 50-59</v>
      </c>
      <c r="N65" s="49" t="str">
        <f t="shared" si="26"/>
        <v>Firm Resale /
Special Contract</v>
      </c>
    </row>
    <row r="66" spans="1:14">
      <c r="A66" s="9"/>
      <c r="B66" s="9"/>
      <c r="C66" s="10" t="s">
        <v>16</v>
      </c>
      <c r="D66" s="10" t="s">
        <v>17</v>
      </c>
      <c r="E66" s="10" t="s">
        <v>18</v>
      </c>
      <c r="F66" s="10" t="s">
        <v>19</v>
      </c>
      <c r="G66" s="10" t="s">
        <v>20</v>
      </c>
      <c r="H66" s="11" t="s">
        <v>21</v>
      </c>
      <c r="I66" s="11" t="s">
        <v>22</v>
      </c>
      <c r="J66" s="11" t="s">
        <v>23</v>
      </c>
      <c r="K66" s="11" t="s">
        <v>24</v>
      </c>
      <c r="L66" s="11" t="s">
        <v>25</v>
      </c>
      <c r="M66" s="11" t="s">
        <v>26</v>
      </c>
      <c r="N66" s="11" t="s">
        <v>27</v>
      </c>
    </row>
    <row r="67" spans="1:14">
      <c r="A67" s="13"/>
      <c r="B67" s="9"/>
      <c r="C67" s="50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</row>
    <row r="68" spans="1:14">
      <c r="A68" s="13">
        <v>1</v>
      </c>
      <c r="B68" s="9"/>
      <c r="C68" s="51" t="s">
        <v>68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</row>
    <row r="69" spans="1:14">
      <c r="A69" s="13">
        <f t="shared" ref="A69:A93" si="27">+A68+1</f>
        <v>2</v>
      </c>
      <c r="B69" s="9" t="str">
        <f>IF(OR((C68="~"),(C69="~")),"~","")</f>
        <v/>
      </c>
      <c r="C69" s="51" t="s">
        <v>69</v>
      </c>
      <c r="D69" s="15">
        <f t="shared" ref="D69:D74" si="28">SUM(E69:N69)</f>
        <v>461559358.90502942</v>
      </c>
      <c r="E69" s="15">
        <v>289304299.60795969</v>
      </c>
      <c r="F69" s="15">
        <v>50153614.642281815</v>
      </c>
      <c r="G69" s="15">
        <v>50953272.598749518</v>
      </c>
      <c r="H69" s="15">
        <v>32802157.209625337</v>
      </c>
      <c r="I69" s="15">
        <v>18957109.958802894</v>
      </c>
      <c r="J69" s="15">
        <v>10099203.612658182</v>
      </c>
      <c r="K69" s="15">
        <v>7868715.762383475</v>
      </c>
      <c r="L69" s="15">
        <v>0</v>
      </c>
      <c r="M69" s="15">
        <v>1238015.8061006269</v>
      </c>
      <c r="N69" s="15">
        <v>182969.70646784699</v>
      </c>
    </row>
    <row r="70" spans="1:14">
      <c r="A70" s="13">
        <f t="shared" si="27"/>
        <v>3</v>
      </c>
      <c r="B70" s="9" t="str">
        <f>IF(OR((C68="~"),(C70="~")),"~","")</f>
        <v/>
      </c>
      <c r="C70" s="51" t="s">
        <v>70</v>
      </c>
      <c r="D70" s="15">
        <f t="shared" si="28"/>
        <v>1967700424.8056524</v>
      </c>
      <c r="E70" s="15">
        <v>1004301690.4601557</v>
      </c>
      <c r="F70" s="15">
        <v>243126380.48142076</v>
      </c>
      <c r="G70" s="15">
        <v>274420534.44318956</v>
      </c>
      <c r="H70" s="15">
        <v>189135003.21332681</v>
      </c>
      <c r="I70" s="15">
        <v>132467718.01905239</v>
      </c>
      <c r="J70" s="15">
        <v>64684950.642789289</v>
      </c>
      <c r="K70" s="15">
        <v>51080606.853480168</v>
      </c>
      <c r="L70" s="15">
        <v>0</v>
      </c>
      <c r="M70" s="15">
        <v>7828444.6651889887</v>
      </c>
      <c r="N70" s="15">
        <v>655096.02704824787</v>
      </c>
    </row>
    <row r="71" spans="1:14">
      <c r="A71" s="13">
        <f t="shared" si="27"/>
        <v>4</v>
      </c>
      <c r="B71" s="9" t="str">
        <f>IF(OR((C68="~"),(C71="~")),"~","")</f>
        <v/>
      </c>
      <c r="C71" s="51" t="s">
        <v>71</v>
      </c>
      <c r="D71" s="15">
        <f t="shared" si="28"/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</row>
    <row r="72" spans="1:14">
      <c r="A72" s="13">
        <f t="shared" si="27"/>
        <v>5</v>
      </c>
      <c r="B72" s="9" t="str">
        <f>IF(OR((C68="~"),(C72="~")),"~","")</f>
        <v>~</v>
      </c>
      <c r="C72" s="51" t="s">
        <v>72</v>
      </c>
      <c r="D72" s="15">
        <f t="shared" si="28"/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</row>
    <row r="73" spans="1:14">
      <c r="A73" s="13">
        <f t="shared" si="27"/>
        <v>6</v>
      </c>
      <c r="B73" s="9" t="str">
        <f>IF(OR((C68="~"),(C73="~")),"~","")</f>
        <v>~</v>
      </c>
      <c r="C73" s="51" t="s">
        <v>72</v>
      </c>
      <c r="D73" s="15">
        <f t="shared" si="28"/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</row>
    <row r="74" spans="1:14">
      <c r="A74" s="13">
        <f t="shared" si="27"/>
        <v>7</v>
      </c>
      <c r="B74" s="9" t="str">
        <f>IF(OR((C68="~"),(C74="~")),"~","")</f>
        <v>~</v>
      </c>
      <c r="C74" s="52" t="s">
        <v>72</v>
      </c>
      <c r="D74" s="52">
        <f t="shared" si="28"/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</row>
    <row r="75" spans="1:14">
      <c r="A75" s="13">
        <f t="shared" si="27"/>
        <v>8</v>
      </c>
      <c r="B75" s="9" t="str">
        <f>IF(OR((C68="~"),(C75="~")),"~","")</f>
        <v/>
      </c>
      <c r="C75" s="53" t="str">
        <f>IF(C68="~","~","Sub-total")</f>
        <v>Sub-total</v>
      </c>
      <c r="D75" s="15">
        <f>SUM(D69:D74)</f>
        <v>2429259783.7106819</v>
      </c>
      <c r="E75" s="15">
        <f t="shared" ref="E75:N75" si="29">SUM(E69:E74)</f>
        <v>1293605990.0681155</v>
      </c>
      <c r="F75" s="15">
        <f t="shared" si="29"/>
        <v>293279995.12370259</v>
      </c>
      <c r="G75" s="15">
        <f t="shared" si="29"/>
        <v>325373807.04193908</v>
      </c>
      <c r="H75" s="15">
        <f t="shared" si="29"/>
        <v>221937160.42295215</v>
      </c>
      <c r="I75" s="15">
        <f t="shared" si="29"/>
        <v>151424827.97785527</v>
      </c>
      <c r="J75" s="15">
        <f t="shared" si="29"/>
        <v>74784154.255447477</v>
      </c>
      <c r="K75" s="15">
        <f t="shared" si="29"/>
        <v>58949322.615863644</v>
      </c>
      <c r="L75" s="15">
        <f t="shared" si="29"/>
        <v>0</v>
      </c>
      <c r="M75" s="15">
        <f t="shared" si="29"/>
        <v>9066460.4712896161</v>
      </c>
      <c r="N75" s="15">
        <f t="shared" si="29"/>
        <v>838065.73351609486</v>
      </c>
    </row>
    <row r="76" spans="1:14">
      <c r="A76" s="13">
        <f t="shared" si="27"/>
        <v>9</v>
      </c>
      <c r="B76" s="9" t="str">
        <f>IF(OR((C68="~"),(C76="~")),"~","")</f>
        <v/>
      </c>
      <c r="C76" s="50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</row>
    <row r="77" spans="1:14">
      <c r="A77" s="13">
        <f t="shared" si="27"/>
        <v>10</v>
      </c>
      <c r="B77" s="9"/>
      <c r="C77" s="51" t="s">
        <v>73</v>
      </c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</row>
    <row r="78" spans="1:14">
      <c r="A78" s="13">
        <f t="shared" si="27"/>
        <v>11</v>
      </c>
      <c r="B78" s="9" t="str">
        <f>IF(OR((C77="~"),(C78="~")),"~","")</f>
        <v/>
      </c>
      <c r="C78" s="51" t="s">
        <v>69</v>
      </c>
      <c r="D78" s="15">
        <f t="shared" ref="D78:D83" si="30">SUM(E78:N78)</f>
        <v>73299824.222545952</v>
      </c>
      <c r="E78" s="15">
        <v>44986249.22930938</v>
      </c>
      <c r="F78" s="15">
        <v>7798788.3730240772</v>
      </c>
      <c r="G78" s="15">
        <v>7923133.6115034381</v>
      </c>
      <c r="H78" s="15">
        <v>5100670.8904460166</v>
      </c>
      <c r="I78" s="15">
        <v>2947793.2904204456</v>
      </c>
      <c r="J78" s="15">
        <v>1570406.2862261129</v>
      </c>
      <c r="K78" s="15">
        <v>1223569.8151768462</v>
      </c>
      <c r="L78" s="15">
        <v>1424359.0594821714</v>
      </c>
      <c r="M78" s="15">
        <v>192509.02139559787</v>
      </c>
      <c r="N78" s="15">
        <v>132344.64556186684</v>
      </c>
    </row>
    <row r="79" spans="1:14">
      <c r="A79" s="13">
        <f t="shared" si="27"/>
        <v>12</v>
      </c>
      <c r="B79" s="9" t="str">
        <f>IF(OR((C77="~"),(C79="~")),"~","")</f>
        <v/>
      </c>
      <c r="C79" s="51" t="s">
        <v>70</v>
      </c>
      <c r="D79" s="15">
        <f t="shared" si="30"/>
        <v>312488724.31716943</v>
      </c>
      <c r="E79" s="15">
        <v>154698161.55262569</v>
      </c>
      <c r="F79" s="15">
        <v>37450105.324613251</v>
      </c>
      <c r="G79" s="15">
        <v>42270517.488822907</v>
      </c>
      <c r="H79" s="15">
        <v>29133513.923436347</v>
      </c>
      <c r="I79" s="15">
        <v>20404737.577639315</v>
      </c>
      <c r="J79" s="15">
        <v>9963781.8392767459</v>
      </c>
      <c r="K79" s="15">
        <v>7868229.2843749207</v>
      </c>
      <c r="L79" s="15">
        <v>8736557.450585844</v>
      </c>
      <c r="M79" s="15">
        <v>1205858.7663696096</v>
      </c>
      <c r="N79" s="15">
        <v>757261.10942490108</v>
      </c>
    </row>
    <row r="80" spans="1:14">
      <c r="A80" s="13">
        <f t="shared" si="27"/>
        <v>13</v>
      </c>
      <c r="B80" s="9" t="str">
        <f>IF(OR((C77="~"),(C80="~")),"~","")</f>
        <v/>
      </c>
      <c r="C80" s="51" t="s">
        <v>71</v>
      </c>
      <c r="D80" s="15">
        <f t="shared" si="30"/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</row>
    <row r="81" spans="1:14">
      <c r="A81" s="13">
        <f t="shared" si="27"/>
        <v>14</v>
      </c>
      <c r="B81" s="9" t="str">
        <f>IF(OR((C77="~"),(C81="~")),"~","")</f>
        <v>~</v>
      </c>
      <c r="C81" s="51" t="s">
        <v>72</v>
      </c>
      <c r="D81" s="15">
        <f t="shared" si="30"/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</row>
    <row r="82" spans="1:14">
      <c r="A82" s="13">
        <f t="shared" si="27"/>
        <v>15</v>
      </c>
      <c r="B82" s="9" t="str">
        <f>IF(OR((C77="~"),(C82="~")),"~","")</f>
        <v>~</v>
      </c>
      <c r="C82" s="51" t="s">
        <v>72</v>
      </c>
      <c r="D82" s="15">
        <f t="shared" si="30"/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</row>
    <row r="83" spans="1:14">
      <c r="A83" s="13">
        <f t="shared" si="27"/>
        <v>16</v>
      </c>
      <c r="B83" s="9" t="str">
        <f>IF(OR((C77="~"),(C83="~")),"~","")</f>
        <v>~</v>
      </c>
      <c r="C83" s="52" t="s">
        <v>72</v>
      </c>
      <c r="D83" s="52">
        <f t="shared" si="30"/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2">
        <v>0</v>
      </c>
      <c r="N83" s="52">
        <v>0</v>
      </c>
    </row>
    <row r="84" spans="1:14">
      <c r="A84" s="13">
        <f t="shared" si="27"/>
        <v>17</v>
      </c>
      <c r="B84" s="9" t="str">
        <f>IF(OR((C77="~"),(C84="~")),"~","")</f>
        <v/>
      </c>
      <c r="C84" s="53" t="str">
        <f>IF(C77="~","~","Sub-total")</f>
        <v>Sub-total</v>
      </c>
      <c r="D84" s="15">
        <f>SUM(D78:D83)</f>
        <v>385788548.53971541</v>
      </c>
      <c r="E84" s="15">
        <f t="shared" ref="E84:N84" si="31">SUM(E78:E83)</f>
        <v>199684410.78193507</v>
      </c>
      <c r="F84" s="15">
        <f t="shared" si="31"/>
        <v>45248893.697637327</v>
      </c>
      <c r="G84" s="15">
        <f t="shared" si="31"/>
        <v>50193651.100326344</v>
      </c>
      <c r="H84" s="15">
        <f t="shared" si="31"/>
        <v>34234184.813882366</v>
      </c>
      <c r="I84" s="15">
        <f t="shared" si="31"/>
        <v>23352530.868059762</v>
      </c>
      <c r="J84" s="15">
        <f t="shared" si="31"/>
        <v>11534188.125502858</v>
      </c>
      <c r="K84" s="15">
        <f t="shared" si="31"/>
        <v>9091799.0995517671</v>
      </c>
      <c r="L84" s="15">
        <f t="shared" si="31"/>
        <v>10160916.510068016</v>
      </c>
      <c r="M84" s="15">
        <f t="shared" si="31"/>
        <v>1398367.7877652075</v>
      </c>
      <c r="N84" s="15">
        <f t="shared" si="31"/>
        <v>889605.75498676789</v>
      </c>
    </row>
    <row r="85" spans="1:14">
      <c r="A85" s="13">
        <f t="shared" si="27"/>
        <v>18</v>
      </c>
      <c r="B85" s="9" t="str">
        <f>IF(OR((C77="~"),(C85="~")),"~","")</f>
        <v/>
      </c>
      <c r="C85" s="50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</row>
    <row r="86" spans="1:14">
      <c r="A86" s="13">
        <f t="shared" si="27"/>
        <v>19</v>
      </c>
      <c r="B86" s="9"/>
      <c r="C86" s="51" t="s">
        <v>74</v>
      </c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</row>
    <row r="87" spans="1:14">
      <c r="A87" s="13">
        <f t="shared" si="27"/>
        <v>20</v>
      </c>
      <c r="B87" s="9" t="str">
        <f>IF(OR((C86="~"),(C87="~")),"~","")</f>
        <v/>
      </c>
      <c r="C87" s="51" t="s">
        <v>69</v>
      </c>
      <c r="D87" s="15">
        <f t="shared" ref="D87:D92" si="32">SUM(E87:N87)</f>
        <v>1383086487.0921292</v>
      </c>
      <c r="E87" s="15">
        <v>880886472.3593061</v>
      </c>
      <c r="F87" s="15">
        <v>162948659.62135807</v>
      </c>
      <c r="G87" s="15">
        <v>146400558.50849229</v>
      </c>
      <c r="H87" s="15">
        <v>72961035.386995375</v>
      </c>
      <c r="I87" s="15">
        <v>72269750.80865328</v>
      </c>
      <c r="J87" s="15">
        <v>20780705.341275182</v>
      </c>
      <c r="K87" s="15">
        <v>8499596.5462581534</v>
      </c>
      <c r="L87" s="15">
        <v>8481175.7334039919</v>
      </c>
      <c r="M87" s="15">
        <v>8276488.3352615042</v>
      </c>
      <c r="N87" s="15">
        <v>1582044.4511251075</v>
      </c>
    </row>
    <row r="88" spans="1:14">
      <c r="A88" s="13">
        <f t="shared" si="27"/>
        <v>21</v>
      </c>
      <c r="B88" s="9" t="str">
        <f>IF(OR((C86="~"),(C88="~")),"~","")</f>
        <v/>
      </c>
      <c r="C88" s="51" t="s">
        <v>70</v>
      </c>
      <c r="D88" s="15">
        <f t="shared" si="32"/>
        <v>318809798.08492815</v>
      </c>
      <c r="E88" s="15">
        <v>148575807.91560879</v>
      </c>
      <c r="F88" s="15">
        <v>35967975.309365377</v>
      </c>
      <c r="G88" s="15">
        <v>40597614.243633129</v>
      </c>
      <c r="H88" s="15">
        <v>27980522.361428965</v>
      </c>
      <c r="I88" s="15">
        <v>19597197.151385855</v>
      </c>
      <c r="J88" s="15">
        <v>9569453.9728697035</v>
      </c>
      <c r="K88" s="15">
        <v>7556835.2659030966</v>
      </c>
      <c r="L88" s="15">
        <v>25773082.460998241</v>
      </c>
      <c r="M88" s="15">
        <v>1158135.5502052067</v>
      </c>
      <c r="N88" s="15">
        <v>2033173.8535297757</v>
      </c>
    </row>
    <row r="89" spans="1:14">
      <c r="A89" s="13">
        <f t="shared" si="27"/>
        <v>22</v>
      </c>
      <c r="B89" s="9" t="str">
        <f>IF(OR((C86="~"),(C89="~")),"~","")</f>
        <v/>
      </c>
      <c r="C89" s="51" t="s">
        <v>71</v>
      </c>
      <c r="D89" s="15">
        <f t="shared" si="32"/>
        <v>387812328.11254627</v>
      </c>
      <c r="E89" s="15">
        <v>261053159.99908006</v>
      </c>
      <c r="F89" s="15">
        <v>47384977.191182941</v>
      </c>
      <c r="G89" s="15">
        <v>28838016.508262683</v>
      </c>
      <c r="H89" s="15">
        <v>6349924.9221975505</v>
      </c>
      <c r="I89" s="15">
        <v>10892931.990316767</v>
      </c>
      <c r="J89" s="15">
        <v>2630033.1401188811</v>
      </c>
      <c r="K89" s="15">
        <v>557597.87734110933</v>
      </c>
      <c r="L89" s="15">
        <v>271165.37994635629</v>
      </c>
      <c r="M89" s="15">
        <v>29616120.115366817</v>
      </c>
      <c r="N89" s="15">
        <v>218400.98873313621</v>
      </c>
    </row>
    <row r="90" spans="1:14">
      <c r="A90" s="13">
        <f t="shared" si="27"/>
        <v>23</v>
      </c>
      <c r="B90" s="9" t="str">
        <f>IF(OR((C86="~"),(C90="~")),"~","")</f>
        <v>~</v>
      </c>
      <c r="C90" s="51" t="s">
        <v>72</v>
      </c>
      <c r="D90" s="15">
        <f t="shared" si="32"/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</row>
    <row r="91" spans="1:14">
      <c r="A91" s="13">
        <f t="shared" si="27"/>
        <v>24</v>
      </c>
      <c r="B91" s="9" t="str">
        <f>IF(OR((C86="~"),(C91="~")),"~","")</f>
        <v>~</v>
      </c>
      <c r="C91" s="51" t="s">
        <v>72</v>
      </c>
      <c r="D91" s="15">
        <f t="shared" si="32"/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</row>
    <row r="92" spans="1:14">
      <c r="A92" s="13">
        <f t="shared" si="27"/>
        <v>25</v>
      </c>
      <c r="B92" s="9" t="str">
        <f>IF(OR((C86="~"),(C92="~")),"~","")</f>
        <v>~</v>
      </c>
      <c r="C92" s="52" t="s">
        <v>72</v>
      </c>
      <c r="D92" s="52">
        <f t="shared" si="32"/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2">
        <v>0</v>
      </c>
      <c r="K92" s="52">
        <v>0</v>
      </c>
      <c r="L92" s="52">
        <v>0</v>
      </c>
      <c r="M92" s="52">
        <v>0</v>
      </c>
      <c r="N92" s="52">
        <v>0</v>
      </c>
    </row>
    <row r="93" spans="1:14">
      <c r="A93" s="13">
        <f t="shared" si="27"/>
        <v>26</v>
      </c>
      <c r="B93" s="9" t="str">
        <f>IF(OR((C86="~"),(C93="~")),"~","")</f>
        <v/>
      </c>
      <c r="C93" s="53" t="str">
        <f>IF(C86="~","~","Sub-total")</f>
        <v>Sub-total</v>
      </c>
      <c r="D93" s="15">
        <f>SUM(D87:D92)</f>
        <v>2089708613.2896035</v>
      </c>
      <c r="E93" s="15">
        <f t="shared" ref="E93:N93" si="33">SUM(E87:E92)</f>
        <v>1290515440.2739949</v>
      </c>
      <c r="F93" s="15">
        <f t="shared" si="33"/>
        <v>246301612.12190637</v>
      </c>
      <c r="G93" s="15">
        <f t="shared" si="33"/>
        <v>215836189.26038811</v>
      </c>
      <c r="H93" s="15">
        <f t="shared" si="33"/>
        <v>107291482.67062189</v>
      </c>
      <c r="I93" s="15">
        <f t="shared" si="33"/>
        <v>102759879.9503559</v>
      </c>
      <c r="J93" s="15">
        <f t="shared" si="33"/>
        <v>32980192.454263769</v>
      </c>
      <c r="K93" s="15">
        <f t="shared" si="33"/>
        <v>16614029.689502358</v>
      </c>
      <c r="L93" s="15">
        <f t="shared" si="33"/>
        <v>34525423.574348591</v>
      </c>
      <c r="M93" s="15">
        <f t="shared" si="33"/>
        <v>39050744.000833526</v>
      </c>
      <c r="N93" s="15">
        <f t="shared" si="33"/>
        <v>3833619.2933880193</v>
      </c>
    </row>
    <row r="94" spans="1:14">
      <c r="A94" s="13">
        <f>+A93+1</f>
        <v>27</v>
      </c>
      <c r="B94" s="9"/>
      <c r="C94" s="14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</row>
    <row r="95" spans="1:14">
      <c r="A95" s="13">
        <f>+A94+1</f>
        <v>28</v>
      </c>
      <c r="B95" s="9"/>
      <c r="C95" s="51" t="s">
        <v>75</v>
      </c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</row>
    <row r="96" spans="1:14">
      <c r="A96" s="13">
        <f>+A95+1</f>
        <v>29</v>
      </c>
      <c r="B96" s="9" t="str">
        <f>IF(OR((C95="~"),(C96="~")),"~","")</f>
        <v/>
      </c>
      <c r="C96" s="51" t="s">
        <v>69</v>
      </c>
      <c r="D96" s="15">
        <f t="shared" ref="D96:D101" si="34">SUM(E96:N96)</f>
        <v>1917945670.2197042</v>
      </c>
      <c r="E96" s="15">
        <v>1215177021.1965752</v>
      </c>
      <c r="F96" s="15">
        <v>220901062.63666397</v>
      </c>
      <c r="G96" s="15">
        <v>205276964.71874523</v>
      </c>
      <c r="H96" s="15">
        <v>110863863.48706673</v>
      </c>
      <c r="I96" s="15">
        <v>94174654.057876617</v>
      </c>
      <c r="J96" s="15">
        <v>32450315.240159474</v>
      </c>
      <c r="K96" s="15">
        <v>17591882.123818472</v>
      </c>
      <c r="L96" s="15">
        <v>9905534.7928861622</v>
      </c>
      <c r="M96" s="15">
        <v>9707013.1627577282</v>
      </c>
      <c r="N96" s="15">
        <v>1897358.8031548215</v>
      </c>
    </row>
    <row r="97" spans="1:14">
      <c r="A97" s="13">
        <f t="shared" ref="A97:A104" si="35">+A96+1</f>
        <v>30</v>
      </c>
      <c r="B97" s="9" t="str">
        <f>IF(OR((C95="~"),(C97="~")),"~","")</f>
        <v/>
      </c>
      <c r="C97" s="51" t="s">
        <v>70</v>
      </c>
      <c r="D97" s="15">
        <f t="shared" si="34"/>
        <v>2598998947.2077494</v>
      </c>
      <c r="E97" s="15">
        <v>1307575659.9283903</v>
      </c>
      <c r="F97" s="15">
        <v>316544461.11539942</v>
      </c>
      <c r="G97" s="15">
        <v>357288666.17564559</v>
      </c>
      <c r="H97" s="15">
        <v>246249039.49819213</v>
      </c>
      <c r="I97" s="15">
        <v>172469652.74807757</v>
      </c>
      <c r="J97" s="15">
        <v>84218186.454935744</v>
      </c>
      <c r="K97" s="15">
        <v>66505671.403758183</v>
      </c>
      <c r="L97" s="15">
        <v>34509639.911584087</v>
      </c>
      <c r="M97" s="15">
        <v>10192438.981763804</v>
      </c>
      <c r="N97" s="15">
        <v>3445530.9900029246</v>
      </c>
    </row>
    <row r="98" spans="1:14">
      <c r="A98" s="13">
        <f t="shared" si="35"/>
        <v>31</v>
      </c>
      <c r="B98" s="9" t="str">
        <f>IF(OR((C95="~"),(C98="~")),"~","")</f>
        <v/>
      </c>
      <c r="C98" s="51" t="s">
        <v>71</v>
      </c>
      <c r="D98" s="15">
        <f t="shared" si="34"/>
        <v>387812328.11254627</v>
      </c>
      <c r="E98" s="15">
        <v>261053159.99908006</v>
      </c>
      <c r="F98" s="15">
        <v>47384977.191182941</v>
      </c>
      <c r="G98" s="15">
        <v>28838016.508262683</v>
      </c>
      <c r="H98" s="15">
        <v>6349924.9221975505</v>
      </c>
      <c r="I98" s="15">
        <v>10892931.990316767</v>
      </c>
      <c r="J98" s="15">
        <v>2630033.1401188811</v>
      </c>
      <c r="K98" s="15">
        <v>557597.87734110933</v>
      </c>
      <c r="L98" s="15">
        <v>271165.37994635629</v>
      </c>
      <c r="M98" s="15">
        <v>29616120.115366817</v>
      </c>
      <c r="N98" s="15">
        <v>218400.98873313621</v>
      </c>
    </row>
    <row r="99" spans="1:14">
      <c r="A99" s="13">
        <f t="shared" si="35"/>
        <v>32</v>
      </c>
      <c r="B99" s="9" t="str">
        <f>IF(OR((C95="~"),(C99="~")),"~","")</f>
        <v>~</v>
      </c>
      <c r="C99" s="51" t="s">
        <v>72</v>
      </c>
      <c r="D99" s="15">
        <f t="shared" si="34"/>
        <v>0</v>
      </c>
      <c r="E99" s="15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</row>
    <row r="100" spans="1:14">
      <c r="A100" s="13">
        <f t="shared" si="35"/>
        <v>33</v>
      </c>
      <c r="B100" s="9" t="str">
        <f>IF(OR((C95="~"),(C100="~")),"~","")</f>
        <v>~</v>
      </c>
      <c r="C100" s="51" t="s">
        <v>72</v>
      </c>
      <c r="D100" s="15">
        <f t="shared" si="34"/>
        <v>0</v>
      </c>
      <c r="E100" s="15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</row>
    <row r="101" spans="1:14">
      <c r="A101" s="13">
        <f t="shared" si="35"/>
        <v>34</v>
      </c>
      <c r="B101" s="9" t="str">
        <f>IF(OR((C95="~"),(C101="~")),"~","")</f>
        <v>~</v>
      </c>
      <c r="C101" s="52" t="s">
        <v>72</v>
      </c>
      <c r="D101" s="52">
        <f t="shared" si="34"/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2">
        <v>0</v>
      </c>
      <c r="M101" s="52">
        <v>0</v>
      </c>
      <c r="N101" s="52">
        <v>0</v>
      </c>
    </row>
    <row r="102" spans="1:14">
      <c r="A102" s="13">
        <f t="shared" si="35"/>
        <v>35</v>
      </c>
      <c r="B102" s="9"/>
      <c r="C102" s="53"/>
      <c r="D102" s="15">
        <f>SUM(D96:D101)</f>
        <v>4904756945.54</v>
      </c>
      <c r="E102" s="15">
        <f t="shared" ref="E102:N102" si="36">SUM(E96:E101)</f>
        <v>2783805841.1240458</v>
      </c>
      <c r="F102" s="15">
        <f t="shared" si="36"/>
        <v>584830500.94324636</v>
      </c>
      <c r="G102" s="15">
        <f t="shared" si="36"/>
        <v>591403647.40265346</v>
      </c>
      <c r="H102" s="15">
        <f t="shared" si="36"/>
        <v>363462827.9074564</v>
      </c>
      <c r="I102" s="15">
        <f t="shared" si="36"/>
        <v>277537238.79627097</v>
      </c>
      <c r="J102" s="15">
        <f t="shared" si="36"/>
        <v>119298534.83521409</v>
      </c>
      <c r="K102" s="15">
        <f t="shared" si="36"/>
        <v>84655151.404917762</v>
      </c>
      <c r="L102" s="15">
        <f t="shared" si="36"/>
        <v>44686340.084416606</v>
      </c>
      <c r="M102" s="15">
        <f t="shared" si="36"/>
        <v>49515572.259888351</v>
      </c>
      <c r="N102" s="15">
        <f t="shared" si="36"/>
        <v>5561290.7818908822</v>
      </c>
    </row>
    <row r="103" spans="1:14" ht="15.75" thickBot="1">
      <c r="A103" s="13">
        <f t="shared" si="35"/>
        <v>36</v>
      </c>
      <c r="B103" s="9" t="str">
        <f>IF(OR((C95="~"),(C103="~")),"~","")</f>
        <v/>
      </c>
      <c r="C103" s="55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</row>
    <row r="104" spans="1:14" s="9" customFormat="1" ht="14.25" thickTop="1" thickBot="1">
      <c r="A104" s="13">
        <f t="shared" si="35"/>
        <v>37</v>
      </c>
      <c r="C104" s="55" t="s">
        <v>32</v>
      </c>
      <c r="D104" s="17">
        <f>SUM(E104:N104)</f>
        <v>4904756945.5400009</v>
      </c>
      <c r="E104" s="17">
        <f t="shared" ref="E104:N104" si="37">SUM(E96:E101)</f>
        <v>2783805841.1240458</v>
      </c>
      <c r="F104" s="17">
        <f t="shared" si="37"/>
        <v>584830500.94324636</v>
      </c>
      <c r="G104" s="17">
        <f t="shared" si="37"/>
        <v>591403647.40265346</v>
      </c>
      <c r="H104" s="17">
        <f t="shared" si="37"/>
        <v>363462827.9074564</v>
      </c>
      <c r="I104" s="17">
        <f t="shared" si="37"/>
        <v>277537238.79627097</v>
      </c>
      <c r="J104" s="17">
        <f t="shared" si="37"/>
        <v>119298534.83521409</v>
      </c>
      <c r="K104" s="17">
        <f t="shared" si="37"/>
        <v>84655151.404917762</v>
      </c>
      <c r="L104" s="17">
        <f t="shared" si="37"/>
        <v>44686340.084416606</v>
      </c>
      <c r="M104" s="17">
        <f t="shared" si="37"/>
        <v>49515572.259888351</v>
      </c>
      <c r="N104" s="17">
        <f t="shared" si="37"/>
        <v>5561290.7818908822</v>
      </c>
    </row>
    <row r="105" spans="1:14" ht="15.75" thickTop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ht="15.75">
      <c r="A106" s="3" t="str">
        <f>A1</f>
        <v>Puget Sound Energy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75">
      <c r="A107" s="3" t="str">
        <f>A2</f>
        <v>ELECTRIC COST OF SERVICE SUMMARY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5.75">
      <c r="A108" s="3" t="s">
        <v>2</v>
      </c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75">
      <c r="A109" s="3" t="s">
        <v>76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15.7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38.25">
      <c r="A111" s="38"/>
      <c r="B111" s="6"/>
      <c r="C111" s="6"/>
      <c r="D111" s="6" t="s">
        <v>67</v>
      </c>
      <c r="E111" s="49" t="str">
        <f>+E6</f>
        <v>Residential
Sch 7</v>
      </c>
      <c r="F111" s="49" t="str">
        <f t="shared" ref="F111:N111" si="38">+F6</f>
        <v>Sec Volt
Sch 24
(kW&lt; 50)</v>
      </c>
      <c r="G111" s="49" t="str">
        <f t="shared" si="38"/>
        <v>Sec Volt
Sch 25
(kW &gt; 50 &amp; &lt; 350)</v>
      </c>
      <c r="H111" s="49" t="str">
        <f t="shared" si="38"/>
        <v>Sec Volt
Sch 26
(kW &gt; 350)</v>
      </c>
      <c r="I111" s="49" t="str">
        <f t="shared" si="38"/>
        <v>Pri Volt
Sch 31/35/43</v>
      </c>
      <c r="J111" s="49" t="str">
        <f t="shared" si="38"/>
        <v>Campus
Sch 40</v>
      </c>
      <c r="K111" s="49" t="str">
        <f t="shared" si="38"/>
        <v>High Volt
Sch 46/49</v>
      </c>
      <c r="L111" s="49" t="str">
        <f t="shared" si="38"/>
        <v>Choice /
Retail Wheeling
Sch 448/449</v>
      </c>
      <c r="M111" s="49" t="str">
        <f t="shared" si="38"/>
        <v>Lighting
Sch 50-59</v>
      </c>
      <c r="N111" s="49" t="str">
        <f t="shared" si="38"/>
        <v>Firm Resale /
Special Contract</v>
      </c>
    </row>
    <row r="112" spans="1:14">
      <c r="A112" s="9"/>
      <c r="B112" s="9"/>
      <c r="C112" s="10" t="s">
        <v>16</v>
      </c>
      <c r="D112" s="10" t="s">
        <v>17</v>
      </c>
      <c r="E112" s="10" t="s">
        <v>18</v>
      </c>
      <c r="F112" s="10" t="s">
        <v>19</v>
      </c>
      <c r="G112" s="10" t="s">
        <v>20</v>
      </c>
      <c r="H112" s="11" t="s">
        <v>21</v>
      </c>
      <c r="I112" s="11" t="s">
        <v>22</v>
      </c>
      <c r="J112" s="11" t="s">
        <v>23</v>
      </c>
      <c r="K112" s="11" t="s">
        <v>24</v>
      </c>
      <c r="L112" s="11" t="s">
        <v>25</v>
      </c>
      <c r="M112" s="11" t="s">
        <v>26</v>
      </c>
      <c r="N112" s="11" t="s">
        <v>27</v>
      </c>
    </row>
    <row r="113" spans="1:14">
      <c r="A113" s="13"/>
      <c r="B113" s="9"/>
      <c r="C113" s="50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</row>
    <row r="114" spans="1:14" s="9" customFormat="1" ht="12.75">
      <c r="A114" s="13">
        <v>1</v>
      </c>
      <c r="C114" s="50" t="s">
        <v>68</v>
      </c>
    </row>
    <row r="115" spans="1:14" s="9" customFormat="1" ht="12.75">
      <c r="A115" s="13">
        <f t="shared" ref="A115:A139" si="39">+A114+1</f>
        <v>2</v>
      </c>
      <c r="B115" s="9" t="str">
        <f>IF(OR((C114="~"),(C115="~")),"~","")</f>
        <v/>
      </c>
      <c r="C115" s="51" t="s">
        <v>69</v>
      </c>
      <c r="D115" s="15">
        <v>280265005.03079545</v>
      </c>
      <c r="E115" s="15">
        <v>175361530.82793531</v>
      </c>
      <c r="F115" s="15">
        <v>30400566.642608277</v>
      </c>
      <c r="G115" s="15">
        <v>30885278.565572925</v>
      </c>
      <c r="H115" s="15">
        <v>19882996.936213635</v>
      </c>
      <c r="I115" s="15">
        <v>11490834.484499687</v>
      </c>
      <c r="J115" s="15">
        <v>6121622.8312495742</v>
      </c>
      <c r="K115" s="15">
        <v>4769614.7053858219</v>
      </c>
      <c r="L115" s="15">
        <v>443574.38670122612</v>
      </c>
      <c r="M115" s="15">
        <v>750422.12383701885</v>
      </c>
      <c r="N115" s="15">
        <v>158563.52679199999</v>
      </c>
    </row>
    <row r="116" spans="1:14" s="9" customFormat="1" ht="12.75">
      <c r="A116" s="13">
        <f t="shared" si="39"/>
        <v>3</v>
      </c>
      <c r="B116" s="9" t="str">
        <f>IF(OR((C114="~"),(C116="~")),"~","")</f>
        <v/>
      </c>
      <c r="C116" s="51" t="s">
        <v>70</v>
      </c>
      <c r="D116" s="15">
        <v>1192721084.9445813</v>
      </c>
      <c r="E116" s="15">
        <v>608756235.41957533</v>
      </c>
      <c r="F116" s="15">
        <v>147370756.73470542</v>
      </c>
      <c r="G116" s="15">
        <v>166339669.69917363</v>
      </c>
      <c r="H116" s="15">
        <v>114643949.75722888</v>
      </c>
      <c r="I116" s="15">
        <v>80295144.478898495</v>
      </c>
      <c r="J116" s="15">
        <v>39208703.336507715</v>
      </c>
      <c r="K116" s="15">
        <v>30962447.067896903</v>
      </c>
      <c r="L116" s="15">
        <v>1758.5695841793886</v>
      </c>
      <c r="M116" s="15">
        <v>4745202.1129102902</v>
      </c>
      <c r="N116" s="15">
        <v>397217.76810015173</v>
      </c>
    </row>
    <row r="117" spans="1:14" s="9" customFormat="1" ht="12.75">
      <c r="A117" s="13">
        <f t="shared" si="39"/>
        <v>4</v>
      </c>
      <c r="B117" s="9" t="str">
        <f>IF(OR((C114="~"),(C117="~")),"~","")</f>
        <v/>
      </c>
      <c r="C117" s="51" t="s">
        <v>71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</row>
    <row r="118" spans="1:14" s="9" customFormat="1" ht="12.75">
      <c r="A118" s="13">
        <f t="shared" si="39"/>
        <v>5</v>
      </c>
      <c r="B118" s="9" t="str">
        <f>IF(OR((C114="~"),(C118="~")),"~","")</f>
        <v>~</v>
      </c>
      <c r="C118" s="51" t="s">
        <v>72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</row>
    <row r="119" spans="1:14" s="9" customFormat="1" ht="12.75">
      <c r="A119" s="13">
        <f t="shared" si="39"/>
        <v>6</v>
      </c>
      <c r="B119" s="9" t="str">
        <f>IF(OR((C114="~"),(C119="~")),"~","")</f>
        <v>~</v>
      </c>
      <c r="C119" s="51" t="s">
        <v>72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</row>
    <row r="120" spans="1:14" s="9" customFormat="1" ht="12.75">
      <c r="A120" s="13">
        <f t="shared" si="39"/>
        <v>7</v>
      </c>
      <c r="B120" s="9" t="str">
        <f>IF(OR((C114="~"),(C120="~")),"~","")</f>
        <v>~</v>
      </c>
      <c r="C120" s="51" t="s">
        <v>72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</row>
    <row r="121" spans="1:14" s="9" customFormat="1" ht="12.75">
      <c r="A121" s="13">
        <f t="shared" si="39"/>
        <v>8</v>
      </c>
      <c r="B121" s="9" t="str">
        <f>IF(OR((C114="~"),(C121="~")),"~","")</f>
        <v/>
      </c>
      <c r="C121" s="52" t="str">
        <f>IF(C114="~","~","Sub-total")</f>
        <v>Sub-total</v>
      </c>
      <c r="D121" s="52">
        <f>SUM(D115:D120)</f>
        <v>1472986089.9753766</v>
      </c>
      <c r="E121" s="52">
        <f t="shared" ref="E121:N121" si="40">SUM(E115:E120)</f>
        <v>784117766.24751067</v>
      </c>
      <c r="F121" s="52">
        <f t="shared" si="40"/>
        <v>177771323.3773137</v>
      </c>
      <c r="G121" s="52">
        <f t="shared" si="40"/>
        <v>197224948.26474655</v>
      </c>
      <c r="H121" s="52">
        <f t="shared" si="40"/>
        <v>134526946.69344252</v>
      </c>
      <c r="I121" s="52">
        <f t="shared" si="40"/>
        <v>91785978.963398188</v>
      </c>
      <c r="J121" s="52">
        <f t="shared" si="40"/>
        <v>45330326.167757288</v>
      </c>
      <c r="K121" s="52">
        <f t="shared" si="40"/>
        <v>35732061.773282722</v>
      </c>
      <c r="L121" s="52">
        <f t="shared" si="40"/>
        <v>445332.9562854055</v>
      </c>
      <c r="M121" s="52">
        <f t="shared" si="40"/>
        <v>5495624.2367473096</v>
      </c>
      <c r="N121" s="52">
        <f t="shared" si="40"/>
        <v>555781.29489215172</v>
      </c>
    </row>
    <row r="122" spans="1:14">
      <c r="A122" s="13">
        <f t="shared" si="39"/>
        <v>9</v>
      </c>
      <c r="B122" s="9" t="str">
        <f>IF(OR((C114="~"),(C122="~")),"~","")</f>
        <v/>
      </c>
      <c r="C122" s="50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</row>
    <row r="123" spans="1:14" s="9" customFormat="1" ht="12.75">
      <c r="A123" s="13">
        <f t="shared" si="39"/>
        <v>10</v>
      </c>
      <c r="C123" s="50" t="s">
        <v>73</v>
      </c>
    </row>
    <row r="124" spans="1:14" s="9" customFormat="1" ht="12.75">
      <c r="A124" s="13">
        <f t="shared" si="39"/>
        <v>11</v>
      </c>
      <c r="B124" s="9" t="str">
        <f>IF(OR((C123="~"),(C124="~")),"~","")</f>
        <v/>
      </c>
      <c r="C124" s="51" t="s">
        <v>69</v>
      </c>
      <c r="D124" s="15">
        <v>14308087.848800682</v>
      </c>
      <c r="E124" s="15">
        <v>8754327.5178397968</v>
      </c>
      <c r="F124" s="15">
        <v>1517644.8099009884</v>
      </c>
      <c r="G124" s="15">
        <v>1541842.4027561629</v>
      </c>
      <c r="H124" s="15">
        <v>992590.94280266762</v>
      </c>
      <c r="I124" s="15">
        <v>573640.79827349039</v>
      </c>
      <c r="J124" s="15">
        <v>305601.18261072721</v>
      </c>
      <c r="K124" s="15">
        <v>238106.77899374766</v>
      </c>
      <c r="L124" s="15">
        <v>318129.98951012024</v>
      </c>
      <c r="M124" s="15">
        <v>37462.270189395938</v>
      </c>
      <c r="N124" s="15">
        <v>28741.155923586415</v>
      </c>
    </row>
    <row r="125" spans="1:14" s="9" customFormat="1" ht="12.75">
      <c r="A125" s="13">
        <f t="shared" si="39"/>
        <v>12</v>
      </c>
      <c r="B125" s="9" t="str">
        <f>IF(OR((C123="~"),(C125="~")),"~","")</f>
        <v/>
      </c>
      <c r="C125" s="51" t="s">
        <v>70</v>
      </c>
      <c r="D125" s="15">
        <v>60997637.671202905</v>
      </c>
      <c r="E125" s="15">
        <v>30062047.452209525</v>
      </c>
      <c r="F125" s="15">
        <v>7277570.9294759855</v>
      </c>
      <c r="G125" s="15">
        <v>8214307.719139657</v>
      </c>
      <c r="H125" s="15">
        <v>5661431.7146749916</v>
      </c>
      <c r="I125" s="15">
        <v>3965193.7886812249</v>
      </c>
      <c r="J125" s="15">
        <v>1936232.9807255366</v>
      </c>
      <c r="K125" s="15">
        <v>1529010.2981041453</v>
      </c>
      <c r="L125" s="15">
        <v>1951306.386972313</v>
      </c>
      <c r="M125" s="15">
        <v>234331.05533664802</v>
      </c>
      <c r="N125" s="15">
        <v>166205.34588287782</v>
      </c>
    </row>
    <row r="126" spans="1:14" s="9" customFormat="1" ht="12.75">
      <c r="A126" s="13">
        <f t="shared" si="39"/>
        <v>13</v>
      </c>
      <c r="B126" s="9" t="str">
        <f>IF(OR((C123="~"),(C126="~")),"~","")</f>
        <v/>
      </c>
      <c r="C126" s="51" t="s">
        <v>71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</row>
    <row r="127" spans="1:14" s="9" customFormat="1" ht="12.75">
      <c r="A127" s="13">
        <f t="shared" si="39"/>
        <v>14</v>
      </c>
      <c r="B127" s="9" t="str">
        <f>IF(OR((C123="~"),(C127="~")),"~","")</f>
        <v>~</v>
      </c>
      <c r="C127" s="51" t="s">
        <v>72</v>
      </c>
      <c r="D127" s="15">
        <v>0</v>
      </c>
      <c r="E127" s="15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</row>
    <row r="128" spans="1:14" s="9" customFormat="1" ht="12.75">
      <c r="A128" s="13">
        <f t="shared" si="39"/>
        <v>15</v>
      </c>
      <c r="B128" s="9" t="str">
        <f>IF(OR((C123="~"),(C128="~")),"~","")</f>
        <v>~</v>
      </c>
      <c r="C128" s="51" t="s">
        <v>72</v>
      </c>
      <c r="D128" s="15">
        <v>0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</row>
    <row r="129" spans="1:14" s="9" customFormat="1" ht="12.75">
      <c r="A129" s="13">
        <f t="shared" si="39"/>
        <v>16</v>
      </c>
      <c r="B129" s="9" t="str">
        <f>IF(OR((C123="~"),(C129="~")),"~","")</f>
        <v>~</v>
      </c>
      <c r="C129" s="51" t="s">
        <v>72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</row>
    <row r="130" spans="1:14" s="9" customFormat="1" ht="12.75">
      <c r="A130" s="13">
        <f t="shared" si="39"/>
        <v>17</v>
      </c>
      <c r="B130" s="9" t="str">
        <f>IF(OR((C123="~"),(C130="~")),"~","")</f>
        <v/>
      </c>
      <c r="C130" s="52" t="str">
        <f>IF(C123="~","~","Sub-total")</f>
        <v>Sub-total</v>
      </c>
      <c r="D130" s="52">
        <f>SUM(D124:D129)</f>
        <v>75305725.520003587</v>
      </c>
      <c r="E130" s="52">
        <f t="shared" ref="E130:N130" si="41">SUM(E124:E129)</f>
        <v>38816374.970049322</v>
      </c>
      <c r="F130" s="52">
        <f t="shared" si="41"/>
        <v>8795215.7393769734</v>
      </c>
      <c r="G130" s="52">
        <f t="shared" si="41"/>
        <v>9756150.1218958199</v>
      </c>
      <c r="H130" s="52">
        <f t="shared" si="41"/>
        <v>6654022.6574776592</v>
      </c>
      <c r="I130" s="52">
        <f t="shared" si="41"/>
        <v>4538834.5869547157</v>
      </c>
      <c r="J130" s="52">
        <f t="shared" si="41"/>
        <v>2241834.163336264</v>
      </c>
      <c r="K130" s="52">
        <f t="shared" si="41"/>
        <v>1767117.077097893</v>
      </c>
      <c r="L130" s="52">
        <f t="shared" si="41"/>
        <v>2269436.3764824332</v>
      </c>
      <c r="M130" s="52">
        <f t="shared" si="41"/>
        <v>271793.32552604395</v>
      </c>
      <c r="N130" s="52">
        <f t="shared" si="41"/>
        <v>194946.50180646425</v>
      </c>
    </row>
    <row r="131" spans="1:14">
      <c r="A131" s="13">
        <f t="shared" si="39"/>
        <v>18</v>
      </c>
      <c r="B131" s="9" t="str">
        <f>IF(OR((C123="~"),(C131="~")),"~","")</f>
        <v/>
      </c>
      <c r="C131" s="50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</row>
    <row r="132" spans="1:14" s="9" customFormat="1" ht="12.75">
      <c r="A132" s="13">
        <f t="shared" si="39"/>
        <v>19</v>
      </c>
      <c r="C132" s="50" t="s">
        <v>74</v>
      </c>
    </row>
    <row r="133" spans="1:14" s="9" customFormat="1" ht="12.75">
      <c r="A133" s="13">
        <f t="shared" si="39"/>
        <v>20</v>
      </c>
      <c r="B133" s="9" t="str">
        <f>IF(OR((C132="~"),(C133="~")),"~","")</f>
        <v/>
      </c>
      <c r="C133" s="51" t="s">
        <v>69</v>
      </c>
      <c r="D133" s="15">
        <v>322787593.2982831</v>
      </c>
      <c r="E133" s="15">
        <v>207169376.57195604</v>
      </c>
      <c r="F133" s="15">
        <v>37931744.022135638</v>
      </c>
      <c r="G133" s="15">
        <v>33669166.035753563</v>
      </c>
      <c r="H133" s="15">
        <v>16490327.736911099</v>
      </c>
      <c r="I133" s="15">
        <v>16692847.044507356</v>
      </c>
      <c r="J133" s="15">
        <v>4585967.5448444523</v>
      </c>
      <c r="K133" s="15">
        <v>1831919.3409260332</v>
      </c>
      <c r="L133" s="15">
        <v>2041522.8332840707</v>
      </c>
      <c r="M133" s="15">
        <v>1894311.0009115068</v>
      </c>
      <c r="N133" s="15">
        <v>480411.16705336957</v>
      </c>
    </row>
    <row r="134" spans="1:14" s="9" customFormat="1" ht="12.75">
      <c r="A134" s="13">
        <f t="shared" si="39"/>
        <v>21</v>
      </c>
      <c r="B134" s="9" t="str">
        <f>IF(OR((C132="~"),(C134="~")),"~","")</f>
        <v/>
      </c>
      <c r="C134" s="51" t="s">
        <v>70</v>
      </c>
      <c r="D134" s="15">
        <v>78835826.052236214</v>
      </c>
      <c r="E134" s="15">
        <v>36813743.645018019</v>
      </c>
      <c r="F134" s="15">
        <v>8912055.3409436196</v>
      </c>
      <c r="G134" s="15">
        <v>10059175.745578632</v>
      </c>
      <c r="H134" s="15">
        <v>6932944.1429147031</v>
      </c>
      <c r="I134" s="15">
        <v>4855744.7017335296</v>
      </c>
      <c r="J134" s="15">
        <v>2371095.4718827717</v>
      </c>
      <c r="K134" s="15">
        <v>1872413.8212635762</v>
      </c>
      <c r="L134" s="15">
        <v>6238964.140784611</v>
      </c>
      <c r="M134" s="15">
        <v>286959.94219767768</v>
      </c>
      <c r="N134" s="15">
        <v>492729.09991906775</v>
      </c>
    </row>
    <row r="135" spans="1:14" s="9" customFormat="1" ht="12.75">
      <c r="A135" s="13">
        <f t="shared" si="39"/>
        <v>22</v>
      </c>
      <c r="B135" s="9" t="str">
        <f>IF(OR((C132="~"),(C135="~")),"~","")</f>
        <v/>
      </c>
      <c r="C135" s="51" t="s">
        <v>71</v>
      </c>
      <c r="D135" s="15">
        <v>172499678.70856866</v>
      </c>
      <c r="E135" s="15">
        <v>123813725.92408323</v>
      </c>
      <c r="F135" s="15">
        <v>21669342.955786131</v>
      </c>
      <c r="G135" s="15">
        <v>8179867.4156236742</v>
      </c>
      <c r="H135" s="15">
        <v>1820981.816819225</v>
      </c>
      <c r="I135" s="15">
        <v>3756507.9806314576</v>
      </c>
      <c r="J135" s="15">
        <v>1390854.3138089641</v>
      </c>
      <c r="K135" s="15">
        <v>495608.56140771817</v>
      </c>
      <c r="L135" s="15">
        <v>220050.55922370908</v>
      </c>
      <c r="M135" s="15">
        <v>11047431.150535166</v>
      </c>
      <c r="N135" s="15">
        <v>105308.03064940471</v>
      </c>
    </row>
    <row r="136" spans="1:14" s="9" customFormat="1" ht="12.75">
      <c r="A136" s="13">
        <f t="shared" si="39"/>
        <v>23</v>
      </c>
      <c r="B136" s="9" t="str">
        <f>IF(OR((C132="~"),(C136="~")),"~","")</f>
        <v>~</v>
      </c>
      <c r="C136" s="51" t="s">
        <v>72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</row>
    <row r="137" spans="1:14" s="9" customFormat="1" ht="12.75">
      <c r="A137" s="13">
        <f t="shared" si="39"/>
        <v>24</v>
      </c>
      <c r="B137" s="9" t="str">
        <f>IF(OR((C132="~"),(C137="~")),"~","")</f>
        <v>~</v>
      </c>
      <c r="C137" s="51" t="s">
        <v>72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</row>
    <row r="138" spans="1:14" s="9" customFormat="1" ht="12.75">
      <c r="A138" s="13">
        <f t="shared" si="39"/>
        <v>25</v>
      </c>
      <c r="B138" s="9" t="str">
        <f>IF(OR((C132="~"),(C138="~")),"~","")</f>
        <v>~</v>
      </c>
      <c r="C138" s="51" t="s">
        <v>72</v>
      </c>
      <c r="D138" s="15">
        <v>0</v>
      </c>
      <c r="E138" s="15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</row>
    <row r="139" spans="1:14" s="9" customFormat="1" ht="12.75">
      <c r="A139" s="13">
        <f t="shared" si="39"/>
        <v>26</v>
      </c>
      <c r="B139" s="9" t="str">
        <f>IF(OR((C132="~"),(C139="~")),"~","")</f>
        <v/>
      </c>
      <c r="C139" s="52" t="str">
        <f>IF(C132="~","~","Sub-total")</f>
        <v>Sub-total</v>
      </c>
      <c r="D139" s="52">
        <f>SUM(D133:D138)</f>
        <v>574123098.05908799</v>
      </c>
      <c r="E139" s="52">
        <f t="shared" ref="E139:N139" si="42">SUM(E133:E138)</f>
        <v>367796846.14105725</v>
      </c>
      <c r="F139" s="52">
        <f t="shared" si="42"/>
        <v>68513142.318865389</v>
      </c>
      <c r="G139" s="52">
        <f t="shared" si="42"/>
        <v>51908209.196955867</v>
      </c>
      <c r="H139" s="52">
        <f t="shared" si="42"/>
        <v>25244253.696645025</v>
      </c>
      <c r="I139" s="52">
        <f t="shared" si="42"/>
        <v>25305099.72687234</v>
      </c>
      <c r="J139" s="52">
        <f t="shared" si="42"/>
        <v>8347917.3305361886</v>
      </c>
      <c r="K139" s="52">
        <f t="shared" si="42"/>
        <v>4199941.7235973272</v>
      </c>
      <c r="L139" s="52">
        <f t="shared" si="42"/>
        <v>8500537.5332923904</v>
      </c>
      <c r="M139" s="52">
        <f t="shared" si="42"/>
        <v>13228702.093644351</v>
      </c>
      <c r="N139" s="52">
        <f t="shared" si="42"/>
        <v>1078448.297621842</v>
      </c>
    </row>
    <row r="140" spans="1:14">
      <c r="A140" s="13">
        <f>+A139+1</f>
        <v>27</v>
      </c>
      <c r="B140" s="9"/>
      <c r="C140" s="14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</row>
    <row r="141" spans="1:14" s="9" customFormat="1" ht="12.75">
      <c r="A141" s="13">
        <f>+A140+1</f>
        <v>28</v>
      </c>
      <c r="C141" s="50" t="s">
        <v>75</v>
      </c>
    </row>
    <row r="142" spans="1:14" s="9" customFormat="1" ht="12.75">
      <c r="A142" s="13">
        <f t="shared" ref="A142:A148" si="43">+A141+1</f>
        <v>29</v>
      </c>
      <c r="B142" s="9" t="str">
        <f>IF(OR((C141="~"),(C142="~")),"~","")</f>
        <v/>
      </c>
      <c r="C142" s="51" t="s">
        <v>69</v>
      </c>
      <c r="D142" s="15">
        <v>617360686.17787921</v>
      </c>
      <c r="E142" s="15">
        <v>391285234.91773123</v>
      </c>
      <c r="F142" s="15">
        <v>69849955.474644914</v>
      </c>
      <c r="G142" s="15">
        <v>66096287.004082657</v>
      </c>
      <c r="H142" s="15">
        <v>37365915.615927398</v>
      </c>
      <c r="I142" s="15">
        <v>28757322.327280536</v>
      </c>
      <c r="J142" s="15">
        <v>11013191.558704754</v>
      </c>
      <c r="K142" s="15">
        <v>6839640.8253056034</v>
      </c>
      <c r="L142" s="15">
        <v>2803227.2094954173</v>
      </c>
      <c r="M142" s="15">
        <v>2682195.3949379213</v>
      </c>
      <c r="N142" s="15">
        <v>667715.84976895596</v>
      </c>
    </row>
    <row r="143" spans="1:14" s="9" customFormat="1" ht="12.75">
      <c r="A143" s="13">
        <f t="shared" si="43"/>
        <v>30</v>
      </c>
      <c r="B143" s="9" t="str">
        <f>IF(OR((C141="~"),(C143="~")),"~","")</f>
        <v/>
      </c>
      <c r="C143" s="51" t="s">
        <v>70</v>
      </c>
      <c r="D143" s="15">
        <v>1332554548.6680202</v>
      </c>
      <c r="E143" s="15">
        <v>675632026.51680291</v>
      </c>
      <c r="F143" s="15">
        <v>163560383.00512502</v>
      </c>
      <c r="G143" s="15">
        <v>184613153.16389194</v>
      </c>
      <c r="H143" s="15">
        <v>127238325.61481859</v>
      </c>
      <c r="I143" s="15">
        <v>89116082.969313249</v>
      </c>
      <c r="J143" s="15">
        <v>43516031.789116032</v>
      </c>
      <c r="K143" s="15">
        <v>34363871.187264629</v>
      </c>
      <c r="L143" s="15">
        <v>8192029.0973411044</v>
      </c>
      <c r="M143" s="15">
        <v>5266493.1104446156</v>
      </c>
      <c r="N143" s="15">
        <v>1056152.2139020974</v>
      </c>
    </row>
    <row r="144" spans="1:14" s="9" customFormat="1" ht="12.75">
      <c r="A144" s="13">
        <f t="shared" si="43"/>
        <v>31</v>
      </c>
      <c r="B144" s="9" t="str">
        <f>IF(OR((C141="~"),(C144="~")),"~","")</f>
        <v/>
      </c>
      <c r="C144" s="51" t="s">
        <v>71</v>
      </c>
      <c r="D144" s="15">
        <v>172499678.70856866</v>
      </c>
      <c r="E144" s="15">
        <v>123813725.92408323</v>
      </c>
      <c r="F144" s="15">
        <v>21669342.955786131</v>
      </c>
      <c r="G144" s="15">
        <v>8179867.4156236742</v>
      </c>
      <c r="H144" s="15">
        <v>1820981.816819225</v>
      </c>
      <c r="I144" s="15">
        <v>3756507.9806314576</v>
      </c>
      <c r="J144" s="15">
        <v>1390854.3138089641</v>
      </c>
      <c r="K144" s="15">
        <v>495608.56140771817</v>
      </c>
      <c r="L144" s="15">
        <v>220050.55922370908</v>
      </c>
      <c r="M144" s="15">
        <v>11047431.150535166</v>
      </c>
      <c r="N144" s="15">
        <v>105308.03064940471</v>
      </c>
    </row>
    <row r="145" spans="1:17" s="9" customFormat="1" ht="12.75">
      <c r="A145" s="13">
        <f t="shared" si="43"/>
        <v>32</v>
      </c>
      <c r="B145" s="9" t="str">
        <f>IF(OR((C141="~"),(C145="~")),"~","")</f>
        <v>~</v>
      </c>
      <c r="C145" s="51" t="s">
        <v>72</v>
      </c>
      <c r="D145" s="15">
        <v>0</v>
      </c>
      <c r="E145" s="15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</row>
    <row r="146" spans="1:17" s="9" customFormat="1" ht="12.75">
      <c r="A146" s="13">
        <f t="shared" si="43"/>
        <v>33</v>
      </c>
      <c r="B146" s="9" t="str">
        <f>IF(OR((C141="~"),(C146="~")),"~","")</f>
        <v>~</v>
      </c>
      <c r="C146" s="51" t="s">
        <v>72</v>
      </c>
      <c r="D146" s="15">
        <v>0</v>
      </c>
      <c r="E146" s="15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</row>
    <row r="147" spans="1:17" s="9" customFormat="1" ht="12.75">
      <c r="A147" s="13">
        <f t="shared" si="43"/>
        <v>34</v>
      </c>
      <c r="B147" s="9" t="str">
        <f>IF(OR((C141="~"),(C147="~")),"~","")</f>
        <v>~</v>
      </c>
      <c r="C147" s="51" t="s">
        <v>72</v>
      </c>
      <c r="D147" s="15">
        <v>0</v>
      </c>
      <c r="E147" s="15">
        <v>0</v>
      </c>
      <c r="F147" s="15">
        <v>0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</row>
    <row r="148" spans="1:17" s="9" customFormat="1" ht="12.75">
      <c r="A148" s="13">
        <f t="shared" si="43"/>
        <v>35</v>
      </c>
      <c r="C148" s="52" t="s">
        <v>77</v>
      </c>
      <c r="D148" s="52">
        <f>SUM(E148:N148)</f>
        <v>2122414913.5544684</v>
      </c>
      <c r="E148" s="52">
        <f t="shared" ref="E148:N148" si="44">SUM(E142:E147)</f>
        <v>1190730987.3586173</v>
      </c>
      <c r="F148" s="52">
        <f t="shared" si="44"/>
        <v>255079681.43555608</v>
      </c>
      <c r="G148" s="52">
        <f t="shared" si="44"/>
        <v>258889307.58359826</v>
      </c>
      <c r="H148" s="52">
        <f t="shared" si="44"/>
        <v>166425223.04756519</v>
      </c>
      <c r="I148" s="52">
        <f t="shared" si="44"/>
        <v>121629913.27722524</v>
      </c>
      <c r="J148" s="52">
        <f t="shared" si="44"/>
        <v>55920077.661629751</v>
      </c>
      <c r="K148" s="52">
        <f t="shared" si="44"/>
        <v>41699120.573977947</v>
      </c>
      <c r="L148" s="52">
        <f t="shared" si="44"/>
        <v>11215306.866060231</v>
      </c>
      <c r="M148" s="52">
        <f t="shared" si="44"/>
        <v>18996119.655917704</v>
      </c>
      <c r="N148" s="52">
        <f t="shared" si="44"/>
        <v>1829176.0943204581</v>
      </c>
    </row>
    <row r="149" spans="1:17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7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7" s="9" customFormat="1" ht="15.75">
      <c r="A151" s="3" t="str">
        <f>A2</f>
        <v>ELECTRIC COST OF SERVICE SUMMARY</v>
      </c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7" s="9" customFormat="1" ht="15.75">
      <c r="A152" s="3" t="s">
        <v>2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7" s="9" customFormat="1" ht="15.75">
      <c r="A153" s="3" t="s">
        <v>78</v>
      </c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7" s="9" customFormat="1" ht="15.7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7" ht="38.25">
      <c r="A155" s="38"/>
      <c r="B155" s="6"/>
      <c r="C155" s="6"/>
      <c r="D155" s="6" t="s">
        <v>67</v>
      </c>
      <c r="E155" s="49" t="str">
        <f>+E6</f>
        <v>Residential
Sch 7</v>
      </c>
      <c r="F155" s="49" t="str">
        <f t="shared" ref="F155:N155" si="45">+F6</f>
        <v>Sec Volt
Sch 24
(kW&lt; 50)</v>
      </c>
      <c r="G155" s="49" t="str">
        <f t="shared" si="45"/>
        <v>Sec Volt
Sch 25
(kW &gt; 50 &amp; &lt; 350)</v>
      </c>
      <c r="H155" s="49" t="str">
        <f t="shared" si="45"/>
        <v>Sec Volt
Sch 26
(kW &gt; 350)</v>
      </c>
      <c r="I155" s="49" t="str">
        <f t="shared" si="45"/>
        <v>Pri Volt
Sch 31/35/43</v>
      </c>
      <c r="J155" s="49" t="str">
        <f t="shared" si="45"/>
        <v>Campus
Sch 40</v>
      </c>
      <c r="K155" s="49" t="str">
        <f t="shared" si="45"/>
        <v>High Volt
Sch 46/49</v>
      </c>
      <c r="L155" s="49" t="str">
        <f t="shared" si="45"/>
        <v>Choice /
Retail Wheeling
Sch 448/449</v>
      </c>
      <c r="M155" s="49" t="str">
        <f t="shared" si="45"/>
        <v>Lighting
Sch 50-59</v>
      </c>
      <c r="N155" s="49" t="str">
        <f t="shared" si="45"/>
        <v>Firm Resale /
Special Contract</v>
      </c>
    </row>
    <row r="156" spans="1:17">
      <c r="A156" s="9"/>
      <c r="B156" s="9"/>
      <c r="C156" s="10" t="s">
        <v>16</v>
      </c>
      <c r="D156" s="10" t="s">
        <v>17</v>
      </c>
      <c r="E156" s="10" t="s">
        <v>18</v>
      </c>
      <c r="F156" s="10" t="s">
        <v>19</v>
      </c>
      <c r="G156" s="10" t="s">
        <v>20</v>
      </c>
      <c r="H156" s="11" t="s">
        <v>21</v>
      </c>
      <c r="I156" s="11" t="s">
        <v>22</v>
      </c>
      <c r="J156" s="11" t="s">
        <v>23</v>
      </c>
      <c r="K156" s="11" t="s">
        <v>24</v>
      </c>
      <c r="L156" s="11" t="s">
        <v>25</v>
      </c>
      <c r="M156" s="11" t="s">
        <v>26</v>
      </c>
      <c r="N156" s="11" t="s">
        <v>27</v>
      </c>
    </row>
    <row r="157" spans="1:17" s="9" customFormat="1" ht="15.75">
      <c r="C157" s="10"/>
      <c r="D157" s="10"/>
      <c r="E157" s="10"/>
      <c r="F157" s="10"/>
      <c r="G157" s="10"/>
      <c r="H157" s="11"/>
      <c r="I157" s="11"/>
      <c r="J157" s="11"/>
      <c r="K157" s="11"/>
      <c r="L157" s="11"/>
      <c r="M157" s="11"/>
      <c r="N157" s="11"/>
      <c r="O157" s="23"/>
      <c r="P157" s="23"/>
      <c r="Q157" s="23"/>
    </row>
    <row r="158" spans="1:17" s="9" customFormat="1" ht="12.75">
      <c r="A158" s="13">
        <v>1</v>
      </c>
      <c r="C158" s="50" t="s">
        <v>68</v>
      </c>
    </row>
    <row r="159" spans="1:17" s="9" customFormat="1" ht="12.75">
      <c r="A159" s="13">
        <f t="shared" ref="A159:A183" si="46">+A158+1</f>
        <v>2</v>
      </c>
      <c r="B159" s="9" t="str">
        <f>IF(OR((C158="~"),(C159="~")),"~","")</f>
        <v/>
      </c>
      <c r="C159" s="51" t="s">
        <v>69</v>
      </c>
      <c r="D159" s="56">
        <f t="shared" ref="D159:N159" si="47">ROUND(IF($C159=0,0,D115/D$194),6)</f>
        <v>1.1200999999999999E-2</v>
      </c>
      <c r="E159" s="56">
        <f t="shared" si="47"/>
        <v>1.5039E-2</v>
      </c>
      <c r="F159" s="56">
        <f t="shared" si="47"/>
        <v>1.0769000000000001E-2</v>
      </c>
      <c r="G159" s="56">
        <f t="shared" si="47"/>
        <v>9.6930000000000002E-3</v>
      </c>
      <c r="H159" s="56">
        <f t="shared" si="47"/>
        <v>9.0539999999999995E-3</v>
      </c>
      <c r="I159" s="56">
        <f t="shared" si="47"/>
        <v>7.4710000000000002E-3</v>
      </c>
      <c r="J159" s="56">
        <f t="shared" si="47"/>
        <v>8.1510000000000003E-3</v>
      </c>
      <c r="K159" s="56">
        <f t="shared" si="47"/>
        <v>8.0420000000000005E-3</v>
      </c>
      <c r="L159" s="56">
        <f t="shared" si="47"/>
        <v>2.1900000000000001E-4</v>
      </c>
      <c r="M159" s="56">
        <f t="shared" si="47"/>
        <v>8.2559999999999995E-3</v>
      </c>
      <c r="N159" s="56">
        <f t="shared" si="47"/>
        <v>9.9400000000000009E-4</v>
      </c>
    </row>
    <row r="160" spans="1:17" s="9" customFormat="1" ht="12.75">
      <c r="A160" s="13">
        <f t="shared" si="46"/>
        <v>3</v>
      </c>
      <c r="B160" s="9" t="str">
        <f>IF(OR((C158="~"),(C160="~")),"~","")</f>
        <v/>
      </c>
      <c r="C160" s="51" t="s">
        <v>70</v>
      </c>
      <c r="D160" s="56">
        <f t="shared" ref="D160:N160" si="48">ROUND(IF($C160=0,0,D116/D$194),6)</f>
        <v>4.7669000000000003E-2</v>
      </c>
      <c r="E160" s="56">
        <f t="shared" si="48"/>
        <v>5.2206000000000002E-2</v>
      </c>
      <c r="F160" s="56">
        <f t="shared" si="48"/>
        <v>5.2206000000000002E-2</v>
      </c>
      <c r="G160" s="56">
        <f t="shared" si="48"/>
        <v>5.2206000000000002E-2</v>
      </c>
      <c r="H160" s="56">
        <f t="shared" si="48"/>
        <v>5.2206000000000002E-2</v>
      </c>
      <c r="I160" s="56">
        <f t="shared" si="48"/>
        <v>5.2206000000000002E-2</v>
      </c>
      <c r="J160" s="56">
        <f t="shared" si="48"/>
        <v>5.2206000000000002E-2</v>
      </c>
      <c r="K160" s="56">
        <f t="shared" si="48"/>
        <v>5.2206000000000002E-2</v>
      </c>
      <c r="L160" s="56">
        <f t="shared" si="48"/>
        <v>9.9999999999999995E-7</v>
      </c>
      <c r="M160" s="56">
        <f t="shared" si="48"/>
        <v>5.2206000000000002E-2</v>
      </c>
      <c r="N160" s="56">
        <f t="shared" si="48"/>
        <v>2.4889999999999999E-3</v>
      </c>
    </row>
    <row r="161" spans="1:14" s="9" customFormat="1" ht="12.75">
      <c r="A161" s="13">
        <f t="shared" si="46"/>
        <v>4</v>
      </c>
      <c r="B161" s="9" t="str">
        <f>IF(OR((C158="~"),(C161="~")),"~","")</f>
        <v/>
      </c>
      <c r="C161" s="51" t="s">
        <v>71</v>
      </c>
      <c r="D161" s="56">
        <f t="shared" ref="D161:N161" si="49">ROUND(IF($C161=0,0,D117/D$194),6)</f>
        <v>0</v>
      </c>
      <c r="E161" s="56">
        <f t="shared" si="49"/>
        <v>0</v>
      </c>
      <c r="F161" s="56">
        <f t="shared" si="49"/>
        <v>0</v>
      </c>
      <c r="G161" s="56">
        <f t="shared" si="49"/>
        <v>0</v>
      </c>
      <c r="H161" s="56">
        <f t="shared" si="49"/>
        <v>0</v>
      </c>
      <c r="I161" s="56">
        <f t="shared" si="49"/>
        <v>0</v>
      </c>
      <c r="J161" s="56">
        <f t="shared" si="49"/>
        <v>0</v>
      </c>
      <c r="K161" s="56">
        <f t="shared" si="49"/>
        <v>0</v>
      </c>
      <c r="L161" s="56">
        <f t="shared" si="49"/>
        <v>0</v>
      </c>
      <c r="M161" s="56">
        <f t="shared" si="49"/>
        <v>0</v>
      </c>
      <c r="N161" s="56">
        <f t="shared" si="49"/>
        <v>0</v>
      </c>
    </row>
    <row r="162" spans="1:14" s="9" customFormat="1" ht="12.75">
      <c r="A162" s="13">
        <f t="shared" si="46"/>
        <v>5</v>
      </c>
      <c r="B162" s="9" t="str">
        <f>IF(OR((C158="~"),(C162="~")),"~","")</f>
        <v>~</v>
      </c>
      <c r="C162" s="51" t="s">
        <v>72</v>
      </c>
      <c r="D162" s="56">
        <f t="shared" ref="D162:N162" si="50">ROUND(IF($C162=0,0,D118/D$194),6)</f>
        <v>0</v>
      </c>
      <c r="E162" s="56">
        <f t="shared" si="50"/>
        <v>0</v>
      </c>
      <c r="F162" s="56">
        <f t="shared" si="50"/>
        <v>0</v>
      </c>
      <c r="G162" s="56">
        <f t="shared" si="50"/>
        <v>0</v>
      </c>
      <c r="H162" s="56">
        <f t="shared" si="50"/>
        <v>0</v>
      </c>
      <c r="I162" s="56">
        <f t="shared" si="50"/>
        <v>0</v>
      </c>
      <c r="J162" s="56">
        <f t="shared" si="50"/>
        <v>0</v>
      </c>
      <c r="K162" s="56">
        <f t="shared" si="50"/>
        <v>0</v>
      </c>
      <c r="L162" s="56">
        <f t="shared" si="50"/>
        <v>0</v>
      </c>
      <c r="M162" s="56">
        <f t="shared" si="50"/>
        <v>0</v>
      </c>
      <c r="N162" s="56">
        <f t="shared" si="50"/>
        <v>0</v>
      </c>
    </row>
    <row r="163" spans="1:14" s="9" customFormat="1" ht="12.75">
      <c r="A163" s="13">
        <f t="shared" si="46"/>
        <v>6</v>
      </c>
      <c r="B163" s="9" t="str">
        <f>IF(OR((C158="~"),(C163="~")),"~","")</f>
        <v>~</v>
      </c>
      <c r="C163" s="51" t="s">
        <v>72</v>
      </c>
      <c r="D163" s="56">
        <f t="shared" ref="D163:N163" si="51">ROUND(IF($C163=0,0,D119/D$194),6)</f>
        <v>0</v>
      </c>
      <c r="E163" s="56">
        <f t="shared" si="51"/>
        <v>0</v>
      </c>
      <c r="F163" s="56">
        <f t="shared" si="51"/>
        <v>0</v>
      </c>
      <c r="G163" s="56">
        <f t="shared" si="51"/>
        <v>0</v>
      </c>
      <c r="H163" s="56">
        <f t="shared" si="51"/>
        <v>0</v>
      </c>
      <c r="I163" s="56">
        <f t="shared" si="51"/>
        <v>0</v>
      </c>
      <c r="J163" s="56">
        <f t="shared" si="51"/>
        <v>0</v>
      </c>
      <c r="K163" s="56">
        <f t="shared" si="51"/>
        <v>0</v>
      </c>
      <c r="L163" s="56">
        <f t="shared" si="51"/>
        <v>0</v>
      </c>
      <c r="M163" s="56">
        <f t="shared" si="51"/>
        <v>0</v>
      </c>
      <c r="N163" s="56">
        <f t="shared" si="51"/>
        <v>0</v>
      </c>
    </row>
    <row r="164" spans="1:14" s="9" customFormat="1" ht="12.75">
      <c r="A164" s="13">
        <f t="shared" si="46"/>
        <v>7</v>
      </c>
      <c r="B164" s="9" t="str">
        <f>IF(OR((C158="~"),(C164="~")),"~","")</f>
        <v>~</v>
      </c>
      <c r="C164" s="156" t="s">
        <v>72</v>
      </c>
      <c r="D164" s="157">
        <f t="shared" ref="D164:N164" si="52">ROUND(IF($C164=0,0,D120/D$194),6)</f>
        <v>0</v>
      </c>
      <c r="E164" s="157">
        <f t="shared" si="52"/>
        <v>0</v>
      </c>
      <c r="F164" s="157">
        <f t="shared" si="52"/>
        <v>0</v>
      </c>
      <c r="G164" s="157">
        <f t="shared" si="52"/>
        <v>0</v>
      </c>
      <c r="H164" s="157">
        <f t="shared" si="52"/>
        <v>0</v>
      </c>
      <c r="I164" s="157">
        <f t="shared" si="52"/>
        <v>0</v>
      </c>
      <c r="J164" s="157">
        <f t="shared" si="52"/>
        <v>0</v>
      </c>
      <c r="K164" s="157">
        <f t="shared" si="52"/>
        <v>0</v>
      </c>
      <c r="L164" s="157">
        <f t="shared" si="52"/>
        <v>0</v>
      </c>
      <c r="M164" s="157">
        <f t="shared" si="52"/>
        <v>0</v>
      </c>
      <c r="N164" s="157">
        <f t="shared" si="52"/>
        <v>0</v>
      </c>
    </row>
    <row r="165" spans="1:14" s="9" customFormat="1" ht="12.75">
      <c r="A165" s="13">
        <f t="shared" si="46"/>
        <v>8</v>
      </c>
      <c r="B165" s="9" t="str">
        <f>IF(OR((C158="~"),(C165="~")),"~","")</f>
        <v/>
      </c>
      <c r="C165" s="53" t="s">
        <v>79</v>
      </c>
      <c r="D165" s="56">
        <f t="shared" ref="D165:N165" si="53">ROUND(IF($C165=0,0,D121/D$194),6)</f>
        <v>5.8869999999999999E-2</v>
      </c>
      <c r="E165" s="56">
        <f t="shared" si="53"/>
        <v>6.7244999999999999E-2</v>
      </c>
      <c r="F165" s="56">
        <f t="shared" si="53"/>
        <v>6.2976000000000004E-2</v>
      </c>
      <c r="G165" s="56">
        <f t="shared" si="53"/>
        <v>6.1899999999999997E-2</v>
      </c>
      <c r="H165" s="56">
        <f t="shared" si="53"/>
        <v>6.1260000000000002E-2</v>
      </c>
      <c r="I165" s="56">
        <f t="shared" si="53"/>
        <v>5.9677000000000001E-2</v>
      </c>
      <c r="J165" s="56">
        <f t="shared" si="53"/>
        <v>6.0357000000000001E-2</v>
      </c>
      <c r="K165" s="56">
        <f t="shared" si="53"/>
        <v>6.0248000000000003E-2</v>
      </c>
      <c r="L165" s="56">
        <f t="shared" si="53"/>
        <v>2.2000000000000001E-4</v>
      </c>
      <c r="M165" s="56">
        <f t="shared" si="53"/>
        <v>6.0462000000000002E-2</v>
      </c>
      <c r="N165" s="56">
        <f t="shared" si="53"/>
        <v>3.483E-3</v>
      </c>
    </row>
    <row r="166" spans="1:14" s="9" customFormat="1" ht="12.75">
      <c r="A166" s="13">
        <f t="shared" si="46"/>
        <v>9</v>
      </c>
      <c r="B166" s="9" t="str">
        <f>IF(OR((C158="~"),(C166="~")),"~","")</f>
        <v/>
      </c>
      <c r="C166" s="53"/>
      <c r="D166" s="56"/>
      <c r="E166" s="56"/>
      <c r="F166" s="56"/>
      <c r="G166" s="56"/>
      <c r="H166" s="56"/>
      <c r="I166" s="56"/>
      <c r="J166" s="56"/>
      <c r="K166" s="56"/>
      <c r="L166" s="56"/>
      <c r="M166" s="56"/>
      <c r="N166" s="56"/>
    </row>
    <row r="167" spans="1:14" s="9" customFormat="1" ht="12.75">
      <c r="A167" s="13">
        <f t="shared" si="46"/>
        <v>10</v>
      </c>
      <c r="C167" s="50" t="s">
        <v>73</v>
      </c>
    </row>
    <row r="168" spans="1:14" s="9" customFormat="1" ht="12.75">
      <c r="A168" s="13">
        <f t="shared" si="46"/>
        <v>11</v>
      </c>
      <c r="B168" s="9" t="str">
        <f>IF(OR((C167="~"),(C168="~")),"~","")</f>
        <v/>
      </c>
      <c r="C168" s="51" t="s">
        <v>69</v>
      </c>
      <c r="D168" s="56">
        <f t="shared" ref="D168:N168" si="54">ROUND(IF($C168=0,0,D124/D$194),6)</f>
        <v>5.7200000000000003E-4</v>
      </c>
      <c r="E168" s="56">
        <f t="shared" si="54"/>
        <v>7.5100000000000004E-4</v>
      </c>
      <c r="F168" s="56">
        <f t="shared" si="54"/>
        <v>5.3799999999999996E-4</v>
      </c>
      <c r="G168" s="56">
        <f t="shared" si="54"/>
        <v>4.84E-4</v>
      </c>
      <c r="H168" s="56">
        <f t="shared" si="54"/>
        <v>4.5199999999999998E-4</v>
      </c>
      <c r="I168" s="56">
        <f t="shared" si="54"/>
        <v>3.7300000000000001E-4</v>
      </c>
      <c r="J168" s="56">
        <f t="shared" si="54"/>
        <v>4.0700000000000003E-4</v>
      </c>
      <c r="K168" s="56">
        <f t="shared" si="54"/>
        <v>4.0099999999999999E-4</v>
      </c>
      <c r="L168" s="56">
        <f t="shared" si="54"/>
        <v>1.5699999999999999E-4</v>
      </c>
      <c r="M168" s="56">
        <f t="shared" si="54"/>
        <v>4.1199999999999999E-4</v>
      </c>
      <c r="N168" s="56">
        <f t="shared" si="54"/>
        <v>1.8000000000000001E-4</v>
      </c>
    </row>
    <row r="169" spans="1:14" s="9" customFormat="1" ht="12.75">
      <c r="A169" s="13">
        <f t="shared" si="46"/>
        <v>12</v>
      </c>
      <c r="B169" s="9" t="str">
        <f>IF(OR((C167="~"),(C169="~")),"~","")</f>
        <v/>
      </c>
      <c r="C169" s="51" t="s">
        <v>70</v>
      </c>
      <c r="D169" s="56">
        <f t="shared" ref="D169:N169" si="55">ROUND(IF($C169=0,0,D125/D$194),6)</f>
        <v>2.4380000000000001E-3</v>
      </c>
      <c r="E169" s="56">
        <f t="shared" si="55"/>
        <v>2.578E-3</v>
      </c>
      <c r="F169" s="56">
        <f t="shared" si="55"/>
        <v>2.578E-3</v>
      </c>
      <c r="G169" s="56">
        <f t="shared" si="55"/>
        <v>2.578E-3</v>
      </c>
      <c r="H169" s="56">
        <f t="shared" si="55"/>
        <v>2.578E-3</v>
      </c>
      <c r="I169" s="56">
        <f t="shared" si="55"/>
        <v>2.578E-3</v>
      </c>
      <c r="J169" s="56">
        <f t="shared" si="55"/>
        <v>2.578E-3</v>
      </c>
      <c r="K169" s="56">
        <f t="shared" si="55"/>
        <v>2.578E-3</v>
      </c>
      <c r="L169" s="56">
        <f t="shared" si="55"/>
        <v>9.6500000000000004E-4</v>
      </c>
      <c r="M169" s="56">
        <f t="shared" si="55"/>
        <v>2.578E-3</v>
      </c>
      <c r="N169" s="56">
        <f t="shared" si="55"/>
        <v>1.042E-3</v>
      </c>
    </row>
    <row r="170" spans="1:14" s="9" customFormat="1" ht="12.75">
      <c r="A170" s="13">
        <f t="shared" si="46"/>
        <v>13</v>
      </c>
      <c r="B170" s="9" t="str">
        <f>IF(OR((C167="~"),(C170="~")),"~","")</f>
        <v/>
      </c>
      <c r="C170" s="51" t="s">
        <v>71</v>
      </c>
      <c r="D170" s="56">
        <f t="shared" ref="D170:N170" si="56">ROUND(IF($C170=0,0,D126/D$194),6)</f>
        <v>0</v>
      </c>
      <c r="E170" s="56">
        <f t="shared" si="56"/>
        <v>0</v>
      </c>
      <c r="F170" s="56">
        <f t="shared" si="56"/>
        <v>0</v>
      </c>
      <c r="G170" s="56">
        <f t="shared" si="56"/>
        <v>0</v>
      </c>
      <c r="H170" s="56">
        <f t="shared" si="56"/>
        <v>0</v>
      </c>
      <c r="I170" s="56">
        <f t="shared" si="56"/>
        <v>0</v>
      </c>
      <c r="J170" s="56">
        <f t="shared" si="56"/>
        <v>0</v>
      </c>
      <c r="K170" s="56">
        <f t="shared" si="56"/>
        <v>0</v>
      </c>
      <c r="L170" s="56">
        <f t="shared" si="56"/>
        <v>0</v>
      </c>
      <c r="M170" s="56">
        <f t="shared" si="56"/>
        <v>0</v>
      </c>
      <c r="N170" s="56">
        <f t="shared" si="56"/>
        <v>0</v>
      </c>
    </row>
    <row r="171" spans="1:14" s="9" customFormat="1" ht="12.75">
      <c r="A171" s="13">
        <f t="shared" si="46"/>
        <v>14</v>
      </c>
      <c r="B171" s="9" t="str">
        <f>IF(OR((C167="~"),(C171="~")),"~","")</f>
        <v>~</v>
      </c>
      <c r="C171" s="51" t="s">
        <v>72</v>
      </c>
      <c r="D171" s="56">
        <f t="shared" ref="D171:N171" si="57">ROUND(IF($C171=0,0,D127/D$194),6)</f>
        <v>0</v>
      </c>
      <c r="E171" s="56">
        <f t="shared" si="57"/>
        <v>0</v>
      </c>
      <c r="F171" s="56">
        <f t="shared" si="57"/>
        <v>0</v>
      </c>
      <c r="G171" s="56">
        <f t="shared" si="57"/>
        <v>0</v>
      </c>
      <c r="H171" s="56">
        <f t="shared" si="57"/>
        <v>0</v>
      </c>
      <c r="I171" s="56">
        <f t="shared" si="57"/>
        <v>0</v>
      </c>
      <c r="J171" s="56">
        <f t="shared" si="57"/>
        <v>0</v>
      </c>
      <c r="K171" s="56">
        <f t="shared" si="57"/>
        <v>0</v>
      </c>
      <c r="L171" s="56">
        <f t="shared" si="57"/>
        <v>0</v>
      </c>
      <c r="M171" s="56">
        <f t="shared" si="57"/>
        <v>0</v>
      </c>
      <c r="N171" s="56">
        <f t="shared" si="57"/>
        <v>0</v>
      </c>
    </row>
    <row r="172" spans="1:14" s="9" customFormat="1" ht="12.75">
      <c r="A172" s="13">
        <f t="shared" si="46"/>
        <v>15</v>
      </c>
      <c r="B172" s="9" t="str">
        <f>IF(OR((C167="~"),(C172="~")),"~","")</f>
        <v>~</v>
      </c>
      <c r="C172" s="51" t="s">
        <v>72</v>
      </c>
      <c r="D172" s="56">
        <f t="shared" ref="D172:N172" si="58">ROUND(IF($C172=0,0,D128/D$194),6)</f>
        <v>0</v>
      </c>
      <c r="E172" s="56">
        <f t="shared" si="58"/>
        <v>0</v>
      </c>
      <c r="F172" s="56">
        <f t="shared" si="58"/>
        <v>0</v>
      </c>
      <c r="G172" s="56">
        <f t="shared" si="58"/>
        <v>0</v>
      </c>
      <c r="H172" s="56">
        <f t="shared" si="58"/>
        <v>0</v>
      </c>
      <c r="I172" s="56">
        <f t="shared" si="58"/>
        <v>0</v>
      </c>
      <c r="J172" s="56">
        <f t="shared" si="58"/>
        <v>0</v>
      </c>
      <c r="K172" s="56">
        <f t="shared" si="58"/>
        <v>0</v>
      </c>
      <c r="L172" s="56">
        <f t="shared" si="58"/>
        <v>0</v>
      </c>
      <c r="M172" s="56">
        <f t="shared" si="58"/>
        <v>0</v>
      </c>
      <c r="N172" s="56">
        <f t="shared" si="58"/>
        <v>0</v>
      </c>
    </row>
    <row r="173" spans="1:14" s="9" customFormat="1" ht="12.75">
      <c r="A173" s="13">
        <f t="shared" si="46"/>
        <v>16</v>
      </c>
      <c r="B173" s="9" t="str">
        <f>IF(OR((C167="~"),(C173="~")),"~","")</f>
        <v>~</v>
      </c>
      <c r="C173" s="156" t="s">
        <v>72</v>
      </c>
      <c r="D173" s="157">
        <f t="shared" ref="D173:N173" si="59">ROUND(IF($C173=0,0,D129/D$194),6)</f>
        <v>0</v>
      </c>
      <c r="E173" s="157">
        <f t="shared" si="59"/>
        <v>0</v>
      </c>
      <c r="F173" s="157">
        <f t="shared" si="59"/>
        <v>0</v>
      </c>
      <c r="G173" s="157">
        <f t="shared" si="59"/>
        <v>0</v>
      </c>
      <c r="H173" s="157">
        <f t="shared" si="59"/>
        <v>0</v>
      </c>
      <c r="I173" s="157">
        <f t="shared" si="59"/>
        <v>0</v>
      </c>
      <c r="J173" s="157">
        <f t="shared" si="59"/>
        <v>0</v>
      </c>
      <c r="K173" s="157">
        <f t="shared" si="59"/>
        <v>0</v>
      </c>
      <c r="L173" s="157">
        <f t="shared" si="59"/>
        <v>0</v>
      </c>
      <c r="M173" s="157">
        <f t="shared" si="59"/>
        <v>0</v>
      </c>
      <c r="N173" s="157">
        <f t="shared" si="59"/>
        <v>0</v>
      </c>
    </row>
    <row r="174" spans="1:14" s="9" customFormat="1" ht="12.75">
      <c r="A174" s="13">
        <f t="shared" si="46"/>
        <v>17</v>
      </c>
      <c r="B174" s="9" t="str">
        <f>IF(OR((C167="~"),(C174="~")),"~","")</f>
        <v/>
      </c>
      <c r="C174" s="53" t="s">
        <v>79</v>
      </c>
      <c r="D174" s="56">
        <f t="shared" ref="D174:N174" si="60">ROUND(IF($C174=0,0,D130/D$194),6)</f>
        <v>3.0100000000000001E-3</v>
      </c>
      <c r="E174" s="56">
        <f t="shared" si="60"/>
        <v>3.3289999999999999E-3</v>
      </c>
      <c r="F174" s="56">
        <f t="shared" si="60"/>
        <v>3.1159999999999998E-3</v>
      </c>
      <c r="G174" s="56">
        <f t="shared" si="60"/>
        <v>3.0620000000000001E-3</v>
      </c>
      <c r="H174" s="56">
        <f t="shared" si="60"/>
        <v>3.0300000000000001E-3</v>
      </c>
      <c r="I174" s="56">
        <f t="shared" si="60"/>
        <v>2.9510000000000001E-3</v>
      </c>
      <c r="J174" s="56">
        <f t="shared" si="60"/>
        <v>2.9849999999999998E-3</v>
      </c>
      <c r="K174" s="56">
        <f t="shared" si="60"/>
        <v>2.98E-3</v>
      </c>
      <c r="L174" s="56">
        <f t="shared" si="60"/>
        <v>1.122E-3</v>
      </c>
      <c r="M174" s="56">
        <f t="shared" si="60"/>
        <v>2.99E-3</v>
      </c>
      <c r="N174" s="56">
        <f t="shared" si="60"/>
        <v>1.222E-3</v>
      </c>
    </row>
    <row r="175" spans="1:14" s="9" customFormat="1" ht="12.75">
      <c r="A175" s="13">
        <f t="shared" si="46"/>
        <v>18</v>
      </c>
      <c r="B175" s="9" t="str">
        <f>IF(OR((C167="~"),(C175="~")),"~","")</f>
        <v/>
      </c>
      <c r="C175" s="53"/>
      <c r="D175" s="56"/>
      <c r="E175" s="56"/>
      <c r="F175" s="56"/>
      <c r="G175" s="56"/>
      <c r="H175" s="56"/>
      <c r="I175" s="56"/>
      <c r="J175" s="56"/>
      <c r="K175" s="56"/>
      <c r="L175" s="56"/>
      <c r="M175" s="56"/>
      <c r="N175" s="56"/>
    </row>
    <row r="176" spans="1:14" s="9" customFormat="1" ht="12.75">
      <c r="A176" s="13">
        <f t="shared" si="46"/>
        <v>19</v>
      </c>
      <c r="C176" s="50" t="s">
        <v>74</v>
      </c>
    </row>
    <row r="177" spans="1:14" s="9" customFormat="1" ht="12.75">
      <c r="A177" s="13">
        <f t="shared" si="46"/>
        <v>20</v>
      </c>
      <c r="B177" s="9" t="str">
        <f>IF(OR((C176="~"),(C177="~")),"~","")</f>
        <v/>
      </c>
      <c r="C177" s="51" t="s">
        <v>69</v>
      </c>
      <c r="D177" s="56">
        <f t="shared" ref="D177:N177" si="61">ROUND(IF($C177=0,0,D133/D$194),6)</f>
        <v>1.2900999999999999E-2</v>
      </c>
      <c r="E177" s="56">
        <f t="shared" si="61"/>
        <v>1.7767000000000002E-2</v>
      </c>
      <c r="F177" s="56">
        <f t="shared" si="61"/>
        <v>1.3436999999999999E-2</v>
      </c>
      <c r="G177" s="56">
        <f t="shared" si="61"/>
        <v>1.0567E-2</v>
      </c>
      <c r="H177" s="56">
        <f t="shared" si="61"/>
        <v>7.509E-3</v>
      </c>
      <c r="I177" s="56">
        <f t="shared" si="61"/>
        <v>1.0853E-2</v>
      </c>
      <c r="J177" s="56">
        <f t="shared" si="61"/>
        <v>6.1060000000000003E-3</v>
      </c>
      <c r="K177" s="56">
        <f t="shared" si="61"/>
        <v>3.0890000000000002E-3</v>
      </c>
      <c r="L177" s="56">
        <f t="shared" si="61"/>
        <v>1.0089999999999999E-3</v>
      </c>
      <c r="M177" s="56">
        <f t="shared" si="61"/>
        <v>2.0840999999999998E-2</v>
      </c>
      <c r="N177" s="56">
        <f t="shared" si="61"/>
        <v>3.0109999999999998E-3</v>
      </c>
    </row>
    <row r="178" spans="1:14" s="9" customFormat="1" ht="12.75">
      <c r="A178" s="13">
        <f t="shared" si="46"/>
        <v>21</v>
      </c>
      <c r="B178" s="9" t="str">
        <f>IF(OR((C176="~"),(C178="~")),"~","")</f>
        <v/>
      </c>
      <c r="C178" s="51" t="s">
        <v>70</v>
      </c>
      <c r="D178" s="56">
        <f t="shared" ref="D178:N178" si="62">ROUND(IF($C178=0,0,D134/D$194),6)</f>
        <v>3.1510000000000002E-3</v>
      </c>
      <c r="E178" s="56">
        <f t="shared" si="62"/>
        <v>3.1570000000000001E-3</v>
      </c>
      <c r="F178" s="56">
        <f t="shared" si="62"/>
        <v>3.1570000000000001E-3</v>
      </c>
      <c r="G178" s="56">
        <f t="shared" si="62"/>
        <v>3.1570000000000001E-3</v>
      </c>
      <c r="H178" s="56">
        <f t="shared" si="62"/>
        <v>3.1570000000000001E-3</v>
      </c>
      <c r="I178" s="56">
        <f t="shared" si="62"/>
        <v>3.1570000000000001E-3</v>
      </c>
      <c r="J178" s="56">
        <f t="shared" si="62"/>
        <v>3.1570000000000001E-3</v>
      </c>
      <c r="K178" s="56">
        <f t="shared" si="62"/>
        <v>3.1570000000000001E-3</v>
      </c>
      <c r="L178" s="56">
        <f t="shared" si="62"/>
        <v>3.0839999999999999E-3</v>
      </c>
      <c r="M178" s="56">
        <f t="shared" si="62"/>
        <v>3.1570000000000001E-3</v>
      </c>
      <c r="N178" s="56">
        <f t="shared" si="62"/>
        <v>3.088E-3</v>
      </c>
    </row>
    <row r="179" spans="1:14" s="9" customFormat="1" ht="12.75">
      <c r="A179" s="13">
        <f t="shared" si="46"/>
        <v>22</v>
      </c>
      <c r="B179" s="9" t="str">
        <f>IF(OR((C176="~"),(C179="~")),"~","")</f>
        <v/>
      </c>
      <c r="C179" s="51" t="s">
        <v>71</v>
      </c>
      <c r="D179" s="56">
        <f t="shared" ref="D179:N179" si="63">ROUND(IF($C179=0,0,D135/D$194),6)</f>
        <v>6.894E-3</v>
      </c>
      <c r="E179" s="56">
        <f t="shared" si="63"/>
        <v>1.0618000000000001E-2</v>
      </c>
      <c r="F179" s="56">
        <f t="shared" si="63"/>
        <v>7.6759999999999997E-3</v>
      </c>
      <c r="G179" s="56">
        <f t="shared" si="63"/>
        <v>2.5669999999999998E-3</v>
      </c>
      <c r="H179" s="56">
        <f t="shared" si="63"/>
        <v>8.2899999999999998E-4</v>
      </c>
      <c r="I179" s="56">
        <f t="shared" si="63"/>
        <v>2.4420000000000002E-3</v>
      </c>
      <c r="J179" s="56">
        <f t="shared" si="63"/>
        <v>1.8519999999999999E-3</v>
      </c>
      <c r="K179" s="56">
        <f t="shared" si="63"/>
        <v>8.3600000000000005E-4</v>
      </c>
      <c r="L179" s="56">
        <f t="shared" si="63"/>
        <v>1.0900000000000001E-4</v>
      </c>
      <c r="M179" s="56">
        <f t="shared" si="63"/>
        <v>0.121543</v>
      </c>
      <c r="N179" s="56">
        <f t="shared" si="63"/>
        <v>6.6E-4</v>
      </c>
    </row>
    <row r="180" spans="1:14" s="9" customFormat="1" ht="12.75">
      <c r="A180" s="13">
        <f t="shared" si="46"/>
        <v>23</v>
      </c>
      <c r="B180" s="9" t="str">
        <f>IF(OR((C176="~"),(C180="~")),"~","")</f>
        <v>~</v>
      </c>
      <c r="C180" s="51" t="s">
        <v>72</v>
      </c>
      <c r="D180" s="56">
        <f t="shared" ref="D180:N180" si="64">ROUND(IF($C180=0,0,D136/D$194),6)</f>
        <v>0</v>
      </c>
      <c r="E180" s="56">
        <f t="shared" si="64"/>
        <v>0</v>
      </c>
      <c r="F180" s="56">
        <f t="shared" si="64"/>
        <v>0</v>
      </c>
      <c r="G180" s="56">
        <f t="shared" si="64"/>
        <v>0</v>
      </c>
      <c r="H180" s="56">
        <f t="shared" si="64"/>
        <v>0</v>
      </c>
      <c r="I180" s="56">
        <f t="shared" si="64"/>
        <v>0</v>
      </c>
      <c r="J180" s="56">
        <f t="shared" si="64"/>
        <v>0</v>
      </c>
      <c r="K180" s="56">
        <f t="shared" si="64"/>
        <v>0</v>
      </c>
      <c r="L180" s="56">
        <f t="shared" si="64"/>
        <v>0</v>
      </c>
      <c r="M180" s="56">
        <f t="shared" si="64"/>
        <v>0</v>
      </c>
      <c r="N180" s="56">
        <f t="shared" si="64"/>
        <v>0</v>
      </c>
    </row>
    <row r="181" spans="1:14" s="9" customFormat="1" ht="12.75">
      <c r="A181" s="13">
        <f t="shared" si="46"/>
        <v>24</v>
      </c>
      <c r="B181" s="9" t="str">
        <f>IF(OR((C176="~"),(C181="~")),"~","")</f>
        <v>~</v>
      </c>
      <c r="C181" s="51" t="s">
        <v>72</v>
      </c>
      <c r="D181" s="56">
        <f t="shared" ref="D181:N181" si="65">ROUND(IF($C181=0,0,D137/D$194),6)</f>
        <v>0</v>
      </c>
      <c r="E181" s="56">
        <f t="shared" si="65"/>
        <v>0</v>
      </c>
      <c r="F181" s="56">
        <f t="shared" si="65"/>
        <v>0</v>
      </c>
      <c r="G181" s="56">
        <f t="shared" si="65"/>
        <v>0</v>
      </c>
      <c r="H181" s="56">
        <f t="shared" si="65"/>
        <v>0</v>
      </c>
      <c r="I181" s="56">
        <f t="shared" si="65"/>
        <v>0</v>
      </c>
      <c r="J181" s="56">
        <f t="shared" si="65"/>
        <v>0</v>
      </c>
      <c r="K181" s="56">
        <f t="shared" si="65"/>
        <v>0</v>
      </c>
      <c r="L181" s="56">
        <f t="shared" si="65"/>
        <v>0</v>
      </c>
      <c r="M181" s="56">
        <f t="shared" si="65"/>
        <v>0</v>
      </c>
      <c r="N181" s="56">
        <f t="shared" si="65"/>
        <v>0</v>
      </c>
    </row>
    <row r="182" spans="1:14" s="9" customFormat="1" ht="12.75">
      <c r="A182" s="13">
        <f t="shared" si="46"/>
        <v>25</v>
      </c>
      <c r="B182" s="9" t="str">
        <f>IF(OR((C176="~"),(C182="~")),"~","")</f>
        <v>~</v>
      </c>
      <c r="C182" s="156" t="s">
        <v>72</v>
      </c>
      <c r="D182" s="157">
        <f t="shared" ref="D182:N182" si="66">ROUND(IF($C182=0,0,D138/D$194),6)</f>
        <v>0</v>
      </c>
      <c r="E182" s="157">
        <f t="shared" si="66"/>
        <v>0</v>
      </c>
      <c r="F182" s="157">
        <f t="shared" si="66"/>
        <v>0</v>
      </c>
      <c r="G182" s="157">
        <f t="shared" si="66"/>
        <v>0</v>
      </c>
      <c r="H182" s="157">
        <f t="shared" si="66"/>
        <v>0</v>
      </c>
      <c r="I182" s="157">
        <f t="shared" si="66"/>
        <v>0</v>
      </c>
      <c r="J182" s="157">
        <f t="shared" si="66"/>
        <v>0</v>
      </c>
      <c r="K182" s="157">
        <f t="shared" si="66"/>
        <v>0</v>
      </c>
      <c r="L182" s="157">
        <f t="shared" si="66"/>
        <v>0</v>
      </c>
      <c r="M182" s="157">
        <f t="shared" si="66"/>
        <v>0</v>
      </c>
      <c r="N182" s="157">
        <f t="shared" si="66"/>
        <v>0</v>
      </c>
    </row>
    <row r="183" spans="1:14" s="9" customFormat="1" ht="12.75">
      <c r="A183" s="13">
        <f t="shared" si="46"/>
        <v>26</v>
      </c>
      <c r="B183" s="9" t="str">
        <f>IF(OR((C176="~"),(C183="~")),"~","")</f>
        <v/>
      </c>
      <c r="C183" s="53" t="s">
        <v>79</v>
      </c>
      <c r="D183" s="56">
        <f t="shared" ref="D183:N183" si="67">ROUND(IF($C183=0,0,D139/D$194),6)</f>
        <v>2.2946000000000001E-2</v>
      </c>
      <c r="E183" s="56">
        <f t="shared" si="67"/>
        <v>3.1542000000000001E-2</v>
      </c>
      <c r="F183" s="56">
        <f t="shared" si="67"/>
        <v>2.4271000000000001E-2</v>
      </c>
      <c r="G183" s="56">
        <f t="shared" si="67"/>
        <v>1.6292000000000001E-2</v>
      </c>
      <c r="H183" s="56">
        <f t="shared" si="67"/>
        <v>1.1495999999999999E-2</v>
      </c>
      <c r="I183" s="56">
        <f t="shared" si="67"/>
        <v>1.6452999999999999E-2</v>
      </c>
      <c r="J183" s="56">
        <f t="shared" si="67"/>
        <v>1.1115E-2</v>
      </c>
      <c r="K183" s="56">
        <f t="shared" si="67"/>
        <v>7.0819999999999998E-3</v>
      </c>
      <c r="L183" s="56">
        <f t="shared" si="67"/>
        <v>4.202E-3</v>
      </c>
      <c r="M183" s="56">
        <f t="shared" si="67"/>
        <v>0.145541</v>
      </c>
      <c r="N183" s="56">
        <f t="shared" si="67"/>
        <v>6.7590000000000003E-3</v>
      </c>
    </row>
    <row r="184" spans="1:14" s="9" customFormat="1" ht="12.75">
      <c r="A184" s="13">
        <f>+A183+1</f>
        <v>27</v>
      </c>
      <c r="C184" s="53"/>
      <c r="D184" s="56"/>
      <c r="E184" s="56"/>
      <c r="F184" s="56"/>
      <c r="G184" s="56"/>
      <c r="H184" s="56"/>
      <c r="I184" s="56"/>
      <c r="J184" s="56"/>
      <c r="K184" s="56"/>
      <c r="L184" s="56"/>
      <c r="M184" s="56"/>
      <c r="N184" s="56"/>
    </row>
    <row r="185" spans="1:14" s="9" customFormat="1" ht="12.75">
      <c r="A185" s="13">
        <f>+A184+1</f>
        <v>28</v>
      </c>
      <c r="C185" s="50" t="s">
        <v>75</v>
      </c>
    </row>
    <row r="186" spans="1:14" s="9" customFormat="1" ht="12.75">
      <c r="A186" s="13">
        <f t="shared" ref="A186:A194" si="68">+A185+1</f>
        <v>29</v>
      </c>
      <c r="B186" s="9" t="str">
        <f>IF(OR((C185="~"),(C186="~")),"~","")</f>
        <v/>
      </c>
      <c r="C186" s="51" t="s">
        <v>69</v>
      </c>
      <c r="D186" s="56">
        <f t="shared" ref="D186:N186" si="69">ROUND(IF($C186=0,0,D142/D$194),6)</f>
        <v>2.4674000000000001E-2</v>
      </c>
      <c r="E186" s="56">
        <f t="shared" si="69"/>
        <v>3.3556000000000002E-2</v>
      </c>
      <c r="F186" s="56">
        <f t="shared" si="69"/>
        <v>2.4743999999999999E-2</v>
      </c>
      <c r="G186" s="56">
        <f t="shared" si="69"/>
        <v>2.0745E-2</v>
      </c>
      <c r="H186" s="56">
        <f t="shared" si="69"/>
        <v>1.7016E-2</v>
      </c>
      <c r="I186" s="56">
        <f t="shared" si="69"/>
        <v>1.8696999999999998E-2</v>
      </c>
      <c r="J186" s="56">
        <f t="shared" si="69"/>
        <v>1.4664E-2</v>
      </c>
      <c r="K186" s="56">
        <f t="shared" si="69"/>
        <v>1.1532000000000001E-2</v>
      </c>
      <c r="L186" s="56">
        <f t="shared" si="69"/>
        <v>1.3860000000000001E-3</v>
      </c>
      <c r="M186" s="56">
        <f t="shared" si="69"/>
        <v>2.9509000000000001E-2</v>
      </c>
      <c r="N186" s="56">
        <f t="shared" si="69"/>
        <v>4.1850000000000004E-3</v>
      </c>
    </row>
    <row r="187" spans="1:14" s="9" customFormat="1" ht="12.75">
      <c r="A187" s="13">
        <f t="shared" si="68"/>
        <v>30</v>
      </c>
      <c r="B187" s="9" t="str">
        <f>IF(OR((C185="~"),(C187="~")),"~","")</f>
        <v/>
      </c>
      <c r="C187" s="51" t="s">
        <v>70</v>
      </c>
      <c r="D187" s="56">
        <f t="shared" ref="D187:N187" si="70">ROUND(IF($C187=0,0,D143/D$194),6)</f>
        <v>5.3256999999999999E-2</v>
      </c>
      <c r="E187" s="56">
        <f t="shared" si="70"/>
        <v>5.7940999999999999E-2</v>
      </c>
      <c r="F187" s="56">
        <f t="shared" si="70"/>
        <v>5.7940999999999999E-2</v>
      </c>
      <c r="G187" s="56">
        <f t="shared" si="70"/>
        <v>5.7940999999999999E-2</v>
      </c>
      <c r="H187" s="56">
        <f t="shared" si="70"/>
        <v>5.7940999999999999E-2</v>
      </c>
      <c r="I187" s="56">
        <f t="shared" si="70"/>
        <v>5.7940999999999999E-2</v>
      </c>
      <c r="J187" s="56">
        <f t="shared" si="70"/>
        <v>5.7940999999999999E-2</v>
      </c>
      <c r="K187" s="56">
        <f t="shared" si="70"/>
        <v>5.7940999999999999E-2</v>
      </c>
      <c r="L187" s="56">
        <f t="shared" si="70"/>
        <v>4.0499999999999998E-3</v>
      </c>
      <c r="M187" s="56">
        <f t="shared" si="70"/>
        <v>5.7940999999999999E-2</v>
      </c>
      <c r="N187" s="56">
        <f t="shared" si="70"/>
        <v>6.6189999999999999E-3</v>
      </c>
    </row>
    <row r="188" spans="1:14" s="9" customFormat="1" ht="12.75">
      <c r="A188" s="13">
        <f t="shared" si="68"/>
        <v>31</v>
      </c>
      <c r="B188" s="9" t="str">
        <f>IF(OR((C185="~"),(C188="~")),"~","")</f>
        <v/>
      </c>
      <c r="C188" s="51" t="s">
        <v>71</v>
      </c>
      <c r="D188" s="56">
        <f t="shared" ref="D188:N188" si="71">ROUND(IF($C188=0,0,D144/D$194),6)</f>
        <v>6.894E-3</v>
      </c>
      <c r="E188" s="56">
        <f t="shared" si="71"/>
        <v>1.0618000000000001E-2</v>
      </c>
      <c r="F188" s="56">
        <f t="shared" si="71"/>
        <v>7.6759999999999997E-3</v>
      </c>
      <c r="G188" s="56">
        <f t="shared" si="71"/>
        <v>2.5669999999999998E-3</v>
      </c>
      <c r="H188" s="56">
        <f t="shared" si="71"/>
        <v>8.2899999999999998E-4</v>
      </c>
      <c r="I188" s="56">
        <f t="shared" si="71"/>
        <v>2.4420000000000002E-3</v>
      </c>
      <c r="J188" s="56">
        <f t="shared" si="71"/>
        <v>1.8519999999999999E-3</v>
      </c>
      <c r="K188" s="56">
        <f t="shared" si="71"/>
        <v>8.3600000000000005E-4</v>
      </c>
      <c r="L188" s="56">
        <f t="shared" si="71"/>
        <v>1.0900000000000001E-4</v>
      </c>
      <c r="M188" s="56">
        <f t="shared" si="71"/>
        <v>0.121543</v>
      </c>
      <c r="N188" s="56">
        <f t="shared" si="71"/>
        <v>6.6E-4</v>
      </c>
    </row>
    <row r="189" spans="1:14" s="9" customFormat="1" ht="12.75">
      <c r="A189" s="13">
        <f t="shared" si="68"/>
        <v>32</v>
      </c>
      <c r="B189" s="9" t="str">
        <f>IF(OR((C185="~"),(C189="~")),"~","")</f>
        <v>~</v>
      </c>
      <c r="C189" s="51" t="s">
        <v>72</v>
      </c>
      <c r="D189" s="56">
        <f t="shared" ref="D189:N189" si="72">ROUND(IF($C189=0,0,D145/D$194),6)</f>
        <v>0</v>
      </c>
      <c r="E189" s="56">
        <f t="shared" si="72"/>
        <v>0</v>
      </c>
      <c r="F189" s="56">
        <f t="shared" si="72"/>
        <v>0</v>
      </c>
      <c r="G189" s="56">
        <f t="shared" si="72"/>
        <v>0</v>
      </c>
      <c r="H189" s="56">
        <f t="shared" si="72"/>
        <v>0</v>
      </c>
      <c r="I189" s="56">
        <f t="shared" si="72"/>
        <v>0</v>
      </c>
      <c r="J189" s="56">
        <f t="shared" si="72"/>
        <v>0</v>
      </c>
      <c r="K189" s="56">
        <f t="shared" si="72"/>
        <v>0</v>
      </c>
      <c r="L189" s="56">
        <f t="shared" si="72"/>
        <v>0</v>
      </c>
      <c r="M189" s="56">
        <f t="shared" si="72"/>
        <v>0</v>
      </c>
      <c r="N189" s="56">
        <f t="shared" si="72"/>
        <v>0</v>
      </c>
    </row>
    <row r="190" spans="1:14" s="9" customFormat="1" ht="12.75">
      <c r="A190" s="13">
        <f t="shared" si="68"/>
        <v>33</v>
      </c>
      <c r="B190" s="9" t="str">
        <f>IF(OR((C185="~"),(C190="~")),"~","")</f>
        <v>~</v>
      </c>
      <c r="C190" s="51" t="s">
        <v>72</v>
      </c>
      <c r="D190" s="56">
        <f t="shared" ref="D190:N190" si="73">ROUND(IF($C190=0,0,D146/D$194),6)</f>
        <v>0</v>
      </c>
      <c r="E190" s="56">
        <f t="shared" si="73"/>
        <v>0</v>
      </c>
      <c r="F190" s="56">
        <f t="shared" si="73"/>
        <v>0</v>
      </c>
      <c r="G190" s="56">
        <f t="shared" si="73"/>
        <v>0</v>
      </c>
      <c r="H190" s="56">
        <f t="shared" si="73"/>
        <v>0</v>
      </c>
      <c r="I190" s="56">
        <f t="shared" si="73"/>
        <v>0</v>
      </c>
      <c r="J190" s="56">
        <f t="shared" si="73"/>
        <v>0</v>
      </c>
      <c r="K190" s="56">
        <f t="shared" si="73"/>
        <v>0</v>
      </c>
      <c r="L190" s="56">
        <f t="shared" si="73"/>
        <v>0</v>
      </c>
      <c r="M190" s="56">
        <f t="shared" si="73"/>
        <v>0</v>
      </c>
      <c r="N190" s="56">
        <f t="shared" si="73"/>
        <v>0</v>
      </c>
    </row>
    <row r="191" spans="1:14" s="9" customFormat="1" ht="12.75">
      <c r="A191" s="13">
        <f t="shared" si="68"/>
        <v>34</v>
      </c>
      <c r="B191" s="9" t="str">
        <f>IF(OR((C185="~"),(C191="~")),"~","")</f>
        <v>~</v>
      </c>
      <c r="C191" s="156" t="s">
        <v>72</v>
      </c>
      <c r="D191" s="157">
        <f t="shared" ref="D191:N191" si="74">ROUND(IF($C191=0,0,D147/D$194),6)</f>
        <v>0</v>
      </c>
      <c r="E191" s="157">
        <f t="shared" si="74"/>
        <v>0</v>
      </c>
      <c r="F191" s="157">
        <f t="shared" si="74"/>
        <v>0</v>
      </c>
      <c r="G191" s="157">
        <f t="shared" si="74"/>
        <v>0</v>
      </c>
      <c r="H191" s="157">
        <f t="shared" si="74"/>
        <v>0</v>
      </c>
      <c r="I191" s="157">
        <f t="shared" si="74"/>
        <v>0</v>
      </c>
      <c r="J191" s="157">
        <f t="shared" si="74"/>
        <v>0</v>
      </c>
      <c r="K191" s="157">
        <f t="shared" si="74"/>
        <v>0</v>
      </c>
      <c r="L191" s="157">
        <f t="shared" si="74"/>
        <v>0</v>
      </c>
      <c r="M191" s="157">
        <f t="shared" si="74"/>
        <v>0</v>
      </c>
      <c r="N191" s="157">
        <f t="shared" si="74"/>
        <v>0</v>
      </c>
    </row>
    <row r="192" spans="1:14" s="9" customFormat="1" ht="12.75">
      <c r="A192" s="13">
        <f t="shared" si="68"/>
        <v>35</v>
      </c>
      <c r="C192" s="53" t="s">
        <v>79</v>
      </c>
      <c r="D192" s="56">
        <f t="shared" ref="D192:N192" si="75">ROUND(IF($C192=0,0,D148/D$194),6)</f>
        <v>8.4824999999999998E-2</v>
      </c>
      <c r="E192" s="56">
        <f t="shared" si="75"/>
        <v>0.102116</v>
      </c>
      <c r="F192" s="56">
        <f t="shared" si="75"/>
        <v>9.0361999999999998E-2</v>
      </c>
      <c r="G192" s="56">
        <f t="shared" si="75"/>
        <v>8.1253000000000006E-2</v>
      </c>
      <c r="H192" s="56">
        <f t="shared" si="75"/>
        <v>7.5786000000000006E-2</v>
      </c>
      <c r="I192" s="56">
        <f t="shared" si="75"/>
        <v>7.9080999999999999E-2</v>
      </c>
      <c r="J192" s="56">
        <f t="shared" si="75"/>
        <v>7.4456999999999995E-2</v>
      </c>
      <c r="K192" s="56">
        <f t="shared" si="75"/>
        <v>7.0308999999999996E-2</v>
      </c>
      <c r="L192" s="56">
        <f t="shared" si="75"/>
        <v>5.5449999999999996E-3</v>
      </c>
      <c r="M192" s="56">
        <f t="shared" si="75"/>
        <v>0.20899300000000001</v>
      </c>
      <c r="N192" s="56">
        <f t="shared" si="75"/>
        <v>1.1462999999999999E-2</v>
      </c>
    </row>
    <row r="193" spans="1:14" s="9" customFormat="1" ht="12.75">
      <c r="A193" s="13">
        <f t="shared" si="68"/>
        <v>36</v>
      </c>
      <c r="B193" s="42" t="str">
        <f>IF(OR((C185="~"),(C193="~")),"~","")</f>
        <v/>
      </c>
      <c r="C193" s="53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</row>
    <row r="194" spans="1:14" s="9" customFormat="1" ht="12.75">
      <c r="A194" s="13">
        <f t="shared" si="68"/>
        <v>37</v>
      </c>
      <c r="B194" s="34"/>
      <c r="C194" s="36" t="s">
        <v>80</v>
      </c>
      <c r="D194" s="57">
        <v>25021032008</v>
      </c>
      <c r="E194" s="57">
        <v>11660620432</v>
      </c>
      <c r="F194" s="57">
        <v>2822861364</v>
      </c>
      <c r="G194" s="57">
        <v>3186207612</v>
      </c>
      <c r="H194" s="57">
        <v>2195985035</v>
      </c>
      <c r="I194" s="57">
        <v>1538039609</v>
      </c>
      <c r="J194" s="57">
        <v>751035933</v>
      </c>
      <c r="K194" s="57">
        <v>593080320</v>
      </c>
      <c r="L194" s="57">
        <v>2022739342</v>
      </c>
      <c r="M194" s="57">
        <v>90893526</v>
      </c>
      <c r="N194" s="57">
        <v>159568835</v>
      </c>
    </row>
    <row r="195" spans="1:1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</row>
    <row r="197" spans="1:1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</row>
    <row r="198" spans="1:1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</row>
    <row r="199" spans="1:14">
      <c r="A199" s="1"/>
      <c r="B199" s="1"/>
      <c r="C199" s="58" t="s">
        <v>81</v>
      </c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</row>
    <row r="200" spans="1:14">
      <c r="A200" s="1"/>
      <c r="B200" s="1"/>
      <c r="C200" s="59" t="s">
        <v>82</v>
      </c>
      <c r="D200" s="60">
        <v>716709</v>
      </c>
      <c r="E200" s="9"/>
      <c r="F200" s="9"/>
      <c r="G200" s="9"/>
      <c r="H200" s="9"/>
      <c r="I200" s="9"/>
      <c r="J200" s="9"/>
      <c r="K200" s="9"/>
      <c r="L200" s="9"/>
      <c r="M200" s="9"/>
      <c r="N200" s="9"/>
    </row>
    <row r="201" spans="1:14">
      <c r="A201" s="1"/>
      <c r="B201" s="1"/>
      <c r="C201" s="59" t="s">
        <v>83</v>
      </c>
      <c r="D201" s="60">
        <v>322551</v>
      </c>
      <c r="E201" s="9"/>
      <c r="F201" s="9"/>
      <c r="G201" s="9"/>
      <c r="H201" s="9"/>
      <c r="I201" s="9"/>
      <c r="J201" s="9"/>
      <c r="K201" s="9"/>
      <c r="L201" s="9"/>
      <c r="M201" s="9"/>
      <c r="N201" s="9"/>
    </row>
    <row r="202" spans="1:14">
      <c r="A202" s="1"/>
      <c r="B202" s="1"/>
      <c r="C202" s="59" t="s">
        <v>84</v>
      </c>
      <c r="D202" s="60">
        <v>6218463</v>
      </c>
      <c r="E202" s="9"/>
      <c r="F202" s="9"/>
      <c r="G202" s="9"/>
      <c r="H202" s="9"/>
      <c r="I202" s="9"/>
      <c r="J202" s="9"/>
      <c r="K202" s="9"/>
      <c r="L202" s="9"/>
      <c r="M202" s="9"/>
      <c r="N202" s="9"/>
    </row>
    <row r="203" spans="1:14">
      <c r="A203" s="1"/>
      <c r="B203" s="1"/>
      <c r="C203" s="59" t="s">
        <v>85</v>
      </c>
      <c r="D203" s="60">
        <v>53906194</v>
      </c>
      <c r="E203" s="9"/>
      <c r="F203" s="9"/>
      <c r="G203" s="9"/>
      <c r="H203" s="9"/>
      <c r="I203" s="9"/>
      <c r="J203" s="9"/>
      <c r="K203" s="9"/>
      <c r="L203" s="9"/>
      <c r="M203" s="9"/>
      <c r="N203" s="9"/>
    </row>
    <row r="204" spans="1:14">
      <c r="A204" s="1"/>
      <c r="B204" s="1"/>
      <c r="C204" s="61" t="s">
        <v>86</v>
      </c>
      <c r="D204" s="62">
        <f>SUM(D200:D203)</f>
        <v>61163917</v>
      </c>
      <c r="E204" s="9"/>
      <c r="F204" s="9"/>
      <c r="G204" s="9"/>
      <c r="H204" s="9"/>
      <c r="I204" s="9"/>
      <c r="J204" s="9"/>
      <c r="K204" s="9"/>
      <c r="L204" s="9"/>
      <c r="M204" s="9"/>
      <c r="N204" s="9"/>
    </row>
    <row r="205" spans="1:14">
      <c r="A205" s="1"/>
      <c r="B205" s="1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</row>
    <row r="206" spans="1:14">
      <c r="A206" s="1"/>
      <c r="B206" s="1"/>
      <c r="C206" s="58" t="s">
        <v>87</v>
      </c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</row>
    <row r="207" spans="1:14">
      <c r="A207" s="1"/>
      <c r="B207" s="1"/>
      <c r="C207" s="63" t="str">
        <f>+'JAP-4, p9-11 Expense Detail'!C56</f>
        <v xml:space="preserve">CAE - Uncollect Accts </v>
      </c>
      <c r="D207" s="15">
        <f>SUM(E207:N207)</f>
        <v>8651350</v>
      </c>
      <c r="E207" s="60">
        <f>+'JAP-4, p9-11 Expense Detail'!F56</f>
        <v>7587754.1327679362</v>
      </c>
      <c r="F207" s="60">
        <f>+'JAP-4, p9-11 Expense Detail'!G56</f>
        <v>661784.23524490953</v>
      </c>
      <c r="G207" s="60">
        <f>+'JAP-4, p9-11 Expense Detail'!H56</f>
        <v>283559.78566301224</v>
      </c>
      <c r="H207" s="60">
        <f>+'JAP-4, p9-11 Expense Detail'!I56</f>
        <v>61259.701068102506</v>
      </c>
      <c r="I207" s="60">
        <f>+'JAP-4, p9-11 Expense Detail'!J56</f>
        <v>37704.478511276422</v>
      </c>
      <c r="J207" s="60">
        <f>+'JAP-4, p9-11 Expense Detail'!K56</f>
        <v>0</v>
      </c>
      <c r="K207" s="60">
        <f>+'JAP-4, p9-11 Expense Detail'!L56</f>
        <v>6650.4983963038576</v>
      </c>
      <c r="L207" s="60">
        <f>+'JAP-4, p9-11 Expense Detail'!M56</f>
        <v>0</v>
      </c>
      <c r="M207" s="60">
        <f>+'JAP-4, p9-11 Expense Detail'!N56</f>
        <v>12637.168348458745</v>
      </c>
      <c r="N207" s="60">
        <f>+'JAP-4, p9-11 Expense Detail'!O56</f>
        <v>0</v>
      </c>
    </row>
    <row r="208" spans="1:14">
      <c r="A208" s="1"/>
      <c r="B208" s="1"/>
      <c r="C208" s="63" t="str">
        <f>+'JAP-4, p9-11 Expense Detail'!C79</f>
        <v xml:space="preserve">A&amp;G Exp - Reg Comm Exp </v>
      </c>
      <c r="D208" s="15">
        <f>SUM(E208:N208)</f>
        <v>5866802</v>
      </c>
      <c r="E208" s="60">
        <f>+'JAP-4, p9-11 Expense Detail'!F79</f>
        <v>3140653.4453597125</v>
      </c>
      <c r="F208" s="60">
        <f>+'JAP-4, p9-11 Expense Detail'!G79</f>
        <v>709113.06376476469</v>
      </c>
      <c r="G208" s="60">
        <f>+'JAP-4, p9-11 Expense Detail'!H79</f>
        <v>769485.3180541636</v>
      </c>
      <c r="H208" s="60">
        <f>+'JAP-4, p9-11 Expense Detail'!I79</f>
        <v>515897.36840433476</v>
      </c>
      <c r="I208" s="60">
        <f>+'JAP-4, p9-11 Expense Detail'!J79</f>
        <v>363429.68838832638</v>
      </c>
      <c r="J208" s="60">
        <f>+'JAP-4, p9-11 Expense Detail'!K79</f>
        <v>172504.55001524798</v>
      </c>
      <c r="K208" s="60">
        <f>+'JAP-4, p9-11 Expense Detail'!L79</f>
        <v>134721.42976237569</v>
      </c>
      <c r="L208" s="60">
        <f>+'JAP-4, p9-11 Expense Detail'!M79</f>
        <v>13643.035490415505</v>
      </c>
      <c r="M208" s="60">
        <f>+'JAP-4, p9-11 Expense Detail'!N79</f>
        <v>43838.082547460217</v>
      </c>
      <c r="N208" s="60">
        <f>+'JAP-4, p9-11 Expense Detail'!O79</f>
        <v>3516.0182131994206</v>
      </c>
    </row>
    <row r="209" spans="1:14">
      <c r="A209" s="1"/>
      <c r="B209" s="1"/>
      <c r="C209" s="63" t="str">
        <f>+'JAP-4, p9-11 Expense Detail'!C132</f>
        <v>Other Taxes - Wash Excise - Allocated</v>
      </c>
      <c r="D209" s="15">
        <f>SUM(E209:N209)</f>
        <v>78022614.999999985</v>
      </c>
      <c r="E209" s="60">
        <f>+'JAP-4, p9-11 Expense Detail'!F132</f>
        <v>43708887.796313189</v>
      </c>
      <c r="F209" s="60">
        <f>+'JAP-4, p9-11 Expense Detail'!G132</f>
        <v>9380032.8869111352</v>
      </c>
      <c r="G209" s="60">
        <f>+'JAP-4, p9-11 Expense Detail'!H132</f>
        <v>9536781.3772475161</v>
      </c>
      <c r="H209" s="60">
        <f>+'JAP-4, p9-11 Expense Detail'!I132</f>
        <v>6150869.7326596277</v>
      </c>
      <c r="I209" s="60">
        <f>+'JAP-4, p9-11 Expense Detail'!J132</f>
        <v>4481461.1513257148</v>
      </c>
      <c r="J209" s="60">
        <f>+'JAP-4, p9-11 Expense Detail'!K132</f>
        <v>2069117.2838822936</v>
      </c>
      <c r="K209" s="60">
        <f>+'JAP-4, p9-11 Expense Detail'!L132</f>
        <v>1548218.5429392266</v>
      </c>
      <c r="L209" s="60">
        <f>+'JAP-4, p9-11 Expense Detail'!M132</f>
        <v>391900.36915588088</v>
      </c>
      <c r="M209" s="60">
        <f>+'JAP-4, p9-11 Expense Detail'!N132</f>
        <v>689810.76946419897</v>
      </c>
      <c r="N209" s="60">
        <f>+'JAP-4, p9-11 Expense Detail'!O132</f>
        <v>65535.09010120637</v>
      </c>
    </row>
    <row r="210" spans="1:14">
      <c r="A210" s="1"/>
      <c r="B210" s="1"/>
      <c r="C210" s="63" t="str">
        <f>+'JAP-4, p9-11 Expense Detail'!C138</f>
        <v>Current Federal Income Tax @ Rate</v>
      </c>
      <c r="D210" s="15">
        <f>SUM(E210:N210)</f>
        <v>-69877694</v>
      </c>
      <c r="E210" s="60">
        <f>+'JAP-4, p9-11 Expense Detail'!F138</f>
        <v>-39660667.160758138</v>
      </c>
      <c r="F210" s="60">
        <f>+'JAP-4, p9-11 Expense Detail'!G138</f>
        <v>-8332035.0509804068</v>
      </c>
      <c r="G210" s="60">
        <f>+'JAP-4, p9-11 Expense Detail'!H138</f>
        <v>-8425682.1617358755</v>
      </c>
      <c r="H210" s="60">
        <f>+'JAP-4, p9-11 Expense Detail'!I138</f>
        <v>-5178226.8827789295</v>
      </c>
      <c r="I210" s="60">
        <f>+'JAP-4, p9-11 Expense Detail'!J138</f>
        <v>-3954051.6403867519</v>
      </c>
      <c r="J210" s="60">
        <f>+'JAP-4, p9-11 Expense Detail'!K138</f>
        <v>-1699637.0267529387</v>
      </c>
      <c r="K210" s="60">
        <f>+'JAP-4, p9-11 Expense Detail'!L138</f>
        <v>-1206075.4143537348</v>
      </c>
      <c r="L210" s="60">
        <f>+'JAP-4, p9-11 Expense Detail'!M138</f>
        <v>-636642.84144359571</v>
      </c>
      <c r="M210" s="60">
        <f>+'JAP-4, p9-11 Expense Detail'!N138</f>
        <v>-705444.53986810683</v>
      </c>
      <c r="N210" s="60">
        <f>+'JAP-4, p9-11 Expense Detail'!O138</f>
        <v>-79231.280941528268</v>
      </c>
    </row>
    <row r="211" spans="1:14">
      <c r="A211" s="1"/>
      <c r="B211" s="1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</row>
    <row r="212" spans="1:14">
      <c r="A212" s="1"/>
      <c r="B212" s="1"/>
      <c r="C212" s="63" t="str">
        <f>+C207</f>
        <v xml:space="preserve">CAE - Uncollect Accts </v>
      </c>
      <c r="D212" s="15">
        <f>SUM(E212:N212)</f>
        <v>716708.99999999988</v>
      </c>
      <c r="E212" s="60">
        <f>+E207/$D207*$D200</f>
        <v>628596.88681442488</v>
      </c>
      <c r="F212" s="60">
        <f t="shared" ref="F212:N212" si="76">+F207/$D207*$D200</f>
        <v>54824.590088037578</v>
      </c>
      <c r="G212" s="60">
        <f t="shared" si="76"/>
        <v>23491.114152444628</v>
      </c>
      <c r="H212" s="60">
        <f t="shared" si="76"/>
        <v>5074.9743210965544</v>
      </c>
      <c r="I212" s="60">
        <f t="shared" si="76"/>
        <v>3123.57482812953</v>
      </c>
      <c r="J212" s="60">
        <f t="shared" si="76"/>
        <v>0</v>
      </c>
      <c r="K212" s="60">
        <f t="shared" si="76"/>
        <v>550.95124519485876</v>
      </c>
      <c r="L212" s="60">
        <f t="shared" si="76"/>
        <v>0</v>
      </c>
      <c r="M212" s="60">
        <f t="shared" si="76"/>
        <v>1046.9085506719202</v>
      </c>
      <c r="N212" s="60">
        <f t="shared" si="76"/>
        <v>0</v>
      </c>
    </row>
    <row r="213" spans="1:14">
      <c r="A213" s="1"/>
      <c r="B213" s="1"/>
      <c r="C213" s="63" t="str">
        <f>+C208</f>
        <v xml:space="preserve">A&amp;G Exp - Reg Comm Exp </v>
      </c>
      <c r="D213" s="15">
        <f>SUM(E213:N213)</f>
        <v>322551.00000000006</v>
      </c>
      <c r="E213" s="60">
        <f t="shared" ref="E213:N215" si="77">+E208/$D208*$D201</f>
        <v>172670.03547319656</v>
      </c>
      <c r="F213" s="60">
        <f t="shared" si="77"/>
        <v>38986.338354420113</v>
      </c>
      <c r="G213" s="60">
        <f t="shared" si="77"/>
        <v>42305.545478386441</v>
      </c>
      <c r="H213" s="60">
        <f t="shared" si="77"/>
        <v>28363.529581565323</v>
      </c>
      <c r="I213" s="60">
        <f t="shared" si="77"/>
        <v>19981.006589167839</v>
      </c>
      <c r="J213" s="60">
        <f t="shared" si="77"/>
        <v>9484.1303851686589</v>
      </c>
      <c r="K213" s="60">
        <f t="shared" si="77"/>
        <v>7406.8516188690264</v>
      </c>
      <c r="L213" s="60">
        <f t="shared" si="77"/>
        <v>750.08066412826122</v>
      </c>
      <c r="M213" s="60">
        <f t="shared" si="77"/>
        <v>2410.1746341134135</v>
      </c>
      <c r="N213" s="60">
        <f t="shared" si="77"/>
        <v>193.30722098439429</v>
      </c>
    </row>
    <row r="214" spans="1:14">
      <c r="A214" s="1"/>
      <c r="B214" s="1"/>
      <c r="C214" s="63" t="str">
        <f>+C209</f>
        <v>Other Taxes - Wash Excise - Allocated</v>
      </c>
      <c r="D214" s="15">
        <f>SUM(E214:N214)</f>
        <v>6218462.9999999991</v>
      </c>
      <c r="E214" s="60">
        <f t="shared" si="77"/>
        <v>3483632.2972836164</v>
      </c>
      <c r="F214" s="60">
        <f t="shared" si="77"/>
        <v>747595.9046750752</v>
      </c>
      <c r="G214" s="60">
        <f t="shared" si="77"/>
        <v>760088.88106996578</v>
      </c>
      <c r="H214" s="60">
        <f t="shared" si="77"/>
        <v>490229.0938385466</v>
      </c>
      <c r="I214" s="60">
        <f t="shared" si="77"/>
        <v>357175.93361176585</v>
      </c>
      <c r="J214" s="60">
        <f t="shared" si="77"/>
        <v>164910.25419338408</v>
      </c>
      <c r="K214" s="60">
        <f t="shared" si="77"/>
        <v>123394.22006275351</v>
      </c>
      <c r="L214" s="60">
        <f t="shared" si="77"/>
        <v>31234.763732056239</v>
      </c>
      <c r="M214" s="60">
        <f t="shared" si="77"/>
        <v>54978.453963823849</v>
      </c>
      <c r="N214" s="60">
        <f t="shared" si="77"/>
        <v>5223.1975690127556</v>
      </c>
    </row>
    <row r="215" spans="1:14">
      <c r="A215" s="1"/>
      <c r="B215" s="1"/>
      <c r="C215" s="63" t="str">
        <f>+C210</f>
        <v>Current Federal Income Tax @ Rate</v>
      </c>
      <c r="D215" s="15">
        <f>SUM(E215:N215)</f>
        <v>53906194.000000007</v>
      </c>
      <c r="E215" s="60">
        <f>+E210/$D210*$D203</f>
        <v>30595680.763839424</v>
      </c>
      <c r="F215" s="60">
        <f t="shared" si="77"/>
        <v>6427634.8025014922</v>
      </c>
      <c r="G215" s="60">
        <f t="shared" si="77"/>
        <v>6499877.5888751205</v>
      </c>
      <c r="H215" s="60">
        <f t="shared" si="77"/>
        <v>3994672.5047780806</v>
      </c>
      <c r="I215" s="60">
        <f t="shared" si="77"/>
        <v>3050299.2101128362</v>
      </c>
      <c r="J215" s="60">
        <f t="shared" si="77"/>
        <v>1311161.8035610493</v>
      </c>
      <c r="K215" s="60">
        <f t="shared" si="77"/>
        <v>930410.4291819192</v>
      </c>
      <c r="L215" s="60">
        <f t="shared" si="77"/>
        <v>491129.43709289702</v>
      </c>
      <c r="M215" s="60">
        <f t="shared" si="77"/>
        <v>544205.56898129603</v>
      </c>
      <c r="N215" s="60">
        <f t="shared" si="77"/>
        <v>61121.891075892185</v>
      </c>
    </row>
    <row r="216" spans="1:14">
      <c r="A216" s="1"/>
      <c r="B216" s="1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</row>
    <row r="217" spans="1:14">
      <c r="A217" s="1"/>
      <c r="B217" s="1"/>
      <c r="C217" s="58" t="s">
        <v>61</v>
      </c>
      <c r="D217" s="15">
        <f>SUM(E217:N217)</f>
        <v>161275557</v>
      </c>
      <c r="E217" s="60">
        <v>91176081.291267544</v>
      </c>
      <c r="F217" s="60">
        <v>20681031.671129428</v>
      </c>
      <c r="G217" s="60">
        <v>16328524.907360371</v>
      </c>
      <c r="H217" s="60">
        <v>13649607.537510138</v>
      </c>
      <c r="I217" s="60">
        <v>9898674.0890417267</v>
      </c>
      <c r="J217" s="60">
        <v>3711757.6058318769</v>
      </c>
      <c r="K217" s="60">
        <v>3066773.5197561993</v>
      </c>
      <c r="L217" s="60">
        <v>739960.63041085296</v>
      </c>
      <c r="M217" s="60">
        <v>1428730.7476918434</v>
      </c>
      <c r="N217" s="60">
        <v>594415</v>
      </c>
    </row>
  </sheetData>
  <mergeCells count="1">
    <mergeCell ref="C31:F31"/>
  </mergeCells>
  <printOptions horizontalCentered="1"/>
  <pageMargins left="0.5" right="0.5" top="0.75" bottom="0.75" header="0.3" footer="0.3"/>
  <pageSetup scale="53" orientation="landscape" horizontalDpi="300" verticalDpi="300" r:id="rId1"/>
  <rowBreaks count="3" manualBreakCount="3">
    <brk id="58" max="13" man="1"/>
    <brk id="104" max="13" man="1"/>
    <brk id="149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M32"/>
  <sheetViews>
    <sheetView showGridLines="0" zoomScaleNormal="100" workbookViewId="0">
      <selection activeCell="B19" sqref="B19"/>
    </sheetView>
  </sheetViews>
  <sheetFormatPr defaultRowHeight="15"/>
  <cols>
    <col min="1" max="1" width="9.140625" style="136"/>
    <col min="2" max="2" width="49.28515625" style="136" customWidth="1"/>
    <col min="3" max="3" width="23.85546875" style="136" customWidth="1"/>
    <col min="4" max="16384" width="9.140625" style="136"/>
  </cols>
  <sheetData>
    <row r="1" spans="1:13" s="23" customFormat="1" ht="15.75">
      <c r="A1" s="163" t="s">
        <v>0</v>
      </c>
      <c r="B1" s="163"/>
      <c r="C1" s="16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s="23" customFormat="1" ht="15.75">
      <c r="A2" s="163" t="s">
        <v>557</v>
      </c>
      <c r="B2" s="163"/>
      <c r="C2" s="16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23" customFormat="1" ht="15.75">
      <c r="A3" s="164" t="s">
        <v>562</v>
      </c>
      <c r="B3" s="163"/>
      <c r="C3" s="16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9" customFormat="1" ht="15.75">
      <c r="A4" s="163" t="s">
        <v>563</v>
      </c>
      <c r="B4" s="163"/>
      <c r="C4" s="16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 s="134"/>
      <c r="B5" s="135"/>
      <c r="C5" s="135"/>
    </row>
    <row r="6" spans="1:13">
      <c r="A6" s="134"/>
      <c r="B6" s="137"/>
      <c r="C6" s="137"/>
    </row>
    <row r="7" spans="1:13">
      <c r="A7" s="138" t="s">
        <v>505</v>
      </c>
      <c r="B7" s="139" t="s">
        <v>102</v>
      </c>
      <c r="C7" s="140" t="s">
        <v>528</v>
      </c>
    </row>
    <row r="8" spans="1:13">
      <c r="A8" s="120"/>
      <c r="B8" s="10" t="s">
        <v>16</v>
      </c>
      <c r="C8" s="10" t="s">
        <v>17</v>
      </c>
    </row>
    <row r="9" spans="1:13">
      <c r="A9" s="13">
        <v>1</v>
      </c>
      <c r="B9" s="53" t="s">
        <v>529</v>
      </c>
      <c r="C9" s="53">
        <f>+'JAP-4, p9-11 Expense Detail'!E82</f>
        <v>93442843</v>
      </c>
    </row>
    <row r="10" spans="1:13">
      <c r="A10" s="13">
        <f t="shared" ref="A10:A31" si="0">+A9+1</f>
        <v>2</v>
      </c>
      <c r="B10" s="141" t="s">
        <v>530</v>
      </c>
      <c r="C10" s="53">
        <f>+'JAP-4, p9-11 Expense Detail'!E96</f>
        <v>5139757</v>
      </c>
    </row>
    <row r="11" spans="1:13">
      <c r="A11" s="71">
        <f t="shared" si="0"/>
        <v>3</v>
      </c>
      <c r="B11" s="142" t="s">
        <v>531</v>
      </c>
      <c r="C11" s="81">
        <f>SUM(C9:C10)</f>
        <v>98582600</v>
      </c>
    </row>
    <row r="12" spans="1:13">
      <c r="A12" s="13">
        <f t="shared" si="0"/>
        <v>4</v>
      </c>
      <c r="B12" s="9"/>
      <c r="C12" s="53"/>
    </row>
    <row r="13" spans="1:13">
      <c r="A13" s="13">
        <f t="shared" si="0"/>
        <v>5</v>
      </c>
      <c r="B13" s="53" t="s">
        <v>532</v>
      </c>
      <c r="C13" s="53">
        <f>+'JAP-4, p12-14 Ratebase Detail'!E73</f>
        <v>7632223899</v>
      </c>
    </row>
    <row r="14" spans="1:13">
      <c r="A14" s="13">
        <f t="shared" si="0"/>
        <v>6</v>
      </c>
      <c r="B14" s="53" t="s">
        <v>306</v>
      </c>
      <c r="C14" s="53">
        <f>+'JAP-4, p12-14 Ratebase Detail'!E14</f>
        <v>189553487</v>
      </c>
    </row>
    <row r="15" spans="1:13">
      <c r="A15" s="71">
        <f t="shared" si="0"/>
        <v>7</v>
      </c>
      <c r="B15" s="143" t="s">
        <v>533</v>
      </c>
      <c r="C15" s="81">
        <f>SUM(C13:C14)</f>
        <v>7821777386</v>
      </c>
    </row>
    <row r="16" spans="1:13">
      <c r="A16" s="13">
        <f t="shared" si="0"/>
        <v>8</v>
      </c>
      <c r="B16" s="9"/>
      <c r="C16" s="9"/>
    </row>
    <row r="17" spans="1:3">
      <c r="A17" s="71">
        <f t="shared" si="0"/>
        <v>9</v>
      </c>
      <c r="B17" s="124" t="s">
        <v>534</v>
      </c>
      <c r="C17" s="144">
        <f>+C11/C15</f>
        <v>1.2603605949774341E-2</v>
      </c>
    </row>
    <row r="18" spans="1:3">
      <c r="A18" s="13">
        <f t="shared" si="0"/>
        <v>10</v>
      </c>
      <c r="B18" s="9"/>
      <c r="C18" s="9"/>
    </row>
    <row r="19" spans="1:3">
      <c r="A19" s="13">
        <f t="shared" si="0"/>
        <v>11</v>
      </c>
      <c r="B19" s="58" t="s">
        <v>535</v>
      </c>
      <c r="C19" s="104">
        <f>+'JAP-4, p9-11 Expense Detail'!E50</f>
        <v>23163049</v>
      </c>
    </row>
    <row r="20" spans="1:3">
      <c r="A20" s="13">
        <f t="shared" si="0"/>
        <v>12</v>
      </c>
      <c r="B20" s="58" t="s">
        <v>536</v>
      </c>
      <c r="C20" s="104">
        <f>+'JAP-4, p9-11 Expense Detail'!E93</f>
        <v>58762973</v>
      </c>
    </row>
    <row r="21" spans="1:3">
      <c r="A21" s="71">
        <f t="shared" si="0"/>
        <v>13</v>
      </c>
      <c r="B21" s="143" t="s">
        <v>537</v>
      </c>
      <c r="C21" s="81">
        <f>SUM(C19:C20)</f>
        <v>81926022</v>
      </c>
    </row>
    <row r="22" spans="1:3">
      <c r="A22" s="13">
        <f t="shared" si="0"/>
        <v>14</v>
      </c>
      <c r="B22" s="9"/>
      <c r="C22" s="9"/>
    </row>
    <row r="23" spans="1:3">
      <c r="A23" s="13">
        <f t="shared" si="0"/>
        <v>15</v>
      </c>
      <c r="B23" s="61" t="s">
        <v>538</v>
      </c>
      <c r="C23" s="53">
        <f>+'JAP-4, p12-14 Ratebase Detail'!E57</f>
        <v>3456399345</v>
      </c>
    </row>
    <row r="24" spans="1:3">
      <c r="A24" s="13">
        <f t="shared" si="0"/>
        <v>16</v>
      </c>
      <c r="B24" s="9"/>
      <c r="C24" s="9"/>
    </row>
    <row r="25" spans="1:3">
      <c r="A25" s="71">
        <f t="shared" si="0"/>
        <v>17</v>
      </c>
      <c r="B25" s="145" t="s">
        <v>539</v>
      </c>
      <c r="C25" s="144">
        <f>+C21/C23</f>
        <v>2.3702707303921215E-2</v>
      </c>
    </row>
    <row r="26" spans="1:3">
      <c r="A26" s="13">
        <f t="shared" si="0"/>
        <v>18</v>
      </c>
      <c r="B26" s="9"/>
      <c r="C26" s="9"/>
    </row>
    <row r="27" spans="1:3">
      <c r="A27" s="71">
        <f t="shared" si="0"/>
        <v>19</v>
      </c>
      <c r="B27" s="146" t="s">
        <v>540</v>
      </c>
      <c r="C27" s="144">
        <f>+C25+C17</f>
        <v>3.6306313253695557E-2</v>
      </c>
    </row>
    <row r="28" spans="1:3">
      <c r="A28" s="13">
        <f t="shared" si="0"/>
        <v>20</v>
      </c>
      <c r="B28" s="9"/>
      <c r="C28" s="9"/>
    </row>
    <row r="29" spans="1:3">
      <c r="A29" s="13">
        <f t="shared" si="0"/>
        <v>21</v>
      </c>
      <c r="B29" s="9" t="s">
        <v>541</v>
      </c>
      <c r="C29" s="147">
        <v>0.95499800000000001</v>
      </c>
    </row>
    <row r="30" spans="1:3">
      <c r="A30" s="13">
        <f t="shared" si="0"/>
        <v>22</v>
      </c>
      <c r="B30" s="9"/>
      <c r="C30" s="9"/>
    </row>
    <row r="31" spans="1:3" ht="15.75" thickBot="1">
      <c r="A31" s="93">
        <f t="shared" si="0"/>
        <v>23</v>
      </c>
      <c r="B31" s="103" t="s">
        <v>542</v>
      </c>
      <c r="C31" s="133">
        <f>ROUND(+C27/C29,6)</f>
        <v>3.8017000000000002E-2</v>
      </c>
    </row>
    <row r="32" spans="1:3" ht="15.75" thickTop="1"/>
  </sheetData>
  <mergeCells count="4">
    <mergeCell ref="A1:C1"/>
    <mergeCell ref="A2:C2"/>
    <mergeCell ref="A3:C3"/>
    <mergeCell ref="A4:C4"/>
  </mergeCells>
  <printOptions horizontalCentered="1"/>
  <pageMargins left="0.5" right="0.5" top="0.75" bottom="0.75" header="0.3" footer="0.3"/>
  <pageSetup scale="53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6"/>
  <sheetViews>
    <sheetView showGridLines="0" zoomScaleNormal="100" workbookViewId="0">
      <selection sqref="A1:E1"/>
    </sheetView>
  </sheetViews>
  <sheetFormatPr defaultRowHeight="15"/>
  <cols>
    <col min="1" max="1" width="5" bestFit="1" customWidth="1"/>
    <col min="2" max="2" width="44.85546875" customWidth="1"/>
    <col min="3" max="3" width="18.140625" customWidth="1"/>
  </cols>
  <sheetData>
    <row r="1" spans="1:13" s="23" customFormat="1" ht="15.75">
      <c r="A1" s="163" t="s">
        <v>0</v>
      </c>
      <c r="B1" s="163"/>
      <c r="C1" s="16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s="23" customFormat="1" ht="15.75">
      <c r="A2" s="163" t="s">
        <v>557</v>
      </c>
      <c r="B2" s="163"/>
      <c r="C2" s="16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s="23" customFormat="1" ht="15.75">
      <c r="A3" s="164" t="s">
        <v>564</v>
      </c>
      <c r="B3" s="163"/>
      <c r="C3" s="16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s="9" customFormat="1" ht="15.75">
      <c r="A4" s="164" t="s">
        <v>565</v>
      </c>
      <c r="B4" s="163"/>
      <c r="C4" s="16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 s="1"/>
      <c r="B5" s="1"/>
      <c r="C5" s="1"/>
    </row>
    <row r="6" spans="1:13">
      <c r="A6" s="1"/>
      <c r="B6" s="1"/>
      <c r="C6" s="1"/>
    </row>
    <row r="7" spans="1:13">
      <c r="A7" s="131" t="s">
        <v>505</v>
      </c>
      <c r="B7" s="132" t="s">
        <v>102</v>
      </c>
      <c r="C7" s="148" t="s">
        <v>543</v>
      </c>
    </row>
    <row r="8" spans="1:13">
      <c r="A8" s="120"/>
      <c r="B8" s="10" t="s">
        <v>16</v>
      </c>
      <c r="C8" s="10" t="s">
        <v>17</v>
      </c>
    </row>
    <row r="9" spans="1:13">
      <c r="A9" s="13">
        <v>1</v>
      </c>
      <c r="B9" s="53" t="s">
        <v>544</v>
      </c>
      <c r="C9" s="53"/>
    </row>
    <row r="10" spans="1:13">
      <c r="A10" s="13">
        <f t="shared" ref="A10:A25" si="0">+A9+1</f>
        <v>2</v>
      </c>
      <c r="B10" s="51" t="s">
        <v>545</v>
      </c>
      <c r="C10" s="60">
        <f>SUM('JAP-4, p9-11 Expense Detail'!E15,'JAP-4, p9-11 Expense Detail'!E22,'JAP-4, p9-11 Expense Detail'!E33)</f>
        <v>873285330</v>
      </c>
    </row>
    <row r="11" spans="1:13">
      <c r="A11" s="13">
        <f t="shared" si="0"/>
        <v>3</v>
      </c>
      <c r="B11" s="51" t="s">
        <v>196</v>
      </c>
      <c r="C11" s="60">
        <f>SUM('JAP-4, p9-11 Expense Detail'!E26,'JAP-4, p9-11 Expense Detail'!E37)</f>
        <v>109919886</v>
      </c>
    </row>
    <row r="12" spans="1:13">
      <c r="A12" s="13">
        <f t="shared" si="0"/>
        <v>4</v>
      </c>
      <c r="B12" s="51" t="s">
        <v>546</v>
      </c>
      <c r="C12" s="60">
        <f>+'JAP-4, p9-11 Expense Detail'!E50+'JAP-4, p9-11 Expense Detail'!E93</f>
        <v>81926022</v>
      </c>
    </row>
    <row r="13" spans="1:13">
      <c r="A13" s="13">
        <f t="shared" si="0"/>
        <v>5</v>
      </c>
      <c r="B13" s="51" t="s">
        <v>547</v>
      </c>
      <c r="C13" s="60">
        <f>+'JAP-4, p9-11 Expense Detail'!E58</f>
        <v>47712479</v>
      </c>
    </row>
    <row r="14" spans="1:13">
      <c r="A14" s="13">
        <f t="shared" si="0"/>
        <v>6</v>
      </c>
      <c r="B14" s="51" t="s">
        <v>548</v>
      </c>
      <c r="C14" s="60">
        <f>SUM('JAP-4, p9-11 Expense Detail'!E58,'JAP-4, p9-11 Expense Detail'!E69)</f>
        <v>49419691</v>
      </c>
    </row>
    <row r="15" spans="1:13">
      <c r="A15" s="13">
        <f t="shared" si="0"/>
        <v>7</v>
      </c>
      <c r="B15" s="149" t="s">
        <v>549</v>
      </c>
      <c r="C15" s="60"/>
    </row>
    <row r="16" spans="1:13">
      <c r="A16" s="13">
        <f t="shared" si="0"/>
        <v>8</v>
      </c>
      <c r="B16" s="150" t="s">
        <v>550</v>
      </c>
      <c r="C16" s="60">
        <f>-'JAP-4, p9-11 Expense Detail'!E15</f>
        <v>-244468060</v>
      </c>
    </row>
    <row r="17" spans="1:3">
      <c r="A17" s="13">
        <f t="shared" si="0"/>
        <v>9</v>
      </c>
      <c r="B17" s="150" t="s">
        <v>551</v>
      </c>
      <c r="C17" s="60">
        <f>-'JAP-4, p9-11 Expense Detail'!E18</f>
        <v>-491005393</v>
      </c>
    </row>
    <row r="18" spans="1:3">
      <c r="A18" s="13">
        <f t="shared" si="0"/>
        <v>10</v>
      </c>
      <c r="B18" s="150" t="s">
        <v>552</v>
      </c>
      <c r="C18" s="60">
        <f>-SUM('JAP-4, p9-11 Expense Detail'!E19:E21)</f>
        <v>-9311939</v>
      </c>
    </row>
    <row r="19" spans="1:3">
      <c r="A19" s="13">
        <f t="shared" si="0"/>
        <v>11</v>
      </c>
      <c r="B19" s="150" t="s">
        <v>553</v>
      </c>
      <c r="C19" s="60">
        <f>-'JAP-4, p9-11 Expense Detail'!E25</f>
        <v>-97689360</v>
      </c>
    </row>
    <row r="20" spans="1:3">
      <c r="A20" s="13">
        <f t="shared" si="0"/>
        <v>12</v>
      </c>
      <c r="B20" s="150" t="s">
        <v>554</v>
      </c>
      <c r="C20" s="60">
        <f>-'JAP-4, p9-11 Expense Detail'!E62</f>
        <v>-2589</v>
      </c>
    </row>
    <row r="21" spans="1:3">
      <c r="A21" s="71">
        <f t="shared" si="0"/>
        <v>13</v>
      </c>
      <c r="B21" s="151" t="s">
        <v>555</v>
      </c>
      <c r="C21" s="152">
        <f>SUM(C9:C20)</f>
        <v>319786067</v>
      </c>
    </row>
    <row r="22" spans="1:3">
      <c r="A22" s="13">
        <f t="shared" si="0"/>
        <v>14</v>
      </c>
      <c r="B22" s="9"/>
      <c r="C22" s="153"/>
    </row>
    <row r="23" spans="1:3">
      <c r="A23" s="13">
        <f t="shared" si="0"/>
        <v>15</v>
      </c>
      <c r="B23" s="59" t="s">
        <v>531</v>
      </c>
      <c r="C23" s="122">
        <f>+'JAP-4, p9-11 Expense Detail'!E82+'JAP-4, p9-11 Expense Detail'!E96</f>
        <v>98582600</v>
      </c>
    </row>
    <row r="24" spans="1:3">
      <c r="A24" s="13">
        <f t="shared" si="0"/>
        <v>16</v>
      </c>
      <c r="B24" s="9"/>
      <c r="C24" s="9"/>
    </row>
    <row r="25" spans="1:3" ht="15.75" thickBot="1">
      <c r="A25" s="93">
        <f t="shared" si="0"/>
        <v>17</v>
      </c>
      <c r="B25" s="154" t="s">
        <v>556</v>
      </c>
      <c r="C25" s="155">
        <f>ROUND(+C23/C21,2)</f>
        <v>0.31</v>
      </c>
    </row>
    <row r="26" spans="1:3" ht="15.75" thickTop="1"/>
  </sheetData>
  <mergeCells count="4">
    <mergeCell ref="A1:C1"/>
    <mergeCell ref="A2:C2"/>
    <mergeCell ref="A3:C3"/>
    <mergeCell ref="A4:C4"/>
  </mergeCells>
  <printOptions horizontalCentered="1"/>
  <pageMargins left="0.5" right="0.5" top="0.75" bottom="0.75" header="0.3" footer="0.3"/>
  <pageSetup scale="53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7"/>
  <sheetViews>
    <sheetView showGridLines="0" zoomScaleNormal="100" workbookViewId="0">
      <selection sqref="A1:E1"/>
    </sheetView>
  </sheetViews>
  <sheetFormatPr defaultRowHeight="15"/>
  <cols>
    <col min="1" max="1" width="5.28515625" customWidth="1"/>
    <col min="2" max="2" width="30" bestFit="1" customWidth="1"/>
    <col min="3" max="3" width="16.28515625" customWidth="1"/>
    <col min="4" max="4" width="15.28515625" customWidth="1"/>
    <col min="5" max="5" width="14.5703125" customWidth="1"/>
    <col min="6" max="6" width="15.28515625" customWidth="1"/>
    <col min="7" max="7" width="15.42578125" customWidth="1"/>
    <col min="8" max="8" width="14.28515625" customWidth="1"/>
    <col min="9" max="9" width="13.5703125" customWidth="1"/>
    <col min="10" max="10" width="15.28515625" customWidth="1"/>
    <col min="11" max="11" width="13.7109375" customWidth="1"/>
    <col min="12" max="12" width="12.42578125" customWidth="1"/>
    <col min="13" max="13" width="13.42578125" customWidth="1"/>
  </cols>
  <sheetData>
    <row r="1" spans="1:13" ht="15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5.75">
      <c r="A2" s="3" t="s">
        <v>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5.7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51">
      <c r="A6" s="6" t="s">
        <v>3</v>
      </c>
      <c r="B6" s="6" t="s">
        <v>4</v>
      </c>
      <c r="C6" s="6" t="s">
        <v>5</v>
      </c>
      <c r="D6" s="6" t="str">
        <f>+'JAP-4, p1-4 ECOS Summary'!E6</f>
        <v>Residential
Sch 7</v>
      </c>
      <c r="E6" s="6" t="str">
        <f>+'JAP-4, p1-4 ECOS Summary'!F6</f>
        <v>Sec Volt
Sch 24
(kW&lt; 50)</v>
      </c>
      <c r="F6" s="6" t="str">
        <f>+'JAP-4, p1-4 ECOS Summary'!G6</f>
        <v>Sec Volt
Sch 25
(kW &gt; 50 &amp; &lt; 350)</v>
      </c>
      <c r="G6" s="49" t="str">
        <f>+'JAP-4, p1-4 ECOS Summary'!H6</f>
        <v>Sec Volt
Sch 26
(kW &gt; 350)</v>
      </c>
      <c r="H6" s="49" t="str">
        <f>+'JAP-4, p1-4 ECOS Summary'!I6</f>
        <v>Pri Volt
Sch 31/35/43</v>
      </c>
      <c r="I6" s="49" t="str">
        <f>+'JAP-4, p1-4 ECOS Summary'!J6</f>
        <v>Campus
Sch 40</v>
      </c>
      <c r="J6" s="49" t="str">
        <f>+'JAP-4, p1-4 ECOS Summary'!K6</f>
        <v>High Volt
Sch 46/49</v>
      </c>
      <c r="K6" s="49" t="str">
        <f>+'JAP-4, p1-4 ECOS Summary'!L6</f>
        <v>Choice /
Retail Wheeling
Sch 448/449</v>
      </c>
      <c r="L6" s="49" t="str">
        <f>+'JAP-4, p1-4 ECOS Summary'!M6</f>
        <v>Lighting
Sch 50-59</v>
      </c>
      <c r="M6" s="49" t="str">
        <f>+'JAP-4, p1-4 ECOS Summary'!N6</f>
        <v>Firm Resale /
Special Contract</v>
      </c>
    </row>
    <row r="7" spans="1:13">
      <c r="A7" s="9"/>
      <c r="B7" s="10" t="s">
        <v>16</v>
      </c>
      <c r="C7" s="10" t="s">
        <v>17</v>
      </c>
      <c r="D7" s="10" t="s">
        <v>18</v>
      </c>
      <c r="E7" s="10" t="s">
        <v>19</v>
      </c>
      <c r="F7" s="10" t="s">
        <v>20</v>
      </c>
      <c r="G7" s="10" t="s">
        <v>89</v>
      </c>
      <c r="H7" s="10" t="s">
        <v>21</v>
      </c>
      <c r="I7" s="10" t="s">
        <v>22</v>
      </c>
      <c r="J7" s="11" t="s">
        <v>90</v>
      </c>
      <c r="K7" s="11" t="s">
        <v>91</v>
      </c>
      <c r="L7" s="10" t="s">
        <v>23</v>
      </c>
      <c r="M7" s="11" t="s">
        <v>24</v>
      </c>
    </row>
    <row r="8" spans="1:13">
      <c r="A8" s="1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3">
        <v>1</v>
      </c>
      <c r="B9" s="5" t="s">
        <v>92</v>
      </c>
      <c r="C9" s="5"/>
      <c r="D9" s="9"/>
      <c r="E9" s="15"/>
      <c r="F9" s="15"/>
      <c r="G9" s="15"/>
      <c r="H9" s="15"/>
      <c r="I9" s="15"/>
      <c r="J9" s="15"/>
      <c r="K9" s="15"/>
      <c r="L9" s="15"/>
      <c r="M9" s="15"/>
    </row>
    <row r="10" spans="1:13">
      <c r="A10" s="13">
        <f>+A9+1</f>
        <v>2</v>
      </c>
      <c r="B10" s="15" t="s">
        <v>39</v>
      </c>
      <c r="C10" s="15">
        <v>862156235.47966588</v>
      </c>
      <c r="D10" s="15">
        <v>438815517.00181258</v>
      </c>
      <c r="E10" s="15">
        <v>106230656.94418119</v>
      </c>
      <c r="F10" s="15">
        <v>119904197.95313434</v>
      </c>
      <c r="G10" s="15">
        <v>82639883.02177234</v>
      </c>
      <c r="H10" s="15">
        <v>57879908.717416406</v>
      </c>
      <c r="I10" s="15">
        <v>28263180.604173679</v>
      </c>
      <c r="J10" s="15">
        <v>22318953.675071519</v>
      </c>
      <c r="K10" s="15">
        <v>2229665.1363366507</v>
      </c>
      <c r="L10" s="15">
        <v>3420528.9363806718</v>
      </c>
      <c r="M10" s="15">
        <v>453743.48938648403</v>
      </c>
    </row>
    <row r="11" spans="1:13">
      <c r="A11" s="13">
        <f t="shared" ref="A11:A26" si="0">+A10+1</f>
        <v>3</v>
      </c>
      <c r="B11" s="15" t="s">
        <v>40</v>
      </c>
      <c r="C11" s="15">
        <v>130873098.77180669</v>
      </c>
      <c r="D11" s="15">
        <v>65797412.664040662</v>
      </c>
      <c r="E11" s="15">
        <v>15928567.021251336</v>
      </c>
      <c r="F11" s="15">
        <v>17978821.8219289</v>
      </c>
      <c r="G11" s="15">
        <v>12391290.360110814</v>
      </c>
      <c r="H11" s="15">
        <v>8678700.0260547325</v>
      </c>
      <c r="I11" s="15">
        <v>4237872.3754279735</v>
      </c>
      <c r="J11" s="15">
        <v>3346575.8349247752</v>
      </c>
      <c r="K11" s="15">
        <v>1821230.5959745403</v>
      </c>
      <c r="L11" s="15">
        <v>512885.13107753557</v>
      </c>
      <c r="M11" s="15">
        <v>179742.94101540782</v>
      </c>
    </row>
    <row r="12" spans="1:13">
      <c r="A12" s="13">
        <f t="shared" si="0"/>
        <v>4</v>
      </c>
      <c r="B12" s="15" t="s">
        <v>41</v>
      </c>
      <c r="C12" s="15">
        <v>72825610.327987805</v>
      </c>
      <c r="D12" s="15">
        <v>36840546.608211376</v>
      </c>
      <c r="E12" s="15">
        <v>8918543.936441645</v>
      </c>
      <c r="F12" s="15">
        <v>10066499.524433186</v>
      </c>
      <c r="G12" s="15">
        <v>6937991.8079518704</v>
      </c>
      <c r="H12" s="15">
        <v>4859280.021253651</v>
      </c>
      <c r="I12" s="15">
        <v>2372821.7941300725</v>
      </c>
      <c r="J12" s="15">
        <v>1873777.0686208131</v>
      </c>
      <c r="K12" s="15">
        <v>599882.48782340309</v>
      </c>
      <c r="L12" s="15">
        <v>287168.86897358129</v>
      </c>
      <c r="M12" s="15">
        <v>69098.210148206635</v>
      </c>
    </row>
    <row r="13" spans="1:13">
      <c r="A13" s="13">
        <f t="shared" si="0"/>
        <v>5</v>
      </c>
      <c r="B13" s="15" t="s">
        <v>42</v>
      </c>
      <c r="C13" s="15">
        <v>47863892.733667344</v>
      </c>
      <c r="D13" s="15">
        <v>24080679.676767875</v>
      </c>
      <c r="E13" s="15">
        <v>5829571.4773342386</v>
      </c>
      <c r="F13" s="15">
        <v>6579928.1724061444</v>
      </c>
      <c r="G13" s="15">
        <v>4534991.2992357742</v>
      </c>
      <c r="H13" s="15">
        <v>3176249.4432003228</v>
      </c>
      <c r="I13" s="15">
        <v>1550985.7158787157</v>
      </c>
      <c r="J13" s="15">
        <v>1224787.0764510783</v>
      </c>
      <c r="K13" s="15">
        <v>635539.19665113033</v>
      </c>
      <c r="L13" s="15">
        <v>187706.81174831442</v>
      </c>
      <c r="M13" s="15">
        <v>63453.863993752573</v>
      </c>
    </row>
    <row r="14" spans="1:13" ht="15.75" thickBot="1">
      <c r="A14" s="13">
        <f t="shared" si="0"/>
        <v>6</v>
      </c>
      <c r="B14" s="17" t="s">
        <v>93</v>
      </c>
      <c r="C14" s="17">
        <f>SUM(C10:C13)</f>
        <v>1113718837.3131278</v>
      </c>
      <c r="D14" s="17">
        <f t="shared" ref="D14:M14" si="1">SUM(D10:D13)</f>
        <v>565534155.95083249</v>
      </c>
      <c r="E14" s="22">
        <f t="shared" si="1"/>
        <v>136907339.37920842</v>
      </c>
      <c r="F14" s="22">
        <f t="shared" si="1"/>
        <v>154529447.47190258</v>
      </c>
      <c r="G14" s="22">
        <f t="shared" si="1"/>
        <v>106504156.4890708</v>
      </c>
      <c r="H14" s="22">
        <f t="shared" si="1"/>
        <v>74594138.207925111</v>
      </c>
      <c r="I14" s="22">
        <f t="shared" si="1"/>
        <v>36424860.489610441</v>
      </c>
      <c r="J14" s="22">
        <f t="shared" si="1"/>
        <v>28764093.655068185</v>
      </c>
      <c r="K14" s="22">
        <f t="shared" si="1"/>
        <v>5286317.4167857245</v>
      </c>
      <c r="L14" s="22">
        <f t="shared" si="1"/>
        <v>4408289.7481801035</v>
      </c>
      <c r="M14" s="22">
        <f t="shared" si="1"/>
        <v>766038.50454385113</v>
      </c>
    </row>
    <row r="15" spans="1:13" ht="15.75" thickTop="1">
      <c r="A15" s="13">
        <f t="shared" si="0"/>
        <v>7</v>
      </c>
      <c r="B15" s="9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</row>
    <row r="16" spans="1:13">
      <c r="A16" s="13">
        <f t="shared" si="0"/>
        <v>8</v>
      </c>
      <c r="B16" s="15" t="s">
        <v>94</v>
      </c>
      <c r="C16" s="15">
        <v>218835711.35489249</v>
      </c>
      <c r="D16" s="15">
        <v>110097870.56597045</v>
      </c>
      <c r="E16" s="15">
        <v>26653043.625916634</v>
      </c>
      <c r="F16" s="15">
        <v>30083705.691989362</v>
      </c>
      <c r="G16" s="15">
        <v>20734169.125747781</v>
      </c>
      <c r="H16" s="15">
        <v>14521944.761388127</v>
      </c>
      <c r="I16" s="15">
        <v>7091171.2995055905</v>
      </c>
      <c r="J16" s="15">
        <v>5599777.5321964398</v>
      </c>
      <c r="K16" s="15">
        <v>2905711.6805553795</v>
      </c>
      <c r="L16" s="15">
        <v>858203.36226451257</v>
      </c>
      <c r="M16" s="15">
        <v>290113.70935824624</v>
      </c>
    </row>
    <row r="17" spans="1:13">
      <c r="A17" s="13">
        <f t="shared" si="0"/>
        <v>9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</row>
    <row r="18" spans="1:13" ht="15.75" thickBot="1">
      <c r="A18" s="13">
        <f t="shared" si="0"/>
        <v>10</v>
      </c>
      <c r="B18" s="17" t="s">
        <v>95</v>
      </c>
      <c r="C18" s="17">
        <f>+C16+C14</f>
        <v>1332554548.6680202</v>
      </c>
      <c r="D18" s="22">
        <f t="shared" ref="D18:M18" si="2">+D16+D14</f>
        <v>675632026.51680291</v>
      </c>
      <c r="E18" s="22">
        <f t="shared" si="2"/>
        <v>163560383.00512505</v>
      </c>
      <c r="F18" s="22">
        <f t="shared" si="2"/>
        <v>184613153.16389194</v>
      </c>
      <c r="G18" s="22">
        <f t="shared" si="2"/>
        <v>127238325.61481859</v>
      </c>
      <c r="H18" s="22">
        <f t="shared" si="2"/>
        <v>89116082.969313234</v>
      </c>
      <c r="I18" s="22">
        <f t="shared" si="2"/>
        <v>43516031.789116032</v>
      </c>
      <c r="J18" s="22">
        <f t="shared" si="2"/>
        <v>34363871.187264621</v>
      </c>
      <c r="K18" s="22">
        <f t="shared" si="2"/>
        <v>8192029.0973411035</v>
      </c>
      <c r="L18" s="22">
        <f t="shared" si="2"/>
        <v>5266493.1104446165</v>
      </c>
      <c r="M18" s="22">
        <f t="shared" si="2"/>
        <v>1056152.2139020974</v>
      </c>
    </row>
    <row r="19" spans="1:13" ht="15.75" thickTop="1">
      <c r="A19" s="13">
        <f t="shared" si="0"/>
        <v>11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>
      <c r="A20" s="13">
        <f t="shared" si="0"/>
        <v>12</v>
      </c>
      <c r="B20" s="14" t="s">
        <v>28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>
      <c r="A21" s="13">
        <f t="shared" si="0"/>
        <v>13</v>
      </c>
      <c r="B21" s="15" t="s">
        <v>29</v>
      </c>
      <c r="C21" s="15">
        <v>3683896298.8346491</v>
      </c>
      <c r="D21" s="15">
        <v>1850902391.6526325</v>
      </c>
      <c r="E21" s="15">
        <v>448075716.07364821</v>
      </c>
      <c r="F21" s="15">
        <v>505750043.38265073</v>
      </c>
      <c r="G21" s="15">
        <v>348570985.31057739</v>
      </c>
      <c r="H21" s="15">
        <v>244134624.51296943</v>
      </c>
      <c r="I21" s="15">
        <v>119212713.65560958</v>
      </c>
      <c r="J21" s="15">
        <v>94140255.154658884</v>
      </c>
      <c r="K21" s="15">
        <v>53458437.703963436</v>
      </c>
      <c r="L21" s="15">
        <v>14427623.782132279</v>
      </c>
      <c r="M21" s="15">
        <v>5223507.6058066795</v>
      </c>
    </row>
    <row r="22" spans="1:13">
      <c r="A22" s="13">
        <f t="shared" si="0"/>
        <v>14</v>
      </c>
      <c r="B22" s="15" t="s">
        <v>30</v>
      </c>
      <c r="C22" s="15">
        <v>-1274880326.6499596</v>
      </c>
      <c r="D22" s="15">
        <v>-642011173.60457802</v>
      </c>
      <c r="E22" s="15">
        <v>-155421278.63549858</v>
      </c>
      <c r="F22" s="15">
        <v>-175426419.2250281</v>
      </c>
      <c r="G22" s="15">
        <v>-120906682.26104218</v>
      </c>
      <c r="H22" s="15">
        <v>-84681481.588630483</v>
      </c>
      <c r="I22" s="15">
        <v>-41350583.665455796</v>
      </c>
      <c r="J22" s="15">
        <v>-32653853.583987296</v>
      </c>
      <c r="K22" s="15">
        <v>-15817342.55351216</v>
      </c>
      <c r="L22" s="15">
        <v>-5004421.4748793934</v>
      </c>
      <c r="M22" s="15">
        <v>-1607090.0573476334</v>
      </c>
    </row>
    <row r="23" spans="1:13">
      <c r="A23" s="13">
        <f t="shared" si="0"/>
        <v>15</v>
      </c>
      <c r="B23" s="15" t="s">
        <v>96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</row>
    <row r="24" spans="1:13">
      <c r="A24" s="13">
        <f t="shared" si="0"/>
        <v>16</v>
      </c>
      <c r="B24" s="15" t="s">
        <v>97</v>
      </c>
      <c r="C24" s="15">
        <v>98925830.013006404</v>
      </c>
      <c r="D24" s="15">
        <v>49703368.530003741</v>
      </c>
      <c r="E24" s="15">
        <v>12032440.254976736</v>
      </c>
      <c r="F24" s="15">
        <v>13581202.82500069</v>
      </c>
      <c r="G24" s="15">
        <v>9360381.3036779724</v>
      </c>
      <c r="H24" s="15">
        <v>6555890.3958558971</v>
      </c>
      <c r="I24" s="15">
        <v>3201288.9858530122</v>
      </c>
      <c r="J24" s="15">
        <v>2528003.5384700829</v>
      </c>
      <c r="K24" s="15">
        <v>1435550.8114427924</v>
      </c>
      <c r="L24" s="15">
        <v>387433.45142867405</v>
      </c>
      <c r="M24" s="15">
        <v>140269.91629681361</v>
      </c>
    </row>
    <row r="25" spans="1:13">
      <c r="A25" s="13">
        <f t="shared" si="0"/>
        <v>17</v>
      </c>
      <c r="B25" s="15" t="s">
        <v>98</v>
      </c>
      <c r="C25" s="15">
        <v>91057145.010053813</v>
      </c>
      <c r="D25" s="15">
        <v>48981073.35033197</v>
      </c>
      <c r="E25" s="15">
        <v>11857583.422273099</v>
      </c>
      <c r="F25" s="15">
        <v>13383839.193022292</v>
      </c>
      <c r="G25" s="15">
        <v>9224355.1449789889</v>
      </c>
      <c r="H25" s="15">
        <v>6460619.4278826788</v>
      </c>
      <c r="I25" s="15">
        <v>3154767.4789289469</v>
      </c>
      <c r="J25" s="15">
        <v>2491266.2946165232</v>
      </c>
      <c r="K25" s="15">
        <v>-4567006.0503099896</v>
      </c>
      <c r="L25" s="15">
        <v>381803.22308224731</v>
      </c>
      <c r="M25" s="15">
        <v>-311156.47475293512</v>
      </c>
    </row>
    <row r="26" spans="1:13" ht="15.75" thickBot="1">
      <c r="A26" s="13">
        <f t="shared" si="0"/>
        <v>18</v>
      </c>
      <c r="B26" s="17" t="s">
        <v>32</v>
      </c>
      <c r="C26" s="17">
        <f>SUM(C21:C25)</f>
        <v>2598998947.2077494</v>
      </c>
      <c r="D26" s="17">
        <f t="shared" ref="D26:M26" si="3">SUM(D21:D25)</f>
        <v>1307575659.9283903</v>
      </c>
      <c r="E26" s="17">
        <f t="shared" si="3"/>
        <v>316544461.11539948</v>
      </c>
      <c r="F26" s="17">
        <f t="shared" si="3"/>
        <v>357288666.17564565</v>
      </c>
      <c r="G26" s="17">
        <f t="shared" si="3"/>
        <v>246249039.49819219</v>
      </c>
      <c r="H26" s="17">
        <f t="shared" si="3"/>
        <v>172469652.74807751</v>
      </c>
      <c r="I26" s="17">
        <f t="shared" si="3"/>
        <v>84218186.454935759</v>
      </c>
      <c r="J26" s="17">
        <f t="shared" si="3"/>
        <v>66505671.403758191</v>
      </c>
      <c r="K26" s="17">
        <f t="shared" si="3"/>
        <v>34509639.911584079</v>
      </c>
      <c r="L26" s="17">
        <f t="shared" si="3"/>
        <v>10192438.981763808</v>
      </c>
      <c r="M26" s="17">
        <f t="shared" si="3"/>
        <v>3445530.9900029246</v>
      </c>
    </row>
    <row r="27" spans="1:13" ht="15.75" thickTop="1"/>
  </sheetData>
  <printOptions horizontalCentered="1"/>
  <pageMargins left="0.5" right="0.5" top="0.75" bottom="0.75" header="0.3" footer="0.3"/>
  <pageSetup scale="53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7"/>
  <sheetViews>
    <sheetView showGridLines="0" view="pageLayout" topLeftCell="A64" zoomScaleNormal="100" workbookViewId="0">
      <selection sqref="A1:E1"/>
    </sheetView>
  </sheetViews>
  <sheetFormatPr defaultRowHeight="15"/>
  <cols>
    <col min="1" max="1" width="6.7109375" customWidth="1"/>
    <col min="2" max="2" width="30" bestFit="1" customWidth="1"/>
    <col min="3" max="3" width="16" customWidth="1"/>
    <col min="4" max="4" width="16.28515625" customWidth="1"/>
    <col min="5" max="5" width="13.85546875" customWidth="1"/>
    <col min="6" max="6" width="14.5703125" customWidth="1"/>
    <col min="7" max="7" width="15.42578125" customWidth="1"/>
    <col min="8" max="9" width="13" customWidth="1"/>
    <col min="10" max="10" width="15.7109375" customWidth="1"/>
    <col min="11" max="11" width="12.7109375" customWidth="1"/>
    <col min="12" max="12" width="15.7109375" customWidth="1"/>
    <col min="13" max="13" width="12.140625" customWidth="1"/>
  </cols>
  <sheetData>
    <row r="1" spans="1:14" ht="15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9"/>
    </row>
    <row r="2" spans="1:14" ht="15.75">
      <c r="A2" s="3" t="s">
        <v>99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9"/>
    </row>
    <row r="3" spans="1:14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9"/>
    </row>
    <row r="4" spans="1:14" ht="15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9"/>
    </row>
    <row r="5" spans="1:14" ht="15.7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9"/>
    </row>
    <row r="6" spans="1:14" ht="51">
      <c r="A6" s="6" t="s">
        <v>3</v>
      </c>
      <c r="B6" s="6" t="s">
        <v>4</v>
      </c>
      <c r="C6" s="6" t="s">
        <v>5</v>
      </c>
      <c r="D6" s="6" t="str">
        <f>+'JAP-4, p1-4 ECOS Summary'!E6</f>
        <v>Residential
Sch 7</v>
      </c>
      <c r="E6" s="6" t="str">
        <f>+'JAP-4, p1-4 ECOS Summary'!F6</f>
        <v>Sec Volt
Sch 24
(kW&lt; 50)</v>
      </c>
      <c r="F6" s="6" t="str">
        <f>+'JAP-4, p1-4 ECOS Summary'!G6</f>
        <v>Sec Volt
Sch 25
(kW &gt; 50 &amp; &lt; 350)</v>
      </c>
      <c r="G6" s="49" t="str">
        <f>+'JAP-4, p1-4 ECOS Summary'!H6</f>
        <v>Sec Volt
Sch 26
(kW &gt; 350)</v>
      </c>
      <c r="H6" s="49" t="str">
        <f>+'JAP-4, p1-4 ECOS Summary'!I6</f>
        <v>Pri Volt
Sch 31/35/43</v>
      </c>
      <c r="I6" s="49" t="str">
        <f>+'JAP-4, p1-4 ECOS Summary'!J6</f>
        <v>Campus
Sch 40</v>
      </c>
      <c r="J6" s="49" t="str">
        <f>+'JAP-4, p1-4 ECOS Summary'!K6</f>
        <v>High Volt
Sch 46/49</v>
      </c>
      <c r="K6" s="49" t="str">
        <f>+'JAP-4, p1-4 ECOS Summary'!L6</f>
        <v>Choice /
Retail Wheeling
Sch 448/449</v>
      </c>
      <c r="L6" s="49" t="str">
        <f>+'JAP-4, p1-4 ECOS Summary'!M6</f>
        <v>Lighting
Sch 50-59</v>
      </c>
      <c r="M6" s="49" t="str">
        <f>+'JAP-4, p1-4 ECOS Summary'!N6</f>
        <v>Firm Resale /
Special Contract</v>
      </c>
      <c r="N6" s="9"/>
    </row>
    <row r="7" spans="1:14">
      <c r="A7" s="9"/>
      <c r="B7" s="11" t="s">
        <v>16</v>
      </c>
      <c r="C7" s="10" t="s">
        <v>17</v>
      </c>
      <c r="D7" s="10" t="s">
        <v>18</v>
      </c>
      <c r="E7" s="10" t="s">
        <v>19</v>
      </c>
      <c r="F7" s="10" t="s">
        <v>20</v>
      </c>
      <c r="G7" s="10" t="s">
        <v>89</v>
      </c>
      <c r="H7" s="10" t="s">
        <v>21</v>
      </c>
      <c r="I7" s="10" t="s">
        <v>22</v>
      </c>
      <c r="J7" s="11" t="s">
        <v>90</v>
      </c>
      <c r="K7" s="11" t="s">
        <v>91</v>
      </c>
      <c r="L7" s="10" t="s">
        <v>23</v>
      </c>
      <c r="M7" s="11" t="s">
        <v>24</v>
      </c>
      <c r="N7" s="9"/>
    </row>
    <row r="8" spans="1:14">
      <c r="A8" s="1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2"/>
    </row>
    <row r="9" spans="1:14">
      <c r="A9" s="13">
        <v>1</v>
      </c>
      <c r="B9" s="5" t="s">
        <v>92</v>
      </c>
      <c r="C9" s="5"/>
      <c r="D9" s="9"/>
      <c r="E9" s="15"/>
      <c r="F9" s="15"/>
      <c r="G9" s="15"/>
      <c r="H9" s="15"/>
      <c r="I9" s="15"/>
      <c r="J9" s="15"/>
      <c r="K9" s="15"/>
      <c r="L9" s="15"/>
      <c r="M9" s="15"/>
      <c r="N9" s="13"/>
    </row>
    <row r="10" spans="1:14">
      <c r="A10" s="13">
        <f>+A9+1</f>
        <v>2</v>
      </c>
      <c r="B10" s="15" t="s">
        <v>39</v>
      </c>
      <c r="C10" s="15">
        <v>270360454.73307806</v>
      </c>
      <c r="D10" s="15">
        <v>171206759.59042713</v>
      </c>
      <c r="E10" s="15">
        <v>29930079.098449603</v>
      </c>
      <c r="F10" s="15">
        <v>29067383.501178045</v>
      </c>
      <c r="G10" s="15">
        <v>17428801.070161633</v>
      </c>
      <c r="H10" s="15">
        <v>11778006.695911258</v>
      </c>
      <c r="I10" s="15">
        <v>5121648.4554383773</v>
      </c>
      <c r="J10" s="15">
        <v>3667706.6105867359</v>
      </c>
      <c r="K10" s="15">
        <v>961561.37704750104</v>
      </c>
      <c r="L10" s="15">
        <v>931987.90904983785</v>
      </c>
      <c r="M10" s="15">
        <v>266520.42482796311</v>
      </c>
      <c r="N10" s="13"/>
    </row>
    <row r="11" spans="1:14">
      <c r="A11" s="13">
        <f t="shared" ref="A11:A26" si="0">+A10+1</f>
        <v>3</v>
      </c>
      <c r="B11" s="15" t="s">
        <v>40</v>
      </c>
      <c r="C11" s="15">
        <v>109938025.89568962</v>
      </c>
      <c r="D11" s="15">
        <v>69846211.682344109</v>
      </c>
      <c r="E11" s="15">
        <v>12665284.288246602</v>
      </c>
      <c r="F11" s="15">
        <v>11670795.097745053</v>
      </c>
      <c r="G11" s="15">
        <v>6193481.3936070716</v>
      </c>
      <c r="H11" s="15">
        <v>5400221.0300332755</v>
      </c>
      <c r="I11" s="15">
        <v>1858515.7158052661</v>
      </c>
      <c r="J11" s="15">
        <v>958981.64009265904</v>
      </c>
      <c r="K11" s="15">
        <v>621556.98503349617</v>
      </c>
      <c r="L11" s="15">
        <v>566279.02829686832</v>
      </c>
      <c r="M11" s="15">
        <v>156699.0344852347</v>
      </c>
      <c r="N11" s="13"/>
    </row>
    <row r="12" spans="1:14">
      <c r="A12" s="13">
        <f t="shared" si="0"/>
        <v>4</v>
      </c>
      <c r="B12" s="15" t="s">
        <v>41</v>
      </c>
      <c r="C12" s="15">
        <v>40249755.332264677</v>
      </c>
      <c r="D12" s="15">
        <v>25535318.000242673</v>
      </c>
      <c r="E12" s="15">
        <v>4586546.7579437438</v>
      </c>
      <c r="F12" s="15">
        <v>4293349.8842649208</v>
      </c>
      <c r="G12" s="15">
        <v>2367195.8775323611</v>
      </c>
      <c r="H12" s="15">
        <v>1915241.9170566639</v>
      </c>
      <c r="I12" s="15">
        <v>703096.74766708887</v>
      </c>
      <c r="J12" s="15">
        <v>407739.07015918638</v>
      </c>
      <c r="K12" s="15">
        <v>203639.71402503131</v>
      </c>
      <c r="L12" s="15">
        <v>187830.87541586295</v>
      </c>
      <c r="M12" s="15">
        <v>49796.487957149788</v>
      </c>
      <c r="N12" s="13"/>
    </row>
    <row r="13" spans="1:14">
      <c r="A13" s="13">
        <f t="shared" si="0"/>
        <v>5</v>
      </c>
      <c r="B13" s="15" t="s">
        <v>42</v>
      </c>
      <c r="C13" s="15">
        <v>35321424.78434781</v>
      </c>
      <c r="D13" s="15">
        <v>22379040.459965628</v>
      </c>
      <c r="E13" s="15">
        <v>4068175.8559978576</v>
      </c>
      <c r="F13" s="15">
        <v>3780438.0915762857</v>
      </c>
      <c r="G13" s="15">
        <v>2041699.9690153166</v>
      </c>
      <c r="H13" s="15">
        <v>1734346.8126061261</v>
      </c>
      <c r="I13" s="15">
        <v>597614.09657259483</v>
      </c>
      <c r="J13" s="15">
        <v>323977.0296415058</v>
      </c>
      <c r="K13" s="15">
        <v>182423.10382837369</v>
      </c>
      <c r="L13" s="15">
        <v>178767.07387115163</v>
      </c>
      <c r="M13" s="15">
        <v>34942.291272972405</v>
      </c>
      <c r="N13" s="13"/>
    </row>
    <row r="14" spans="1:14" ht="15.75" thickBot="1">
      <c r="A14" s="13">
        <f t="shared" si="0"/>
        <v>6</v>
      </c>
      <c r="B14" s="17" t="s">
        <v>93</v>
      </c>
      <c r="C14" s="17">
        <f>SUM(C10:C13)</f>
        <v>455869660.74538016</v>
      </c>
      <c r="D14" s="17">
        <f>SUM(D10:D13)</f>
        <v>288967329.73297954</v>
      </c>
      <c r="E14" s="22">
        <f t="shared" ref="E14:M14" si="1">SUM(E10:E13)</f>
        <v>51250086.000637807</v>
      </c>
      <c r="F14" s="22">
        <f t="shared" si="1"/>
        <v>48811966.574764311</v>
      </c>
      <c r="G14" s="22">
        <f t="shared" si="1"/>
        <v>28031178.310316384</v>
      </c>
      <c r="H14" s="22">
        <f t="shared" si="1"/>
        <v>20827816.455607325</v>
      </c>
      <c r="I14" s="22">
        <f t="shared" si="1"/>
        <v>8280875.0154833272</v>
      </c>
      <c r="J14" s="22">
        <f t="shared" si="1"/>
        <v>5358404.3504800871</v>
      </c>
      <c r="K14" s="22">
        <f t="shared" si="1"/>
        <v>1969181.1799344022</v>
      </c>
      <c r="L14" s="22">
        <f t="shared" si="1"/>
        <v>1864864.8866337207</v>
      </c>
      <c r="M14" s="22">
        <f t="shared" si="1"/>
        <v>507958.23854332004</v>
      </c>
      <c r="N14" s="13"/>
    </row>
    <row r="15" spans="1:14" ht="15.75" thickTop="1">
      <c r="A15" s="13">
        <f t="shared" si="0"/>
        <v>7</v>
      </c>
      <c r="B15" s="9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13"/>
    </row>
    <row r="16" spans="1:14">
      <c r="A16" s="13">
        <f t="shared" si="0"/>
        <v>8</v>
      </c>
      <c r="B16" s="15" t="s">
        <v>94</v>
      </c>
      <c r="C16" s="15">
        <v>161491025.43249911</v>
      </c>
      <c r="D16" s="15">
        <v>102317905.18475164</v>
      </c>
      <c r="E16" s="15">
        <v>18599869.474007107</v>
      </c>
      <c r="F16" s="15">
        <v>17284320.429318346</v>
      </c>
      <c r="G16" s="15">
        <v>9334737.3056110181</v>
      </c>
      <c r="H16" s="15">
        <v>7929505.8716732133</v>
      </c>
      <c r="I16" s="15">
        <v>2732316.5432214281</v>
      </c>
      <c r="J16" s="15">
        <v>1481236.4748255152</v>
      </c>
      <c r="K16" s="15">
        <v>834046.0295610152</v>
      </c>
      <c r="L16" s="15">
        <v>817330.50830420083</v>
      </c>
      <c r="M16" s="15">
        <v>159757.61122563598</v>
      </c>
      <c r="N16" s="13"/>
    </row>
    <row r="17" spans="1:14">
      <c r="A17" s="13">
        <f t="shared" si="0"/>
        <v>9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13"/>
    </row>
    <row r="18" spans="1:14" ht="15.75" thickBot="1">
      <c r="A18" s="13">
        <f t="shared" si="0"/>
        <v>10</v>
      </c>
      <c r="B18" s="17" t="s">
        <v>95</v>
      </c>
      <c r="C18" s="17">
        <f>+C16+C14</f>
        <v>617360686.17787933</v>
      </c>
      <c r="D18" s="17">
        <f>+D16+D14</f>
        <v>391285234.91773117</v>
      </c>
      <c r="E18" s="22">
        <f t="shared" ref="E18:M18" si="2">+E16+E14</f>
        <v>69849955.474644914</v>
      </c>
      <c r="F18" s="22">
        <f t="shared" si="2"/>
        <v>66096287.004082657</v>
      </c>
      <c r="G18" s="22">
        <f t="shared" si="2"/>
        <v>37365915.615927398</v>
      </c>
      <c r="H18" s="22">
        <f t="shared" si="2"/>
        <v>28757322.327280536</v>
      </c>
      <c r="I18" s="22">
        <f t="shared" si="2"/>
        <v>11013191.558704756</v>
      </c>
      <c r="J18" s="22">
        <f t="shared" si="2"/>
        <v>6839640.8253056025</v>
      </c>
      <c r="K18" s="22">
        <f t="shared" si="2"/>
        <v>2803227.2094954173</v>
      </c>
      <c r="L18" s="22">
        <f t="shared" si="2"/>
        <v>2682195.3949379213</v>
      </c>
      <c r="M18" s="22">
        <f t="shared" si="2"/>
        <v>667715.84976895596</v>
      </c>
      <c r="N18" s="13"/>
    </row>
    <row r="19" spans="1:14" ht="15.75" thickTop="1">
      <c r="A19" s="13">
        <f t="shared" si="0"/>
        <v>11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13"/>
    </row>
    <row r="20" spans="1:14">
      <c r="A20" s="13">
        <f t="shared" si="0"/>
        <v>12</v>
      </c>
      <c r="B20" s="14" t="s">
        <v>28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3"/>
    </row>
    <row r="21" spans="1:14">
      <c r="A21" s="13">
        <f t="shared" si="0"/>
        <v>13</v>
      </c>
      <c r="B21" s="15" t="s">
        <v>29</v>
      </c>
      <c r="C21" s="15">
        <v>3078145193.7172093</v>
      </c>
      <c r="D21" s="15">
        <v>1955281667.4656599</v>
      </c>
      <c r="E21" s="15">
        <v>354523593.81294382</v>
      </c>
      <c r="F21" s="15">
        <v>326746921.9227528</v>
      </c>
      <c r="G21" s="15">
        <v>173472707.66993433</v>
      </c>
      <c r="H21" s="15">
        <v>151130522.875745</v>
      </c>
      <c r="I21" s="15">
        <v>52058300.526591644</v>
      </c>
      <c r="J21" s="15">
        <v>26895855.982144922</v>
      </c>
      <c r="K21" s="15">
        <v>17786128.539812725</v>
      </c>
      <c r="L21" s="15">
        <v>15838250.358792681</v>
      </c>
      <c r="M21" s="15">
        <v>4411244.5628316505</v>
      </c>
      <c r="N21" s="13"/>
    </row>
    <row r="22" spans="1:14">
      <c r="A22" s="13">
        <f t="shared" si="0"/>
        <v>14</v>
      </c>
      <c r="B22" s="15" t="s">
        <v>30</v>
      </c>
      <c r="C22" s="15">
        <v>-1073383335.7003757</v>
      </c>
      <c r="D22" s="15">
        <v>-684146637.60112512</v>
      </c>
      <c r="E22" s="15">
        <v>-122998522.30838844</v>
      </c>
      <c r="F22" s="15">
        <v>-112660250.4625434</v>
      </c>
      <c r="G22" s="15">
        <v>-59125704.511818126</v>
      </c>
      <c r="H22" s="15">
        <v>-51923857.705679543</v>
      </c>
      <c r="I22" s="15">
        <v>-18615749.23957441</v>
      </c>
      <c r="J22" s="15">
        <v>-9341760.2000306696</v>
      </c>
      <c r="K22" s="15">
        <v>-6831811.2621987946</v>
      </c>
      <c r="L22" s="15">
        <v>-5448445.0721069798</v>
      </c>
      <c r="M22" s="15">
        <v>-2290597.3369102105</v>
      </c>
      <c r="N22" s="13"/>
    </row>
    <row r="23" spans="1:14">
      <c r="A23" s="13">
        <f t="shared" si="0"/>
        <v>15</v>
      </c>
      <c r="B23" s="15" t="s">
        <v>96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3"/>
    </row>
    <row r="24" spans="1:14">
      <c r="A24" s="13">
        <f t="shared" si="0"/>
        <v>16</v>
      </c>
      <c r="B24" s="15" t="s">
        <v>97</v>
      </c>
      <c r="C24" s="15">
        <v>82659239.969742998</v>
      </c>
      <c r="D24" s="15">
        <v>52506326.501222059</v>
      </c>
      <c r="E24" s="15">
        <v>9520230.1943824589</v>
      </c>
      <c r="F24" s="15">
        <v>8774326.9172990806</v>
      </c>
      <c r="G24" s="15">
        <v>4658364.4594665999</v>
      </c>
      <c r="H24" s="15">
        <v>4058396.6547897076</v>
      </c>
      <c r="I24" s="15">
        <v>1397952.1058420434</v>
      </c>
      <c r="J24" s="15">
        <v>722250.21040512051</v>
      </c>
      <c r="K24" s="15">
        <v>477621.35135986091</v>
      </c>
      <c r="L24" s="15">
        <v>425313.83502651862</v>
      </c>
      <c r="M24" s="15">
        <v>118457.7399495549</v>
      </c>
      <c r="N24" s="13"/>
    </row>
    <row r="25" spans="1:14">
      <c r="A25" s="13">
        <f t="shared" si="0"/>
        <v>17</v>
      </c>
      <c r="B25" s="15" t="s">
        <v>98</v>
      </c>
      <c r="C25" s="15">
        <v>-169475427.76687235</v>
      </c>
      <c r="D25" s="15">
        <v>-108464335.16918166</v>
      </c>
      <c r="E25" s="15">
        <v>-20144239.062273841</v>
      </c>
      <c r="F25" s="15">
        <v>-17584033.658763252</v>
      </c>
      <c r="G25" s="15">
        <v>-8141504.1305160839</v>
      </c>
      <c r="H25" s="15">
        <v>-9090407.7669785209</v>
      </c>
      <c r="I25" s="15">
        <v>-2390188.1526998011</v>
      </c>
      <c r="J25" s="15">
        <v>-684463.86870089907</v>
      </c>
      <c r="K25" s="15">
        <v>-1526403.836087625</v>
      </c>
      <c r="L25" s="15">
        <v>-1108105.9589544905</v>
      </c>
      <c r="M25" s="15">
        <v>-341746.16271617357</v>
      </c>
      <c r="N25" s="13"/>
    </row>
    <row r="26" spans="1:14" ht="15.75" thickBot="1">
      <c r="A26" s="13">
        <f t="shared" si="0"/>
        <v>18</v>
      </c>
      <c r="B26" s="17" t="s">
        <v>32</v>
      </c>
      <c r="C26" s="17">
        <f>SUM(C21:C25)</f>
        <v>1917945670.2197044</v>
      </c>
      <c r="D26" s="17">
        <f>SUM(D21:D25)</f>
        <v>1215177021.1965754</v>
      </c>
      <c r="E26" s="17">
        <f t="shared" ref="E26:M26" si="3">SUM(E21:E25)</f>
        <v>220901062.636664</v>
      </c>
      <c r="F26" s="17">
        <f t="shared" si="3"/>
        <v>205276964.71874523</v>
      </c>
      <c r="G26" s="17">
        <f t="shared" si="3"/>
        <v>110863863.48706673</v>
      </c>
      <c r="H26" s="17">
        <f t="shared" si="3"/>
        <v>94174654.057876647</v>
      </c>
      <c r="I26" s="17">
        <f t="shared" si="3"/>
        <v>32450315.240159478</v>
      </c>
      <c r="J26" s="17">
        <f t="shared" si="3"/>
        <v>17591882.123818472</v>
      </c>
      <c r="K26" s="17">
        <f t="shared" si="3"/>
        <v>9905534.7928861659</v>
      </c>
      <c r="L26" s="17">
        <f t="shared" si="3"/>
        <v>9707013.1627577301</v>
      </c>
      <c r="M26" s="17">
        <f t="shared" si="3"/>
        <v>1897358.8031548215</v>
      </c>
      <c r="N26" s="13"/>
    </row>
    <row r="27" spans="1:14" ht="15.75" thickTop="1"/>
  </sheetData>
  <printOptions horizontalCentered="1"/>
  <pageMargins left="0.5" right="0.5" top="0.75" bottom="0.75" header="0.3" footer="0.3"/>
  <pageSetup scale="53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27"/>
  <sheetViews>
    <sheetView showGridLines="0" view="pageLayout" topLeftCell="A64" zoomScaleNormal="100" workbookViewId="0">
      <selection sqref="A1:E1"/>
    </sheetView>
  </sheetViews>
  <sheetFormatPr defaultRowHeight="15"/>
  <cols>
    <col min="1" max="1" width="7.5703125" bestFit="1" customWidth="1"/>
    <col min="2" max="2" width="30" bestFit="1" customWidth="1"/>
    <col min="3" max="3" width="3.140625" bestFit="1" customWidth="1"/>
    <col min="4" max="4" width="13.5703125" customWidth="1"/>
    <col min="5" max="5" width="13.42578125" customWidth="1"/>
    <col min="6" max="6" width="14.85546875" customWidth="1"/>
    <col min="7" max="7" width="13.28515625" customWidth="1"/>
    <col min="8" max="8" width="14.7109375" customWidth="1"/>
    <col min="9" max="10" width="12.42578125" customWidth="1"/>
    <col min="11" max="11" width="12.140625" customWidth="1"/>
    <col min="12" max="12" width="10.7109375" customWidth="1"/>
    <col min="13" max="13" width="13.7109375" customWidth="1"/>
    <col min="14" max="14" width="12.5703125" bestFit="1" customWidth="1"/>
  </cols>
  <sheetData>
    <row r="1" spans="1:14" ht="15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5.75">
      <c r="A2" s="3" t="s">
        <v>100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5.7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5.7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4"/>
    </row>
    <row r="6" spans="1:14" ht="63.75">
      <c r="A6" s="6" t="s">
        <v>3</v>
      </c>
      <c r="B6" s="6" t="s">
        <v>4</v>
      </c>
      <c r="C6" s="6"/>
      <c r="D6" s="6" t="s">
        <v>5</v>
      </c>
      <c r="E6" s="6" t="str">
        <f>+'JAP-4, p1-4 ECOS Summary'!E6</f>
        <v>Residential
Sch 7</v>
      </c>
      <c r="F6" s="6" t="str">
        <f>+'JAP-4, p1-4 ECOS Summary'!F6</f>
        <v>Sec Volt
Sch 24
(kW&lt; 50)</v>
      </c>
      <c r="G6" s="49" t="str">
        <f>+'JAP-4, p1-4 ECOS Summary'!G6</f>
        <v>Sec Volt
Sch 25
(kW &gt; 50 &amp; &lt; 350)</v>
      </c>
      <c r="H6" s="49" t="str">
        <f>+'JAP-4, p1-4 ECOS Summary'!H6</f>
        <v>Sec Volt
Sch 26
(kW &gt; 350)</v>
      </c>
      <c r="I6" s="49" t="str">
        <f>+'JAP-4, p1-4 ECOS Summary'!I6</f>
        <v>Pri Volt
Sch 31/35/43</v>
      </c>
      <c r="J6" s="49" t="str">
        <f>+'JAP-4, p1-4 ECOS Summary'!J6</f>
        <v>Campus
Sch 40</v>
      </c>
      <c r="K6" s="49" t="str">
        <f>+'JAP-4, p1-4 ECOS Summary'!K6</f>
        <v>High Volt
Sch 46/49</v>
      </c>
      <c r="L6" s="49" t="str">
        <f>+'JAP-4, p1-4 ECOS Summary'!L6</f>
        <v>Choice /
Retail Wheeling
Sch 448/449</v>
      </c>
      <c r="M6" s="49" t="str">
        <f>+'JAP-4, p1-4 ECOS Summary'!M6</f>
        <v>Lighting
Sch 50-59</v>
      </c>
      <c r="N6" s="6" t="str">
        <f>+'JAP-4, p1-4 ECOS Summary'!N6</f>
        <v>Firm Resale /
Special Contract</v>
      </c>
    </row>
    <row r="7" spans="1:14">
      <c r="A7" s="9"/>
      <c r="B7" s="10" t="s">
        <v>16</v>
      </c>
      <c r="C7" s="10" t="s">
        <v>17</v>
      </c>
      <c r="D7" s="10" t="s">
        <v>18</v>
      </c>
      <c r="E7" s="10" t="s">
        <v>19</v>
      </c>
      <c r="F7" s="10" t="s">
        <v>20</v>
      </c>
      <c r="G7" s="10" t="s">
        <v>89</v>
      </c>
      <c r="H7" s="10" t="s">
        <v>21</v>
      </c>
      <c r="I7" s="10" t="s">
        <v>22</v>
      </c>
      <c r="J7" s="11" t="s">
        <v>90</v>
      </c>
      <c r="K7" s="11" t="s">
        <v>91</v>
      </c>
      <c r="L7" s="10" t="s">
        <v>23</v>
      </c>
      <c r="M7" s="11" t="s">
        <v>24</v>
      </c>
      <c r="N7" s="10" t="s">
        <v>25</v>
      </c>
    </row>
    <row r="8" spans="1:14">
      <c r="A8" s="1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2"/>
    </row>
    <row r="9" spans="1:14">
      <c r="A9" s="13">
        <v>1</v>
      </c>
      <c r="B9" s="5" t="s">
        <v>92</v>
      </c>
      <c r="C9" s="5"/>
      <c r="D9" s="9"/>
      <c r="E9" s="15"/>
      <c r="F9" s="15"/>
      <c r="G9" s="15"/>
      <c r="H9" s="15"/>
      <c r="I9" s="15"/>
      <c r="J9" s="15"/>
      <c r="K9" s="15"/>
      <c r="L9" s="15"/>
      <c r="M9" s="15"/>
      <c r="N9" s="13"/>
    </row>
    <row r="10" spans="1:14">
      <c r="A10" s="13">
        <f>+A9+1</f>
        <v>2</v>
      </c>
      <c r="B10" s="15" t="s">
        <v>39</v>
      </c>
      <c r="C10" s="15"/>
      <c r="D10" s="15">
        <v>84177410.787256181</v>
      </c>
      <c r="E10" s="15">
        <v>62177043.083826885</v>
      </c>
      <c r="F10" s="15">
        <v>10470747.460096801</v>
      </c>
      <c r="G10" s="15">
        <v>2660048.7648221999</v>
      </c>
      <c r="H10" s="15">
        <v>612226.21101254004</v>
      </c>
      <c r="I10" s="15">
        <v>1745626.4365289637</v>
      </c>
      <c r="J10" s="15">
        <v>822635.15520035301</v>
      </c>
      <c r="K10" s="15">
        <v>355641.18368003628</v>
      </c>
      <c r="L10" s="15">
        <v>154579.76672000636</v>
      </c>
      <c r="M10" s="15">
        <v>5117555.7376580164</v>
      </c>
      <c r="N10" s="15">
        <v>61306.987710387482</v>
      </c>
    </row>
    <row r="11" spans="1:14">
      <c r="A11" s="13">
        <f t="shared" ref="A11:A26" si="0">+A10+1</f>
        <v>3</v>
      </c>
      <c r="B11" s="15" t="s">
        <v>40</v>
      </c>
      <c r="C11" s="15"/>
      <c r="D11" s="15">
        <v>35915220.332503736</v>
      </c>
      <c r="E11" s="15">
        <v>25741555.129195455</v>
      </c>
      <c r="F11" s="15">
        <v>4723228.4778758995</v>
      </c>
      <c r="G11" s="15">
        <v>1943842.6117033008</v>
      </c>
      <c r="H11" s="15">
        <v>420815.54279822408</v>
      </c>
      <c r="I11" s="15">
        <v>648716.92132605729</v>
      </c>
      <c r="J11" s="15">
        <v>207927.46175197946</v>
      </c>
      <c r="K11" s="15">
        <v>53277.867162109818</v>
      </c>
      <c r="L11" s="15">
        <v>24491.870925729432</v>
      </c>
      <c r="M11" s="15">
        <v>2136356.6383530921</v>
      </c>
      <c r="N11" s="15">
        <v>15007.811411892524</v>
      </c>
    </row>
    <row r="12" spans="1:14">
      <c r="A12" s="13">
        <f t="shared" si="0"/>
        <v>4</v>
      </c>
      <c r="B12" s="15" t="s">
        <v>41</v>
      </c>
      <c r="C12" s="15"/>
      <c r="D12" s="15">
        <v>12611189.079747496</v>
      </c>
      <c r="E12" s="15">
        <v>9106823.5093136076</v>
      </c>
      <c r="F12" s="15">
        <v>1612896.9232367626</v>
      </c>
      <c r="G12" s="15">
        <v>616726.05797910539</v>
      </c>
      <c r="H12" s="15">
        <v>136334.3882306345</v>
      </c>
      <c r="I12" s="15">
        <v>244372.46195149809</v>
      </c>
      <c r="J12" s="15">
        <v>90407.479333926793</v>
      </c>
      <c r="K12" s="15">
        <v>29470.890570645217</v>
      </c>
      <c r="L12" s="15">
        <v>13152.938981129881</v>
      </c>
      <c r="M12" s="15">
        <v>754422.69566897326</v>
      </c>
      <c r="N12" s="15">
        <v>6581.734481211718</v>
      </c>
    </row>
    <row r="13" spans="1:14">
      <c r="A13" s="13">
        <f t="shared" si="0"/>
        <v>5</v>
      </c>
      <c r="B13" s="15" t="s">
        <v>42</v>
      </c>
      <c r="C13" s="15"/>
      <c r="D13" s="15">
        <v>7142060.4819848603</v>
      </c>
      <c r="E13" s="15">
        <v>4807628.1298247417</v>
      </c>
      <c r="F13" s="15">
        <v>872655.01507906569</v>
      </c>
      <c r="G13" s="15">
        <v>531088.99112335034</v>
      </c>
      <c r="H13" s="15">
        <v>116941.99632879262</v>
      </c>
      <c r="I13" s="15">
        <v>200607.28724026651</v>
      </c>
      <c r="J13" s="15">
        <v>48435.427124695139</v>
      </c>
      <c r="K13" s="15">
        <v>10268.878722805463</v>
      </c>
      <c r="L13" s="15">
        <v>4993.8576053601882</v>
      </c>
      <c r="M13" s="15">
        <v>545418.76514119853</v>
      </c>
      <c r="N13" s="15">
        <v>4022.13379458292</v>
      </c>
    </row>
    <row r="14" spans="1:14" ht="15.75" thickBot="1">
      <c r="A14" s="13">
        <f t="shared" si="0"/>
        <v>6</v>
      </c>
      <c r="B14" s="17" t="s">
        <v>93</v>
      </c>
      <c r="C14" s="17"/>
      <c r="D14" s="22">
        <f>SUM(D10:D13)</f>
        <v>139845880.68149227</v>
      </c>
      <c r="E14" s="22">
        <f t="shared" ref="E14:N14" si="1">SUM(E10:E13)</f>
        <v>101833049.85216069</v>
      </c>
      <c r="F14" s="22">
        <f t="shared" si="1"/>
        <v>17679527.876288529</v>
      </c>
      <c r="G14" s="22">
        <f t="shared" si="1"/>
        <v>5751706.4256279562</v>
      </c>
      <c r="H14" s="22">
        <f t="shared" si="1"/>
        <v>1286318.1383701912</v>
      </c>
      <c r="I14" s="22">
        <f t="shared" si="1"/>
        <v>2839323.1070467853</v>
      </c>
      <c r="J14" s="22">
        <f t="shared" si="1"/>
        <v>1169405.5234109543</v>
      </c>
      <c r="K14" s="22">
        <f t="shared" si="1"/>
        <v>448658.82013559679</v>
      </c>
      <c r="L14" s="22">
        <f t="shared" si="1"/>
        <v>197218.43423222585</v>
      </c>
      <c r="M14" s="22">
        <f t="shared" si="1"/>
        <v>8553753.8368212804</v>
      </c>
      <c r="N14" s="22">
        <f t="shared" si="1"/>
        <v>86918.667398074642</v>
      </c>
    </row>
    <row r="15" spans="1:14" ht="15.75" thickTop="1">
      <c r="A15" s="13">
        <f t="shared" si="0"/>
        <v>7</v>
      </c>
      <c r="B15" s="9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</row>
    <row r="16" spans="1:14">
      <c r="A16" s="13">
        <f t="shared" si="0"/>
        <v>8</v>
      </c>
      <c r="B16" s="15" t="s">
        <v>94</v>
      </c>
      <c r="C16" s="15"/>
      <c r="D16" s="15">
        <v>32653798.027076401</v>
      </c>
      <c r="E16" s="15">
        <v>21980676.071922541</v>
      </c>
      <c r="F16" s="15">
        <v>3989815.0794976018</v>
      </c>
      <c r="G16" s="15">
        <v>2428160.9899957161</v>
      </c>
      <c r="H16" s="15">
        <v>534663.67844903364</v>
      </c>
      <c r="I16" s="15">
        <v>917184.87358467176</v>
      </c>
      <c r="J16" s="15">
        <v>221448.79039800973</v>
      </c>
      <c r="K16" s="15">
        <v>46949.741272121413</v>
      </c>
      <c r="L16" s="15">
        <v>22832.124991483201</v>
      </c>
      <c r="M16" s="15">
        <v>2493677.3137138854</v>
      </c>
      <c r="N16" s="15">
        <v>18389.363251330069</v>
      </c>
    </row>
    <row r="17" spans="1:14">
      <c r="A17" s="13">
        <f t="shared" si="0"/>
        <v>9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5.75" thickBot="1">
      <c r="A18" s="13">
        <f t="shared" si="0"/>
        <v>10</v>
      </c>
      <c r="B18" s="17" t="s">
        <v>95</v>
      </c>
      <c r="C18" s="17"/>
      <c r="D18" s="22">
        <f>+D16+D14</f>
        <v>172499678.70856866</v>
      </c>
      <c r="E18" s="22">
        <f t="shared" ref="E18:N18" si="2">+E16+E14</f>
        <v>123813725.92408323</v>
      </c>
      <c r="F18" s="22">
        <f t="shared" si="2"/>
        <v>21669342.955786131</v>
      </c>
      <c r="G18" s="22">
        <f t="shared" si="2"/>
        <v>8179867.4156236723</v>
      </c>
      <c r="H18" s="22">
        <f t="shared" si="2"/>
        <v>1820981.816819225</v>
      </c>
      <c r="I18" s="22">
        <f t="shared" si="2"/>
        <v>3756507.9806314572</v>
      </c>
      <c r="J18" s="22">
        <f t="shared" si="2"/>
        <v>1390854.3138089641</v>
      </c>
      <c r="K18" s="22">
        <f t="shared" si="2"/>
        <v>495608.56140771823</v>
      </c>
      <c r="L18" s="22">
        <f t="shared" si="2"/>
        <v>220050.55922370905</v>
      </c>
      <c r="M18" s="22">
        <f t="shared" si="2"/>
        <v>11047431.150535166</v>
      </c>
      <c r="N18" s="22">
        <f t="shared" si="2"/>
        <v>105308.03064940471</v>
      </c>
    </row>
    <row r="19" spans="1:14" ht="15.75" thickTop="1">
      <c r="A19" s="13">
        <f t="shared" si="0"/>
        <v>11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</row>
    <row r="20" spans="1:14">
      <c r="A20" s="13">
        <f t="shared" si="0"/>
        <v>12</v>
      </c>
      <c r="B20" s="14" t="s">
        <v>28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>
      <c r="A21" s="13">
        <f t="shared" si="0"/>
        <v>13</v>
      </c>
      <c r="B21" s="15" t="s">
        <v>29</v>
      </c>
      <c r="C21" s="15"/>
      <c r="D21" s="15">
        <v>870182406.44814205</v>
      </c>
      <c r="E21" s="15">
        <v>608969698.57442605</v>
      </c>
      <c r="F21" s="15">
        <v>116934806.9850903</v>
      </c>
      <c r="G21" s="15">
        <v>51528630.364391081</v>
      </c>
      <c r="H21" s="15">
        <v>10875416.825325537</v>
      </c>
      <c r="I21" s="15">
        <v>17466286.360958412</v>
      </c>
      <c r="J21" s="15">
        <v>4357149.4679342704</v>
      </c>
      <c r="K21" s="15">
        <v>890893.67980332684</v>
      </c>
      <c r="L21" s="15">
        <v>433139.75559865683</v>
      </c>
      <c r="M21" s="15">
        <v>58376756.624496184</v>
      </c>
      <c r="N21" s="15">
        <v>349627.8101180857</v>
      </c>
    </row>
    <row r="22" spans="1:14">
      <c r="A22" s="13">
        <f t="shared" si="0"/>
        <v>14</v>
      </c>
      <c r="B22" s="15" t="s">
        <v>30</v>
      </c>
      <c r="C22" s="15"/>
      <c r="D22" s="15">
        <v>-347271040.98091483</v>
      </c>
      <c r="E22" s="15">
        <v>-251709516.81848979</v>
      </c>
      <c r="F22" s="15">
        <v>-41194967.024723604</v>
      </c>
      <c r="G22" s="15">
        <v>-17643029.035528708</v>
      </c>
      <c r="H22" s="15">
        <v>-3762628.1848668088</v>
      </c>
      <c r="I22" s="15">
        <v>-5539809.1532274634</v>
      </c>
      <c r="J22" s="15">
        <v>-1519311.8258066191</v>
      </c>
      <c r="K22" s="15">
        <v>-301314.03774440824</v>
      </c>
      <c r="L22" s="15">
        <v>-145047.81122086736</v>
      </c>
      <c r="M22" s="15">
        <v>-25342501.856471583</v>
      </c>
      <c r="N22" s="15">
        <v>-112915.23283494156</v>
      </c>
    </row>
    <row r="23" spans="1:14">
      <c r="A23" s="13">
        <f t="shared" si="0"/>
        <v>15</v>
      </c>
      <c r="B23" s="15" t="s">
        <v>96</v>
      </c>
      <c r="C23" s="15"/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</row>
    <row r="24" spans="1:14">
      <c r="A24" s="13">
        <f t="shared" si="0"/>
        <v>16</v>
      </c>
      <c r="B24" s="15" t="s">
        <v>97</v>
      </c>
      <c r="C24" s="15"/>
      <c r="D24" s="15">
        <v>23367519.017250594</v>
      </c>
      <c r="E24" s="15">
        <v>16353020.822899504</v>
      </c>
      <c r="F24" s="15">
        <v>3140119.0207417342</v>
      </c>
      <c r="G24" s="15">
        <v>1383728.5620236711</v>
      </c>
      <c r="H24" s="15">
        <v>292043.95262784063</v>
      </c>
      <c r="I24" s="15">
        <v>469032.44156173774</v>
      </c>
      <c r="J24" s="15">
        <v>117005.09260873577</v>
      </c>
      <c r="K24" s="15">
        <v>23923.690999598755</v>
      </c>
      <c r="L24" s="15">
        <v>11631.356139906131</v>
      </c>
      <c r="M24" s="15">
        <v>1567625.3168072049</v>
      </c>
      <c r="N24" s="15">
        <v>9388.7608406628151</v>
      </c>
    </row>
    <row r="25" spans="1:14">
      <c r="A25" s="13">
        <f t="shared" si="0"/>
        <v>17</v>
      </c>
      <c r="B25" s="15" t="s">
        <v>98</v>
      </c>
      <c r="C25" s="15"/>
      <c r="D25" s="15">
        <v>-158466556.37193146</v>
      </c>
      <c r="E25" s="15">
        <v>-112560042.57975574</v>
      </c>
      <c r="F25" s="15">
        <v>-31494981.789925508</v>
      </c>
      <c r="G25" s="15">
        <v>-6431313.3826233726</v>
      </c>
      <c r="H25" s="15">
        <v>-1054907.67088902</v>
      </c>
      <c r="I25" s="15">
        <v>-1502577.6589759197</v>
      </c>
      <c r="J25" s="15">
        <v>-324809.59461750637</v>
      </c>
      <c r="K25" s="15">
        <v>-55905.455717407829</v>
      </c>
      <c r="L25" s="15">
        <v>-28557.920571339346</v>
      </c>
      <c r="M25" s="15">
        <v>-4985759.969464995</v>
      </c>
      <c r="N25" s="15">
        <v>-27700.349390670752</v>
      </c>
    </row>
    <row r="26" spans="1:14" ht="15.75" thickBot="1">
      <c r="A26" s="13">
        <f t="shared" si="0"/>
        <v>18</v>
      </c>
      <c r="B26" s="17" t="s">
        <v>32</v>
      </c>
      <c r="C26" s="17"/>
      <c r="D26" s="17">
        <f>SUM(D21:D25)</f>
        <v>387812328.11254632</v>
      </c>
      <c r="E26" s="17">
        <f t="shared" ref="E26:N26" si="3">SUM(E21:E25)</f>
        <v>261053159.99908006</v>
      </c>
      <c r="F26" s="17">
        <f t="shared" si="3"/>
        <v>47384977.191182919</v>
      </c>
      <c r="G26" s="17">
        <f t="shared" si="3"/>
        <v>28838016.508262664</v>
      </c>
      <c r="H26" s="17">
        <f t="shared" si="3"/>
        <v>6349924.9221975496</v>
      </c>
      <c r="I26" s="17">
        <f t="shared" si="3"/>
        <v>10892931.990316767</v>
      </c>
      <c r="J26" s="17">
        <f t="shared" si="3"/>
        <v>2630033.1401188807</v>
      </c>
      <c r="K26" s="17">
        <f t="shared" si="3"/>
        <v>557597.87734110944</v>
      </c>
      <c r="L26" s="17">
        <f t="shared" si="3"/>
        <v>271165.37994635629</v>
      </c>
      <c r="M26" s="17">
        <f t="shared" si="3"/>
        <v>29616120.115366809</v>
      </c>
      <c r="N26" s="17">
        <f t="shared" si="3"/>
        <v>218400.98873313621</v>
      </c>
    </row>
    <row r="27" spans="1:14" ht="15.75" thickTop="1"/>
  </sheetData>
  <printOptions horizontalCentered="1"/>
  <pageMargins left="0.5" right="0.5" top="0.75" bottom="0.75" header="0.3" footer="0.3"/>
  <pageSetup scale="53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60"/>
  <sheetViews>
    <sheetView showGridLines="0" zoomScaleNormal="100" workbookViewId="0">
      <selection activeCell="C14" sqref="C14"/>
    </sheetView>
  </sheetViews>
  <sheetFormatPr defaultRowHeight="15"/>
  <cols>
    <col min="1" max="1" width="8" bestFit="1" customWidth="1"/>
    <col min="2" max="2" width="7.5703125" bestFit="1" customWidth="1"/>
    <col min="3" max="3" width="44.7109375" bestFit="1" customWidth="1"/>
    <col min="4" max="4" width="20.140625" bestFit="1" customWidth="1"/>
    <col min="5" max="6" width="13.5703125" bestFit="1" customWidth="1"/>
    <col min="7" max="7" width="12" bestFit="1" customWidth="1"/>
    <col min="8" max="8" width="16" bestFit="1" customWidth="1"/>
    <col min="9" max="10" width="12" bestFit="1" customWidth="1"/>
    <col min="11" max="12" width="11" bestFit="1" customWidth="1"/>
    <col min="13" max="13" width="14" bestFit="1" customWidth="1"/>
    <col min="14" max="14" width="11" bestFit="1" customWidth="1"/>
    <col min="15" max="15" width="11.5703125" bestFit="1" customWidth="1"/>
  </cols>
  <sheetData>
    <row r="1" spans="1:16" s="23" customFormat="1" ht="15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s="23" customFormat="1" ht="15.75">
      <c r="A2" s="3" t="s">
        <v>557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23" customFormat="1" ht="15.75">
      <c r="A3" s="3" t="s">
        <v>558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15.75">
      <c r="A4" s="3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6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6" s="9" customFormat="1" ht="38.25">
      <c r="A6" s="64" t="s">
        <v>3</v>
      </c>
      <c r="B6" s="64" t="s">
        <v>101</v>
      </c>
      <c r="C6" s="65" t="s">
        <v>102</v>
      </c>
      <c r="D6" s="66" t="s">
        <v>103</v>
      </c>
      <c r="E6" s="67" t="s">
        <v>79</v>
      </c>
      <c r="F6" s="68" t="str">
        <f>+'JAP-4, p1-4 ECOS Summary'!E6</f>
        <v>Residential
Sch 7</v>
      </c>
      <c r="G6" s="68" t="str">
        <f>+'JAP-4, p1-4 ECOS Summary'!F6</f>
        <v>Sec Volt
Sch 24
(kW&lt; 50)</v>
      </c>
      <c r="H6" s="68" t="str">
        <f>+'JAP-4, p1-4 ECOS Summary'!G6</f>
        <v>Sec Volt
Sch 25
(kW &gt; 50 &amp; &lt; 350)</v>
      </c>
      <c r="I6" s="68" t="str">
        <f>+'JAP-4, p1-4 ECOS Summary'!H6</f>
        <v>Sec Volt
Sch 26
(kW &gt; 350)</v>
      </c>
      <c r="J6" s="68" t="str">
        <f>+'JAP-4, p1-4 ECOS Summary'!I6</f>
        <v>Pri Volt
Sch 31/35/43</v>
      </c>
      <c r="K6" s="68" t="str">
        <f>+'JAP-4, p1-4 ECOS Summary'!J6</f>
        <v>Campus
Sch 40</v>
      </c>
      <c r="L6" s="68" t="str">
        <f>+'JAP-4, p1-4 ECOS Summary'!K6</f>
        <v>High Volt
Sch 46/49</v>
      </c>
      <c r="M6" s="68" t="str">
        <f>+'JAP-4, p1-4 ECOS Summary'!L6</f>
        <v>Choice /
Retail Wheeling
Sch 448/449</v>
      </c>
      <c r="N6" s="68" t="str">
        <f>+'JAP-4, p1-4 ECOS Summary'!M6</f>
        <v>Lighting
Sch 50-59</v>
      </c>
      <c r="O6" s="68" t="str">
        <f>+'JAP-4, p1-4 ECOS Summary'!N6</f>
        <v>Firm Resale /
Special Contract</v>
      </c>
    </row>
    <row r="7" spans="1:16" s="9" customFormat="1" ht="12.75">
      <c r="B7" s="10" t="s">
        <v>16</v>
      </c>
      <c r="C7" s="10" t="s">
        <v>17</v>
      </c>
      <c r="D7" s="10" t="s">
        <v>18</v>
      </c>
      <c r="E7" s="10" t="s">
        <v>19</v>
      </c>
      <c r="F7" s="10" t="s">
        <v>20</v>
      </c>
      <c r="G7" s="11" t="s">
        <v>89</v>
      </c>
      <c r="H7" s="11" t="s">
        <v>21</v>
      </c>
      <c r="I7" s="10" t="s">
        <v>22</v>
      </c>
      <c r="J7" s="11" t="s">
        <v>90</v>
      </c>
      <c r="K7" s="11" t="s">
        <v>91</v>
      </c>
      <c r="L7" s="11" t="s">
        <v>23</v>
      </c>
      <c r="M7" s="11" t="s">
        <v>24</v>
      </c>
      <c r="N7" s="11" t="s">
        <v>25</v>
      </c>
      <c r="O7" s="11" t="s">
        <v>26</v>
      </c>
      <c r="P7" s="11"/>
    </row>
    <row r="8" spans="1:16" ht="15.75">
      <c r="A8" s="13">
        <v>1</v>
      </c>
      <c r="B8" s="53"/>
      <c r="C8" s="69" t="s">
        <v>104</v>
      </c>
      <c r="D8" s="70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</row>
    <row r="9" spans="1:16">
      <c r="A9" s="13">
        <f t="shared" ref="A9:A51" si="0">+A8+1</f>
        <v>2</v>
      </c>
      <c r="B9" s="43">
        <v>447</v>
      </c>
      <c r="C9" s="53" t="s">
        <v>105</v>
      </c>
      <c r="D9" s="70" t="s">
        <v>106</v>
      </c>
      <c r="E9" s="53">
        <v>1982180191</v>
      </c>
      <c r="F9" s="53">
        <v>1090438631</v>
      </c>
      <c r="G9" s="53">
        <v>247119136</v>
      </c>
      <c r="H9" s="53">
        <v>260112912.99999997</v>
      </c>
      <c r="I9" s="53">
        <v>163042665</v>
      </c>
      <c r="J9" s="53">
        <v>118252425</v>
      </c>
      <c r="K9" s="53">
        <v>49604102</v>
      </c>
      <c r="L9" s="53">
        <v>36634746</v>
      </c>
      <c r="M9" s="53">
        <v>0</v>
      </c>
      <c r="N9" s="53">
        <v>16975573</v>
      </c>
      <c r="O9" s="53">
        <v>0</v>
      </c>
    </row>
    <row r="10" spans="1:16">
      <c r="A10" s="13">
        <f t="shared" si="0"/>
        <v>3</v>
      </c>
      <c r="B10" s="43">
        <v>447.01</v>
      </c>
      <c r="C10" s="53" t="s">
        <v>107</v>
      </c>
      <c r="D10" s="70" t="s">
        <v>108</v>
      </c>
      <c r="E10" s="53">
        <v>6075595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6075595</v>
      </c>
      <c r="N10" s="53">
        <v>0</v>
      </c>
      <c r="O10" s="53">
        <v>0</v>
      </c>
    </row>
    <row r="11" spans="1:16">
      <c r="A11" s="13">
        <f t="shared" si="0"/>
        <v>4</v>
      </c>
      <c r="B11" s="43">
        <v>447.02</v>
      </c>
      <c r="C11" s="53" t="s">
        <v>109</v>
      </c>
      <c r="D11" s="70" t="s">
        <v>110</v>
      </c>
      <c r="E11" s="53">
        <v>337876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337876</v>
      </c>
    </row>
    <row r="12" spans="1:16">
      <c r="A12" s="13">
        <f t="shared" si="0"/>
        <v>5</v>
      </c>
      <c r="B12" s="43">
        <v>447.03</v>
      </c>
      <c r="C12" s="53" t="s">
        <v>111</v>
      </c>
      <c r="D12" s="70" t="s">
        <v>112</v>
      </c>
      <c r="E12" s="53">
        <v>-11929320</v>
      </c>
      <c r="F12" s="53">
        <v>-7123035.5971032381</v>
      </c>
      <c r="G12" s="53">
        <v>-1395874.1170120439</v>
      </c>
      <c r="H12" s="53">
        <v>-1434753.1202711572</v>
      </c>
      <c r="I12" s="53">
        <v>-863808.07241050387</v>
      </c>
      <c r="J12" s="53">
        <v>-640570.05369711376</v>
      </c>
      <c r="K12" s="53">
        <v>-222670.01866577633</v>
      </c>
      <c r="L12" s="53">
        <v>-196641.0164838412</v>
      </c>
      <c r="M12" s="53">
        <v>-51968.004356325793</v>
      </c>
      <c r="N12" s="53">
        <v>0</v>
      </c>
      <c r="O12" s="53">
        <v>0</v>
      </c>
    </row>
    <row r="13" spans="1:16">
      <c r="A13" s="13">
        <f t="shared" si="0"/>
        <v>6</v>
      </c>
      <c r="B13" s="43">
        <v>447.04</v>
      </c>
      <c r="C13" s="53" t="s">
        <v>113</v>
      </c>
      <c r="D13" s="70" t="s">
        <v>114</v>
      </c>
      <c r="E13" s="53">
        <v>1009892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1009892</v>
      </c>
      <c r="N13" s="53">
        <v>0</v>
      </c>
      <c r="O13" s="53">
        <v>0</v>
      </c>
    </row>
    <row r="14" spans="1:16">
      <c r="A14" s="13">
        <f t="shared" si="0"/>
        <v>7</v>
      </c>
      <c r="B14" s="43">
        <v>447.05</v>
      </c>
      <c r="C14" s="53" t="s">
        <v>115</v>
      </c>
      <c r="D14" s="70" t="s">
        <v>116</v>
      </c>
      <c r="E14" s="53">
        <v>879870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879870</v>
      </c>
    </row>
    <row r="15" spans="1:16">
      <c r="A15" s="71">
        <f t="shared" si="0"/>
        <v>8</v>
      </c>
      <c r="B15" s="72"/>
      <c r="C15" s="73" t="s">
        <v>117</v>
      </c>
      <c r="D15" s="74"/>
      <c r="E15" s="73">
        <f t="shared" ref="E15:O15" si="1">SUM(E9:E14)</f>
        <v>1978554104</v>
      </c>
      <c r="F15" s="73">
        <f t="shared" si="1"/>
        <v>1083315595.4028969</v>
      </c>
      <c r="G15" s="73">
        <f t="shared" si="1"/>
        <v>245723261.88298795</v>
      </c>
      <c r="H15" s="73">
        <f t="shared" si="1"/>
        <v>258678159.87972882</v>
      </c>
      <c r="I15" s="73">
        <f t="shared" si="1"/>
        <v>162178856.92758951</v>
      </c>
      <c r="J15" s="73">
        <f t="shared" si="1"/>
        <v>117611854.94630289</v>
      </c>
      <c r="K15" s="73">
        <f t="shared" si="1"/>
        <v>49381431.981334224</v>
      </c>
      <c r="L15" s="73">
        <f t="shared" si="1"/>
        <v>36438104.983516157</v>
      </c>
      <c r="M15" s="73">
        <f t="shared" si="1"/>
        <v>7033518.9956436744</v>
      </c>
      <c r="N15" s="73">
        <f t="shared" si="1"/>
        <v>16975573</v>
      </c>
      <c r="O15" s="73">
        <f t="shared" si="1"/>
        <v>1217746</v>
      </c>
    </row>
    <row r="16" spans="1:16">
      <c r="A16" s="13">
        <f t="shared" si="0"/>
        <v>9</v>
      </c>
      <c r="B16" s="75"/>
      <c r="C16" s="76"/>
      <c r="D16" s="70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spans="1:15" ht="15.75">
      <c r="A17" s="13">
        <f t="shared" si="0"/>
        <v>10</v>
      </c>
      <c r="B17" s="53"/>
      <c r="C17" s="69" t="s">
        <v>118</v>
      </c>
      <c r="D17" s="70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spans="1:15">
      <c r="A18" s="13">
        <f t="shared" si="0"/>
        <v>11</v>
      </c>
      <c r="B18" s="43">
        <v>447.07</v>
      </c>
      <c r="C18" s="53" t="s">
        <v>119</v>
      </c>
      <c r="D18" s="70" t="s">
        <v>120</v>
      </c>
      <c r="E18" s="53">
        <v>7074826</v>
      </c>
      <c r="F18" s="53">
        <v>3767418.1055720425</v>
      </c>
      <c r="G18" s="53">
        <v>854130.5251477214</v>
      </c>
      <c r="H18" s="53">
        <v>947598.55871118803</v>
      </c>
      <c r="I18" s="53">
        <v>646356.06428557902</v>
      </c>
      <c r="J18" s="53">
        <v>441000.3068452591</v>
      </c>
      <c r="K18" s="53">
        <v>217796.74716644594</v>
      </c>
      <c r="L18" s="53">
        <v>171680.36252098531</v>
      </c>
      <c r="M18" s="53">
        <v>0</v>
      </c>
      <c r="N18" s="53">
        <v>26404.598923657715</v>
      </c>
      <c r="O18" s="53">
        <v>2440.7308271213242</v>
      </c>
    </row>
    <row r="19" spans="1:15">
      <c r="A19" s="71">
        <f t="shared" si="0"/>
        <v>12</v>
      </c>
      <c r="B19" s="72"/>
      <c r="C19" s="73" t="s">
        <v>121</v>
      </c>
      <c r="D19" s="74"/>
      <c r="E19" s="73">
        <f>+E18</f>
        <v>7074826</v>
      </c>
      <c r="F19" s="73">
        <f t="shared" ref="F19:O19" si="2">+F18</f>
        <v>3767418.1055720425</v>
      </c>
      <c r="G19" s="73">
        <f t="shared" si="2"/>
        <v>854130.5251477214</v>
      </c>
      <c r="H19" s="73">
        <f t="shared" si="2"/>
        <v>947598.55871118803</v>
      </c>
      <c r="I19" s="73">
        <f t="shared" si="2"/>
        <v>646356.06428557902</v>
      </c>
      <c r="J19" s="73">
        <f t="shared" si="2"/>
        <v>441000.3068452591</v>
      </c>
      <c r="K19" s="73">
        <f t="shared" si="2"/>
        <v>217796.74716644594</v>
      </c>
      <c r="L19" s="73">
        <f t="shared" si="2"/>
        <v>171680.36252098531</v>
      </c>
      <c r="M19" s="73">
        <f t="shared" si="2"/>
        <v>0</v>
      </c>
      <c r="N19" s="73">
        <f t="shared" si="2"/>
        <v>26404.598923657715</v>
      </c>
      <c r="O19" s="73">
        <f t="shared" si="2"/>
        <v>2440.7308271213242</v>
      </c>
    </row>
    <row r="20" spans="1:15">
      <c r="A20" s="13">
        <f t="shared" si="0"/>
        <v>13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5" ht="15.75">
      <c r="A21" s="13">
        <f t="shared" si="0"/>
        <v>14</v>
      </c>
      <c r="B21" s="53"/>
      <c r="C21" s="69" t="s">
        <v>122</v>
      </c>
      <c r="D21" s="70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</row>
    <row r="22" spans="1:15">
      <c r="A22" s="13">
        <f t="shared" si="0"/>
        <v>15</v>
      </c>
      <c r="B22" s="43">
        <v>450.01</v>
      </c>
      <c r="C22" s="53" t="s">
        <v>123</v>
      </c>
      <c r="D22" s="70" t="s">
        <v>124</v>
      </c>
      <c r="E22" s="53">
        <v>3464899</v>
      </c>
      <c r="F22" s="53">
        <v>2835817.1642558123</v>
      </c>
      <c r="G22" s="53">
        <v>380062.19334094372</v>
      </c>
      <c r="H22" s="53">
        <v>145892.21513994379</v>
      </c>
      <c r="I22" s="53">
        <v>46463.172515833881</v>
      </c>
      <c r="J22" s="53">
        <v>24706.115277402419</v>
      </c>
      <c r="K22" s="53">
        <v>3840.1757435681893</v>
      </c>
      <c r="L22" s="53">
        <v>5824.2665444117538</v>
      </c>
      <c r="M22" s="53">
        <v>18641.591583905887</v>
      </c>
      <c r="N22" s="53">
        <v>3652.1055981780551</v>
      </c>
      <c r="O22" s="53">
        <v>0</v>
      </c>
    </row>
    <row r="23" spans="1:15">
      <c r="A23" s="13">
        <f t="shared" si="0"/>
        <v>16</v>
      </c>
      <c r="B23" s="43">
        <v>450.02</v>
      </c>
      <c r="C23" s="53" t="s">
        <v>125</v>
      </c>
      <c r="D23" s="70" t="s">
        <v>126</v>
      </c>
      <c r="E23" s="53">
        <v>559117</v>
      </c>
      <c r="F23" s="53">
        <v>492734.50379047246</v>
      </c>
      <c r="G23" s="53">
        <v>63675.238897583884</v>
      </c>
      <c r="H23" s="53">
        <v>2283.3937934070236</v>
      </c>
      <c r="I23" s="53">
        <v>0</v>
      </c>
      <c r="J23" s="53">
        <v>27.346033453976325</v>
      </c>
      <c r="K23" s="53">
        <v>0</v>
      </c>
      <c r="L23" s="53">
        <v>0</v>
      </c>
      <c r="M23" s="53">
        <v>0</v>
      </c>
      <c r="N23" s="53">
        <v>396.51748508265672</v>
      </c>
      <c r="O23" s="53">
        <v>0</v>
      </c>
    </row>
    <row r="24" spans="1:15">
      <c r="A24" s="13">
        <f t="shared" si="0"/>
        <v>17</v>
      </c>
      <c r="B24" s="43">
        <v>451.01</v>
      </c>
      <c r="C24" s="53" t="s">
        <v>127</v>
      </c>
      <c r="D24" s="70" t="s">
        <v>128</v>
      </c>
      <c r="E24" s="53">
        <v>520439</v>
      </c>
      <c r="F24" s="53">
        <v>461552.06002144521</v>
      </c>
      <c r="G24" s="53">
        <v>54552.39460761044</v>
      </c>
      <c r="H24" s="53">
        <v>3926.6679455604512</v>
      </c>
      <c r="I24" s="53">
        <v>407.87742538390086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</row>
    <row r="25" spans="1:15">
      <c r="A25" s="13">
        <f t="shared" si="0"/>
        <v>18</v>
      </c>
      <c r="B25" s="43">
        <v>451.02</v>
      </c>
      <c r="C25" s="53" t="s">
        <v>129</v>
      </c>
      <c r="D25" s="70" t="s">
        <v>130</v>
      </c>
      <c r="E25" s="53">
        <v>1648238</v>
      </c>
      <c r="F25" s="53">
        <v>1605630.2360113149</v>
      </c>
      <c r="G25" s="53">
        <v>41032.224451760856</v>
      </c>
      <c r="H25" s="53">
        <v>1551.4701869011597</v>
      </c>
      <c r="I25" s="53">
        <v>24.069350023030271</v>
      </c>
      <c r="J25" s="53">
        <v>0</v>
      </c>
      <c r="K25" s="53">
        <v>0</v>
      </c>
      <c r="L25" s="53">
        <v>0</v>
      </c>
      <c r="M25" s="53">
        <v>0</v>
      </c>
      <c r="N25" s="53">
        <v>0</v>
      </c>
      <c r="O25" s="53">
        <v>0</v>
      </c>
    </row>
    <row r="26" spans="1:15">
      <c r="A26" s="13">
        <f t="shared" si="0"/>
        <v>19</v>
      </c>
      <c r="B26" s="43">
        <v>451.03</v>
      </c>
      <c r="C26" s="53" t="s">
        <v>131</v>
      </c>
      <c r="D26" s="70" t="s">
        <v>128</v>
      </c>
      <c r="E26" s="53">
        <v>477492</v>
      </c>
      <c r="F26" s="53">
        <v>423464.45259436726</v>
      </c>
      <c r="G26" s="53">
        <v>50050.691831275377</v>
      </c>
      <c r="H26" s="53">
        <v>3602.6364870072207</v>
      </c>
      <c r="I26" s="53">
        <v>374.2190873501209</v>
      </c>
      <c r="J26" s="53">
        <v>0</v>
      </c>
      <c r="K26" s="53">
        <v>0</v>
      </c>
      <c r="L26" s="53">
        <v>0</v>
      </c>
      <c r="M26" s="53">
        <v>0</v>
      </c>
      <c r="N26" s="53">
        <v>0</v>
      </c>
      <c r="O26" s="53">
        <v>0</v>
      </c>
    </row>
    <row r="27" spans="1:15">
      <c r="A27" s="13">
        <f t="shared" si="0"/>
        <v>20</v>
      </c>
      <c r="B27" s="43">
        <v>451.04</v>
      </c>
      <c r="C27" s="53" t="s">
        <v>132</v>
      </c>
      <c r="D27" s="70" t="s">
        <v>133</v>
      </c>
      <c r="E27" s="53">
        <v>-163</v>
      </c>
      <c r="F27" s="53">
        <v>-163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53">
        <v>0</v>
      </c>
    </row>
    <row r="28" spans="1:15">
      <c r="A28" s="13">
        <f t="shared" si="0"/>
        <v>21</v>
      </c>
      <c r="B28" s="43">
        <v>451.05</v>
      </c>
      <c r="C28" s="53" t="s">
        <v>134</v>
      </c>
      <c r="D28" s="70" t="s">
        <v>135</v>
      </c>
      <c r="E28" s="53">
        <v>1137787</v>
      </c>
      <c r="F28" s="53">
        <v>1070690.4494994881</v>
      </c>
      <c r="G28" s="53">
        <v>64353.843827715194</v>
      </c>
      <c r="H28" s="53">
        <v>2547.3159599590394</v>
      </c>
      <c r="I28" s="53">
        <v>84.772690225909599</v>
      </c>
      <c r="J28" s="53">
        <v>85.806503521347508</v>
      </c>
      <c r="K28" s="53">
        <v>0</v>
      </c>
      <c r="L28" s="53">
        <v>24.811519090510124</v>
      </c>
      <c r="M28" s="53">
        <v>0</v>
      </c>
      <c r="N28" s="53">
        <v>0</v>
      </c>
      <c r="O28" s="53">
        <v>0</v>
      </c>
    </row>
    <row r="29" spans="1:15">
      <c r="A29" s="13">
        <f t="shared" si="0"/>
        <v>22</v>
      </c>
      <c r="B29" s="43">
        <v>451.06</v>
      </c>
      <c r="C29" s="53" t="s">
        <v>136</v>
      </c>
      <c r="D29" s="70" t="s">
        <v>137</v>
      </c>
      <c r="E29" s="53">
        <v>270062</v>
      </c>
      <c r="F29" s="53">
        <v>258780.93822095532</v>
      </c>
      <c r="G29" s="53">
        <v>9362.5138574384382</v>
      </c>
      <c r="H29" s="53">
        <v>594.74985569793353</v>
      </c>
      <c r="I29" s="53">
        <v>19.185479216062376</v>
      </c>
      <c r="J29" s="53">
        <v>57.556437648187128</v>
      </c>
      <c r="K29" s="53">
        <v>0</v>
      </c>
      <c r="L29" s="53">
        <v>0</v>
      </c>
      <c r="M29" s="53">
        <v>0</v>
      </c>
      <c r="N29" s="53">
        <v>1247.0561490440543</v>
      </c>
      <c r="O29" s="53">
        <v>0</v>
      </c>
    </row>
    <row r="30" spans="1:15">
      <c r="A30" s="13">
        <f t="shared" si="0"/>
        <v>23</v>
      </c>
      <c r="B30" s="43">
        <v>451.07</v>
      </c>
      <c r="C30" s="53" t="s">
        <v>138</v>
      </c>
      <c r="D30" s="70" t="s">
        <v>139</v>
      </c>
      <c r="E30" s="53">
        <v>2978480</v>
      </c>
      <c r="F30" s="53">
        <v>2032467.7424978933</v>
      </c>
      <c r="G30" s="53">
        <v>876385.49149669579</v>
      </c>
      <c r="H30" s="53">
        <v>63082.007056411334</v>
      </c>
      <c r="I30" s="53">
        <v>6544.7589489993115</v>
      </c>
      <c r="J30" s="53">
        <v>0</v>
      </c>
      <c r="K30" s="53">
        <v>0</v>
      </c>
      <c r="L30" s="53">
        <v>0</v>
      </c>
      <c r="M30" s="53">
        <v>0</v>
      </c>
      <c r="N30" s="53">
        <v>0</v>
      </c>
      <c r="O30" s="53">
        <v>0</v>
      </c>
    </row>
    <row r="31" spans="1:15">
      <c r="A31" s="13">
        <f t="shared" si="0"/>
        <v>24</v>
      </c>
      <c r="B31" s="43">
        <v>451.08</v>
      </c>
      <c r="C31" s="53" t="s">
        <v>140</v>
      </c>
      <c r="D31" s="70" t="s">
        <v>128</v>
      </c>
      <c r="E31" s="53">
        <v>-42311</v>
      </c>
      <c r="F31" s="53">
        <v>-37523.569931475868</v>
      </c>
      <c r="G31" s="53">
        <v>-4435.0372824530932</v>
      </c>
      <c r="H31" s="53">
        <v>-319.23289270136991</v>
      </c>
      <c r="I31" s="53">
        <v>-33.159893369671046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</row>
    <row r="32" spans="1:15">
      <c r="A32" s="13">
        <f t="shared" si="0"/>
        <v>25</v>
      </c>
      <c r="B32" s="43">
        <v>454.01</v>
      </c>
      <c r="C32" s="53" t="s">
        <v>141</v>
      </c>
      <c r="D32" s="70" t="s">
        <v>142</v>
      </c>
      <c r="E32" s="53">
        <v>38165</v>
      </c>
      <c r="F32" s="53">
        <v>20323.257702614454</v>
      </c>
      <c r="G32" s="53">
        <v>4607.5891466818812</v>
      </c>
      <c r="H32" s="53">
        <v>5111.8004871374205</v>
      </c>
      <c r="I32" s="53">
        <v>3486.7541892138584</v>
      </c>
      <c r="J32" s="53">
        <v>2378.9668764644262</v>
      </c>
      <c r="K32" s="53">
        <v>1174.8999700639154</v>
      </c>
      <c r="L32" s="53">
        <v>926.12610340005608</v>
      </c>
      <c r="M32" s="53">
        <v>0</v>
      </c>
      <c r="N32" s="53">
        <v>142.43905333097896</v>
      </c>
      <c r="O32" s="53">
        <v>13.166471093011381</v>
      </c>
    </row>
    <row r="33" spans="1:15">
      <c r="A33" s="13">
        <f t="shared" si="0"/>
        <v>26</v>
      </c>
      <c r="B33" s="43">
        <v>454.02</v>
      </c>
      <c r="C33" s="53" t="s">
        <v>143</v>
      </c>
      <c r="D33" s="70" t="s">
        <v>144</v>
      </c>
      <c r="E33" s="53">
        <v>5875055</v>
      </c>
      <c r="F33" s="53">
        <v>3615950.4137097574</v>
      </c>
      <c r="G33" s="53">
        <v>679035.95175373612</v>
      </c>
      <c r="H33" s="53">
        <v>612577.07754666009</v>
      </c>
      <c r="I33" s="53">
        <v>322053.07358116488</v>
      </c>
      <c r="J33" s="53">
        <v>312204.33297674713</v>
      </c>
      <c r="K33" s="53">
        <v>72450.409136423463</v>
      </c>
      <c r="L33" s="53">
        <v>48331.28016978073</v>
      </c>
      <c r="M33" s="53">
        <v>165484.01465896558</v>
      </c>
      <c r="N33" s="53">
        <v>26893.906683246558</v>
      </c>
      <c r="O33" s="53">
        <v>20074.539783518627</v>
      </c>
    </row>
    <row r="34" spans="1:15">
      <c r="A34" s="13">
        <f t="shared" si="0"/>
        <v>27</v>
      </c>
      <c r="B34" s="43">
        <v>454.03</v>
      </c>
      <c r="C34" s="53" t="s">
        <v>145</v>
      </c>
      <c r="D34" s="70" t="s">
        <v>144</v>
      </c>
      <c r="E34" s="53">
        <v>3646743</v>
      </c>
      <c r="F34" s="53">
        <v>2244479.7298992369</v>
      </c>
      <c r="G34" s="53">
        <v>421488.75266806438</v>
      </c>
      <c r="H34" s="53">
        <v>380236.63940231025</v>
      </c>
      <c r="I34" s="53">
        <v>199903.62502318667</v>
      </c>
      <c r="J34" s="53">
        <v>193790.35019291253</v>
      </c>
      <c r="K34" s="53">
        <v>44971.15726838103</v>
      </c>
      <c r="L34" s="53">
        <v>30000.018321562384</v>
      </c>
      <c r="M34" s="53">
        <v>102718.64213517663</v>
      </c>
      <c r="N34" s="53">
        <v>16693.48898687461</v>
      </c>
      <c r="O34" s="53">
        <v>12460.596102294885</v>
      </c>
    </row>
    <row r="35" spans="1:15">
      <c r="A35" s="13">
        <f t="shared" si="0"/>
        <v>28</v>
      </c>
      <c r="B35" s="43">
        <v>454.04</v>
      </c>
      <c r="C35" s="53" t="s">
        <v>146</v>
      </c>
      <c r="D35" s="70" t="s">
        <v>147</v>
      </c>
      <c r="E35" s="53">
        <v>673570</v>
      </c>
      <c r="F35" s="53">
        <v>388397.67807863076</v>
      </c>
      <c r="G35" s="53">
        <v>81198.665150274785</v>
      </c>
      <c r="H35" s="53">
        <v>78496.332244427729</v>
      </c>
      <c r="I35" s="53">
        <v>47294.471386533165</v>
      </c>
      <c r="J35" s="53">
        <v>36678.853753663512</v>
      </c>
      <c r="K35" s="53">
        <v>15528.774664800292</v>
      </c>
      <c r="L35" s="53">
        <v>10782.538579078335</v>
      </c>
      <c r="M35" s="53">
        <v>6421.3383566988032</v>
      </c>
      <c r="N35" s="53">
        <v>7880.1356066820026</v>
      </c>
      <c r="O35" s="53">
        <v>891.21217921058769</v>
      </c>
    </row>
    <row r="36" spans="1:15">
      <c r="A36" s="13">
        <f t="shared" si="0"/>
        <v>29</v>
      </c>
      <c r="B36" s="43">
        <v>454.05</v>
      </c>
      <c r="C36" s="53" t="s">
        <v>148</v>
      </c>
      <c r="D36" s="70" t="s">
        <v>149</v>
      </c>
      <c r="E36" s="53">
        <v>3939609</v>
      </c>
      <c r="F36" s="53">
        <v>0</v>
      </c>
      <c r="G36" s="53">
        <v>38.629812483934749</v>
      </c>
      <c r="H36" s="53">
        <v>7624.7891783766445</v>
      </c>
      <c r="I36" s="53">
        <v>0</v>
      </c>
      <c r="J36" s="53">
        <v>462690.41854120867</v>
      </c>
      <c r="K36" s="53">
        <v>68715.998106839266</v>
      </c>
      <c r="L36" s="53">
        <v>2551682.1462944685</v>
      </c>
      <c r="M36" s="53">
        <v>845708.68834918214</v>
      </c>
      <c r="N36" s="53">
        <v>0</v>
      </c>
      <c r="O36" s="53">
        <v>3148.3297174406821</v>
      </c>
    </row>
    <row r="37" spans="1:15">
      <c r="A37" s="13">
        <f t="shared" si="0"/>
        <v>30</v>
      </c>
      <c r="B37" s="43">
        <v>454.06</v>
      </c>
      <c r="C37" s="53" t="s">
        <v>150</v>
      </c>
      <c r="D37" s="70" t="s">
        <v>151</v>
      </c>
      <c r="E37" s="53">
        <v>60351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3">
        <v>0</v>
      </c>
      <c r="M37" s="53">
        <v>0</v>
      </c>
      <c r="N37" s="53">
        <v>60351</v>
      </c>
      <c r="O37" s="53">
        <v>0</v>
      </c>
    </row>
    <row r="38" spans="1:15">
      <c r="A38" s="13">
        <f t="shared" si="0"/>
        <v>31</v>
      </c>
      <c r="B38" s="43">
        <v>456.01</v>
      </c>
      <c r="C38" s="53" t="s">
        <v>152</v>
      </c>
      <c r="D38" s="70" t="s">
        <v>120</v>
      </c>
      <c r="E38" s="53">
        <v>7850174.6800000016</v>
      </c>
      <c r="F38" s="53">
        <v>4180299.3064896893</v>
      </c>
      <c r="G38" s="53">
        <v>947736.92270732136</v>
      </c>
      <c r="H38" s="53">
        <v>1051448.3624613613</v>
      </c>
      <c r="I38" s="53">
        <v>717191.91540811129</v>
      </c>
      <c r="J38" s="53">
        <v>489330.68356294325</v>
      </c>
      <c r="K38" s="53">
        <v>241665.6621650336</v>
      </c>
      <c r="L38" s="53">
        <v>190495.26234503297</v>
      </c>
      <c r="M38" s="53">
        <v>0</v>
      </c>
      <c r="N38" s="53">
        <v>29298.347960225889</v>
      </c>
      <c r="O38" s="53">
        <v>2708.2169002832406</v>
      </c>
    </row>
    <row r="39" spans="1:15">
      <c r="A39" s="13">
        <f t="shared" si="0"/>
        <v>32</v>
      </c>
      <c r="B39" s="43">
        <v>456.02</v>
      </c>
      <c r="C39" s="53" t="s">
        <v>153</v>
      </c>
      <c r="D39" s="70" t="s">
        <v>154</v>
      </c>
      <c r="E39" s="53">
        <v>24865</v>
      </c>
      <c r="F39" s="53">
        <v>15567.829850672</v>
      </c>
      <c r="G39" s="53">
        <v>3006.5729677433719</v>
      </c>
      <c r="H39" s="53">
        <v>2451.5974960943545</v>
      </c>
      <c r="I39" s="53">
        <v>1195.6102162948716</v>
      </c>
      <c r="J39" s="53">
        <v>1152.2799571560618</v>
      </c>
      <c r="K39" s="53">
        <v>371.79108909486268</v>
      </c>
      <c r="L39" s="53">
        <v>181.82412375314266</v>
      </c>
      <c r="M39" s="53">
        <v>383.9127704660317</v>
      </c>
      <c r="N39" s="53">
        <v>502.63029718435951</v>
      </c>
      <c r="O39" s="53">
        <v>50.951231540945038</v>
      </c>
    </row>
    <row r="40" spans="1:15">
      <c r="A40" s="13">
        <f t="shared" si="0"/>
        <v>33</v>
      </c>
      <c r="B40" s="43">
        <v>456.03</v>
      </c>
      <c r="C40" s="53" t="s">
        <v>155</v>
      </c>
      <c r="D40" s="70" t="s">
        <v>156</v>
      </c>
      <c r="E40" s="53">
        <v>210539</v>
      </c>
      <c r="F40" s="53">
        <v>135819.15361812527</v>
      </c>
      <c r="G40" s="53">
        <v>24170.115439293793</v>
      </c>
      <c r="H40" s="53">
        <v>21653.838883761331</v>
      </c>
      <c r="I40" s="53">
        <v>10447.33488814335</v>
      </c>
      <c r="J40" s="53">
        <v>10322.845857732011</v>
      </c>
      <c r="K40" s="53">
        <v>3235.1990662640937</v>
      </c>
      <c r="L40" s="53">
        <v>886.35584877056681</v>
      </c>
      <c r="M40" s="53">
        <v>2488.6006897521966</v>
      </c>
      <c r="N40" s="53">
        <v>1143.6036558911455</v>
      </c>
      <c r="O40" s="53">
        <v>371.95205226627684</v>
      </c>
    </row>
    <row r="41" spans="1:15">
      <c r="A41" s="13">
        <f t="shared" si="0"/>
        <v>34</v>
      </c>
      <c r="B41" s="43">
        <v>456.04</v>
      </c>
      <c r="C41" s="53" t="s">
        <v>157</v>
      </c>
      <c r="D41" s="70" t="s">
        <v>158</v>
      </c>
      <c r="E41" s="53">
        <v>1026108</v>
      </c>
      <c r="F41" s="53">
        <v>630601.80393669126</v>
      </c>
      <c r="G41" s="53">
        <v>122432.3911913656</v>
      </c>
      <c r="H41" s="53">
        <v>104678.81790882512</v>
      </c>
      <c r="I41" s="53">
        <v>62425.176500271184</v>
      </c>
      <c r="J41" s="53">
        <v>48131.07942445876</v>
      </c>
      <c r="K41" s="53">
        <v>21923.922576573306</v>
      </c>
      <c r="L41" s="53">
        <v>14812.547583665979</v>
      </c>
      <c r="M41" s="53">
        <v>8419.7471334408565</v>
      </c>
      <c r="N41" s="53">
        <v>11471.419681624331</v>
      </c>
      <c r="O41" s="53">
        <v>1211.0940630837385</v>
      </c>
    </row>
    <row r="42" spans="1:15">
      <c r="A42" s="13">
        <f t="shared" si="0"/>
        <v>35</v>
      </c>
      <c r="B42" s="43">
        <v>456.05</v>
      </c>
      <c r="C42" s="53" t="s">
        <v>159</v>
      </c>
      <c r="D42" s="70" t="s">
        <v>144</v>
      </c>
      <c r="E42" s="53">
        <v>313300</v>
      </c>
      <c r="F42" s="53">
        <v>192828.36749873267</v>
      </c>
      <c r="G42" s="53">
        <v>36211.059076799371</v>
      </c>
      <c r="H42" s="53">
        <v>32666.996035844531</v>
      </c>
      <c r="I42" s="53">
        <v>17174.17589332848</v>
      </c>
      <c r="J42" s="53">
        <v>16648.970523955068</v>
      </c>
      <c r="K42" s="53">
        <v>3863.5745848237111</v>
      </c>
      <c r="L42" s="53">
        <v>2577.3699271227761</v>
      </c>
      <c r="M42" s="53">
        <v>8824.7925836700961</v>
      </c>
      <c r="N42" s="53">
        <v>1434.1756739062266</v>
      </c>
      <c r="O42" s="53">
        <v>1070.5182018170699</v>
      </c>
    </row>
    <row r="43" spans="1:15">
      <c r="A43" s="13">
        <f t="shared" si="0"/>
        <v>36</v>
      </c>
      <c r="B43" s="43">
        <v>456.06</v>
      </c>
      <c r="C43" s="53" t="s">
        <v>160</v>
      </c>
      <c r="D43" s="70" t="s">
        <v>142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53">
        <v>0</v>
      </c>
    </row>
    <row r="44" spans="1:15">
      <c r="A44" s="13">
        <f t="shared" si="0"/>
        <v>37</v>
      </c>
      <c r="B44" s="43">
        <v>456.07</v>
      </c>
      <c r="C44" s="53" t="s">
        <v>161</v>
      </c>
      <c r="D44" s="70" t="s">
        <v>120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</row>
    <row r="45" spans="1:15">
      <c r="A45" s="13">
        <f t="shared" si="0"/>
        <v>38</v>
      </c>
      <c r="B45" s="43">
        <v>456.08</v>
      </c>
      <c r="C45" s="53" t="s">
        <v>162</v>
      </c>
      <c r="D45" s="70" t="s">
        <v>142</v>
      </c>
      <c r="E45" s="53">
        <v>16182</v>
      </c>
      <c r="F45" s="53">
        <v>8617.0825663227333</v>
      </c>
      <c r="G45" s="53">
        <v>1953.6226273183861</v>
      </c>
      <c r="H45" s="53">
        <v>2167.4087641257106</v>
      </c>
      <c r="I45" s="53">
        <v>1478.3874306264549</v>
      </c>
      <c r="J45" s="53">
        <v>1008.6844489701912</v>
      </c>
      <c r="K45" s="53">
        <v>498.15881869708574</v>
      </c>
      <c r="L45" s="53">
        <v>392.67843849652053</v>
      </c>
      <c r="M45" s="53">
        <v>0</v>
      </c>
      <c r="N45" s="53">
        <v>60.394307899958122</v>
      </c>
      <c r="O45" s="53">
        <v>5.5825975429610937</v>
      </c>
    </row>
    <row r="46" spans="1:15">
      <c r="A46" s="13">
        <f t="shared" si="0"/>
        <v>39</v>
      </c>
      <c r="B46" s="43">
        <v>456.09</v>
      </c>
      <c r="C46" s="53" t="s">
        <v>163</v>
      </c>
      <c r="D46" s="70" t="s">
        <v>142</v>
      </c>
      <c r="E46" s="53">
        <v>500</v>
      </c>
      <c r="F46" s="53">
        <v>266.25517755292088</v>
      </c>
      <c r="G46" s="53">
        <v>60.364065854603446</v>
      </c>
      <c r="H46" s="53">
        <v>66.969743051715199</v>
      </c>
      <c r="I46" s="53">
        <v>45.679997238488909</v>
      </c>
      <c r="J46" s="53">
        <v>31.166865930360618</v>
      </c>
      <c r="K46" s="53">
        <v>15.392374820698484</v>
      </c>
      <c r="L46" s="53">
        <v>12.133186209878895</v>
      </c>
      <c r="M46" s="53">
        <v>0</v>
      </c>
      <c r="N46" s="53">
        <v>1.8660952879729984</v>
      </c>
      <c r="O46" s="53">
        <v>0.17249405336055784</v>
      </c>
    </row>
    <row r="47" spans="1:15">
      <c r="A47" s="13">
        <f t="shared" si="0"/>
        <v>40</v>
      </c>
      <c r="B47" s="43">
        <v>456.1</v>
      </c>
      <c r="C47" s="53" t="s">
        <v>164</v>
      </c>
      <c r="D47" s="70" t="s">
        <v>165</v>
      </c>
      <c r="E47" s="53">
        <v>-6464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v>-6464</v>
      </c>
      <c r="O47" s="53">
        <v>0</v>
      </c>
    </row>
    <row r="48" spans="1:15">
      <c r="A48" s="13">
        <f t="shared" si="0"/>
        <v>41</v>
      </c>
      <c r="B48" s="43">
        <v>456.11</v>
      </c>
      <c r="C48" s="53" t="s">
        <v>166</v>
      </c>
      <c r="D48" s="70" t="s">
        <v>128</v>
      </c>
      <c r="E48" s="53">
        <v>-24</v>
      </c>
      <c r="F48" s="53">
        <v>-21.28443379630405</v>
      </c>
      <c r="G48" s="53">
        <v>-2.5156790144140824</v>
      </c>
      <c r="H48" s="53">
        <v>-0.1810779566739826</v>
      </c>
      <c r="I48" s="53">
        <v>-1.8809232607882233E-2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53">
        <v>0</v>
      </c>
    </row>
    <row r="49" spans="1:15">
      <c r="A49" s="13">
        <f t="shared" si="0"/>
        <v>42</v>
      </c>
      <c r="B49" s="43">
        <v>456.12</v>
      </c>
      <c r="C49" s="53" t="s">
        <v>167</v>
      </c>
      <c r="D49" s="70" t="s">
        <v>120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</row>
    <row r="50" spans="1:15">
      <c r="A50" s="13">
        <f t="shared" si="0"/>
        <v>43</v>
      </c>
      <c r="B50" s="43">
        <v>456.13</v>
      </c>
      <c r="C50" s="53" t="s">
        <v>168</v>
      </c>
      <c r="D50" s="70" t="s">
        <v>120</v>
      </c>
      <c r="E50" s="53">
        <v>16513</v>
      </c>
      <c r="F50" s="53">
        <v>8793.3434938627652</v>
      </c>
      <c r="G50" s="53">
        <v>1993.5836389141336</v>
      </c>
      <c r="H50" s="53">
        <v>2211.742734025946</v>
      </c>
      <c r="I50" s="53">
        <v>1508.6275887983347</v>
      </c>
      <c r="J50" s="53">
        <v>1029.3169142160898</v>
      </c>
      <c r="K50" s="53">
        <v>508.34857082838812</v>
      </c>
      <c r="L50" s="53">
        <v>400.71060776746037</v>
      </c>
      <c r="M50" s="53">
        <v>0</v>
      </c>
      <c r="N50" s="53">
        <v>61.629662980596251</v>
      </c>
      <c r="O50" s="53">
        <v>5.696788606285784</v>
      </c>
    </row>
    <row r="51" spans="1:15">
      <c r="A51" s="13">
        <f t="shared" si="0"/>
        <v>44</v>
      </c>
      <c r="B51" s="43">
        <v>456.14</v>
      </c>
      <c r="C51" s="53" t="s">
        <v>169</v>
      </c>
      <c r="D51" s="70" t="s">
        <v>170</v>
      </c>
      <c r="E51" s="53">
        <v>1975116.05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1936015.0490101594</v>
      </c>
      <c r="N51" s="53">
        <v>0</v>
      </c>
      <c r="O51" s="53">
        <v>39101.000989840592</v>
      </c>
    </row>
    <row r="52" spans="1:15">
      <c r="A52" s="71">
        <f>+A51+1</f>
        <v>45</v>
      </c>
      <c r="B52" s="72"/>
      <c r="C52" s="73" t="s">
        <v>171</v>
      </c>
      <c r="D52" s="74"/>
      <c r="E52" s="73">
        <f t="shared" ref="E52:O52" si="3">SUM(E22:E51)</f>
        <v>36674342.729999997</v>
      </c>
      <c r="F52" s="73">
        <f t="shared" si="3"/>
        <v>20585373.914548371</v>
      </c>
      <c r="G52" s="73">
        <f t="shared" si="3"/>
        <v>3858971.259595409</v>
      </c>
      <c r="H52" s="73">
        <f t="shared" si="3"/>
        <v>2524553.4153402317</v>
      </c>
      <c r="I52" s="73">
        <f t="shared" si="3"/>
        <v>1438089.7088973408</v>
      </c>
      <c r="J52" s="73">
        <f t="shared" si="3"/>
        <v>1600274.7741483843</v>
      </c>
      <c r="K52" s="73">
        <f t="shared" si="3"/>
        <v>478763.46413621196</v>
      </c>
      <c r="L52" s="73">
        <f t="shared" si="3"/>
        <v>2857330.0695926114</v>
      </c>
      <c r="M52" s="73">
        <f t="shared" si="3"/>
        <v>3095106.3772714175</v>
      </c>
      <c r="N52" s="73">
        <f t="shared" si="3"/>
        <v>154766.71689743942</v>
      </c>
      <c r="O52" s="73">
        <f t="shared" si="3"/>
        <v>81113.029572592262</v>
      </c>
    </row>
    <row r="53" spans="1:15" s="76" customFormat="1" ht="12.75">
      <c r="A53" s="77">
        <f>+A52+1</f>
        <v>46</v>
      </c>
      <c r="B53" s="78"/>
      <c r="D53" s="79"/>
    </row>
    <row r="54" spans="1:15" s="53" customFormat="1" ht="12.75">
      <c r="A54" s="71">
        <f>+A53+1</f>
        <v>47</v>
      </c>
      <c r="B54" s="80"/>
      <c r="C54" s="81" t="s">
        <v>172</v>
      </c>
      <c r="D54" s="74"/>
      <c r="E54" s="73">
        <f t="shared" ref="E54:O54" si="4">SUM(E52,E19,E15)</f>
        <v>2022303272.73</v>
      </c>
      <c r="F54" s="73">
        <f t="shared" si="4"/>
        <v>1107668387.4230173</v>
      </c>
      <c r="G54" s="73">
        <f t="shared" si="4"/>
        <v>250436363.66773108</v>
      </c>
      <c r="H54" s="73">
        <f t="shared" si="4"/>
        <v>262150311.85378024</v>
      </c>
      <c r="I54" s="73">
        <f t="shared" si="4"/>
        <v>164263302.70077243</v>
      </c>
      <c r="J54" s="73">
        <f t="shared" si="4"/>
        <v>119653130.02729653</v>
      </c>
      <c r="K54" s="73">
        <f t="shared" si="4"/>
        <v>50077992.192636885</v>
      </c>
      <c r="L54" s="73">
        <f t="shared" si="4"/>
        <v>39467115.415629752</v>
      </c>
      <c r="M54" s="73">
        <f t="shared" si="4"/>
        <v>10128625.372915093</v>
      </c>
      <c r="N54" s="73">
        <f t="shared" si="4"/>
        <v>17156744.315821096</v>
      </c>
      <c r="O54" s="73">
        <f t="shared" si="4"/>
        <v>1301299.7603997136</v>
      </c>
    </row>
    <row r="60" spans="1:15" ht="12" customHeight="1"/>
  </sheetData>
  <printOptions horizontalCentered="1"/>
  <pageMargins left="0.5" right="0.5" top="0.75" bottom="0.75" header="0.3" footer="0.3"/>
  <pageSetup scale="53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44"/>
  <sheetViews>
    <sheetView showGridLines="0" view="pageLayout" topLeftCell="A66" zoomScaleNormal="100" workbookViewId="0">
      <selection sqref="A1:E1"/>
    </sheetView>
  </sheetViews>
  <sheetFormatPr defaultRowHeight="15"/>
  <cols>
    <col min="1" max="1" width="7.5703125" bestFit="1" customWidth="1"/>
    <col min="2" max="2" width="9.28515625" bestFit="1" customWidth="1"/>
    <col min="3" max="3" width="49.85546875" bestFit="1" customWidth="1"/>
    <col min="4" max="4" width="11.42578125" bestFit="1" customWidth="1"/>
    <col min="5" max="5" width="13.5703125" bestFit="1" customWidth="1"/>
    <col min="6" max="15" width="12.7109375" bestFit="1" customWidth="1"/>
  </cols>
  <sheetData>
    <row r="1" spans="1:16" s="23" customFormat="1" ht="15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s="23" customFormat="1" ht="15.75">
      <c r="A2" s="3" t="s">
        <v>557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23" customFormat="1" ht="15.75">
      <c r="A3" s="3" t="s">
        <v>559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s="23" customFormat="1" ht="15.75">
      <c r="A4" s="3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s="9" customFormat="1" ht="51">
      <c r="A6" s="82" t="s">
        <v>3</v>
      </c>
      <c r="B6" s="82" t="s">
        <v>101</v>
      </c>
      <c r="C6" s="82" t="s">
        <v>102</v>
      </c>
      <c r="D6" s="82" t="s">
        <v>103</v>
      </c>
      <c r="E6" s="82" t="s">
        <v>79</v>
      </c>
      <c r="F6" s="82" t="str">
        <f>+'JAP-4, p1-4 ECOS Summary'!E6</f>
        <v>Residential
Sch 7</v>
      </c>
      <c r="G6" s="82" t="str">
        <f>+'JAP-4, p1-4 ECOS Summary'!F6</f>
        <v>Sec Volt
Sch 24
(kW&lt; 50)</v>
      </c>
      <c r="H6" s="82" t="str">
        <f>+'JAP-4, p1-4 ECOS Summary'!G6</f>
        <v>Sec Volt
Sch 25
(kW &gt; 50 &amp; &lt; 350)</v>
      </c>
      <c r="I6" s="82" t="str">
        <f>+'JAP-4, p1-4 ECOS Summary'!H6</f>
        <v>Sec Volt
Sch 26
(kW &gt; 350)</v>
      </c>
      <c r="J6" s="82" t="str">
        <f>+'JAP-4, p1-4 ECOS Summary'!I6</f>
        <v>Pri Volt
Sch 31/35/43</v>
      </c>
      <c r="K6" s="82" t="str">
        <f>+'JAP-4, p1-4 ECOS Summary'!J6</f>
        <v>Campus
Sch 40</v>
      </c>
      <c r="L6" s="82" t="str">
        <f>+'JAP-4, p1-4 ECOS Summary'!K6</f>
        <v>High Volt
Sch 46/49</v>
      </c>
      <c r="M6" s="82" t="str">
        <f>+'JAP-4, p1-4 ECOS Summary'!L6</f>
        <v>Choice /
Retail Wheeling
Sch 448/449</v>
      </c>
      <c r="N6" s="82" t="str">
        <f>+'JAP-4, p1-4 ECOS Summary'!M6</f>
        <v>Lighting
Sch 50-59</v>
      </c>
      <c r="O6" s="82" t="str">
        <f>+'JAP-4, p1-4 ECOS Summary'!N6</f>
        <v>Firm Resale /
Special Contract</v>
      </c>
    </row>
    <row r="7" spans="1:16" s="9" customFormat="1" ht="12.75">
      <c r="B7" s="10" t="s">
        <v>16</v>
      </c>
      <c r="C7" s="10" t="s">
        <v>17</v>
      </c>
      <c r="D7" s="10" t="s">
        <v>18</v>
      </c>
      <c r="E7" s="10" t="s">
        <v>19</v>
      </c>
      <c r="F7" s="10" t="s">
        <v>20</v>
      </c>
      <c r="G7" s="11" t="s">
        <v>89</v>
      </c>
      <c r="H7" s="11" t="s">
        <v>21</v>
      </c>
      <c r="I7" s="10" t="s">
        <v>22</v>
      </c>
      <c r="J7" s="11" t="s">
        <v>90</v>
      </c>
      <c r="K7" s="11" t="s">
        <v>91</v>
      </c>
      <c r="L7" s="11" t="s">
        <v>23</v>
      </c>
      <c r="M7" s="11" t="s">
        <v>24</v>
      </c>
      <c r="N7" s="11" t="s">
        <v>25</v>
      </c>
      <c r="O7" s="11" t="s">
        <v>26</v>
      </c>
      <c r="P7" s="11"/>
    </row>
    <row r="8" spans="1:16" s="53" customFormat="1" ht="15.75">
      <c r="A8" s="13">
        <v>1</v>
      </c>
      <c r="B8" s="83"/>
      <c r="C8" s="69" t="s">
        <v>173</v>
      </c>
      <c r="D8" s="70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pans="1:16" s="53" customFormat="1" ht="12.75">
      <c r="A9" s="13">
        <f t="shared" ref="A9:A72" si="0">+A8+1</f>
        <v>2</v>
      </c>
      <c r="B9" s="84"/>
      <c r="C9" s="9"/>
      <c r="D9" s="70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6" s="53" customFormat="1" ht="15.75">
      <c r="A10" s="13">
        <f t="shared" si="0"/>
        <v>3</v>
      </c>
      <c r="B10" s="83"/>
      <c r="C10" s="69" t="s">
        <v>174</v>
      </c>
      <c r="D10" s="70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s="53" customFormat="1" ht="12.75">
      <c r="A11" s="13">
        <f t="shared" si="0"/>
        <v>4</v>
      </c>
      <c r="B11" s="84"/>
      <c r="C11" s="9"/>
      <c r="D11" s="7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 s="53" customFormat="1" ht="13.5">
      <c r="A12" s="13">
        <f t="shared" si="0"/>
        <v>5</v>
      </c>
      <c r="B12" s="85"/>
      <c r="C12" s="5" t="s">
        <v>175</v>
      </c>
      <c r="D12" s="70"/>
      <c r="E12" s="9"/>
      <c r="F12" s="86"/>
      <c r="G12" s="86"/>
      <c r="H12" s="86"/>
      <c r="I12" s="86"/>
      <c r="J12" s="86"/>
      <c r="K12" s="9"/>
      <c r="L12" s="9"/>
      <c r="M12" s="9"/>
      <c r="N12" s="9"/>
      <c r="O12" s="9"/>
    </row>
    <row r="13" spans="1:16" s="53" customFormat="1" ht="12.75">
      <c r="A13" s="13">
        <f t="shared" si="0"/>
        <v>6</v>
      </c>
      <c r="B13" s="84" t="s">
        <v>176</v>
      </c>
      <c r="C13" s="53" t="s">
        <v>177</v>
      </c>
      <c r="D13" s="70" t="s">
        <v>142</v>
      </c>
      <c r="E13" s="53">
        <v>88810829</v>
      </c>
      <c r="F13" s="53">
        <v>47292686.088034198</v>
      </c>
      <c r="G13" s="53">
        <v>10721965.460715851</v>
      </c>
      <c r="H13" s="53">
        <v>11895276.796679635</v>
      </c>
      <c r="I13" s="53">
        <v>8113756.8469358217</v>
      </c>
      <c r="J13" s="53">
        <v>5535910.4012143668</v>
      </c>
      <c r="K13" s="53">
        <v>2734019.1362099177</v>
      </c>
      <c r="L13" s="53">
        <v>2155116.6514214254</v>
      </c>
      <c r="M13" s="53">
        <v>0</v>
      </c>
      <c r="N13" s="53">
        <v>331458.93903575151</v>
      </c>
      <c r="O13" s="53">
        <v>30638.679753042761</v>
      </c>
    </row>
    <row r="14" spans="1:16" s="53" customFormat="1" ht="12.75">
      <c r="A14" s="13">
        <f t="shared" si="0"/>
        <v>7</v>
      </c>
      <c r="B14" s="84" t="s">
        <v>178</v>
      </c>
      <c r="C14" s="53" t="s">
        <v>179</v>
      </c>
      <c r="D14" s="70" t="s">
        <v>142</v>
      </c>
      <c r="E14" s="53">
        <v>155657231</v>
      </c>
      <c r="F14" s="53">
        <v>82889087.354602054</v>
      </c>
      <c r="G14" s="53">
        <v>18792206.685658444</v>
      </c>
      <c r="H14" s="53">
        <v>20848649.528422952</v>
      </c>
      <c r="I14" s="53">
        <v>14220843.764461661</v>
      </c>
      <c r="J14" s="53">
        <v>9702696.0993363485</v>
      </c>
      <c r="K14" s="53">
        <v>4791868.8862080956</v>
      </c>
      <c r="L14" s="53">
        <v>3777236.3372742673</v>
      </c>
      <c r="M14" s="53">
        <v>0</v>
      </c>
      <c r="N14" s="53">
        <v>580942.45061604911</v>
      </c>
      <c r="O14" s="53">
        <v>53699.893420141358</v>
      </c>
    </row>
    <row r="15" spans="1:16" s="53" customFormat="1" ht="12.75">
      <c r="A15" s="71">
        <f t="shared" si="0"/>
        <v>8</v>
      </c>
      <c r="B15" s="87"/>
      <c r="C15" s="81" t="s">
        <v>180</v>
      </c>
      <c r="D15" s="74"/>
      <c r="E15" s="81">
        <f>SUM(E13:E14)</f>
        <v>244468060</v>
      </c>
      <c r="F15" s="81">
        <f t="shared" ref="F15:O15" si="1">SUM(F13:F14)</f>
        <v>130181773.44263625</v>
      </c>
      <c r="G15" s="81">
        <f t="shared" si="1"/>
        <v>29514172.146374293</v>
      </c>
      <c r="H15" s="81">
        <f t="shared" si="1"/>
        <v>32743926.325102586</v>
      </c>
      <c r="I15" s="81">
        <f t="shared" si="1"/>
        <v>22334600.611397482</v>
      </c>
      <c r="J15" s="81">
        <f t="shared" si="1"/>
        <v>15238606.500550715</v>
      </c>
      <c r="K15" s="81">
        <f t="shared" si="1"/>
        <v>7525888.0224180128</v>
      </c>
      <c r="L15" s="81">
        <f t="shared" si="1"/>
        <v>5932352.9886956923</v>
      </c>
      <c r="M15" s="81">
        <f t="shared" si="1"/>
        <v>0</v>
      </c>
      <c r="N15" s="81">
        <f t="shared" si="1"/>
        <v>912401.38965180062</v>
      </c>
      <c r="O15" s="81">
        <f t="shared" si="1"/>
        <v>84338.573173184122</v>
      </c>
    </row>
    <row r="16" spans="1:16">
      <c r="A16" s="13">
        <f t="shared" si="0"/>
        <v>9</v>
      </c>
      <c r="B16" s="84"/>
      <c r="C16" s="9"/>
      <c r="D16" s="70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13">
        <f t="shared" si="0"/>
        <v>10</v>
      </c>
      <c r="B17" s="85"/>
      <c r="C17" s="5" t="s">
        <v>181</v>
      </c>
      <c r="D17" s="70"/>
      <c r="E17" s="9"/>
      <c r="F17" s="86"/>
      <c r="G17" s="86"/>
      <c r="H17" s="86"/>
      <c r="I17" s="86"/>
      <c r="J17" s="86"/>
      <c r="K17" s="9"/>
      <c r="L17" s="9"/>
      <c r="M17" s="9"/>
      <c r="N17" s="9"/>
      <c r="O17" s="9"/>
    </row>
    <row r="18" spans="1:15">
      <c r="A18" s="13">
        <f t="shared" si="0"/>
        <v>11</v>
      </c>
      <c r="B18" s="84">
        <v>555</v>
      </c>
      <c r="C18" s="53" t="s">
        <v>182</v>
      </c>
      <c r="D18" s="70" t="s">
        <v>120</v>
      </c>
      <c r="E18" s="53">
        <v>491005393</v>
      </c>
      <c r="F18" s="53">
        <v>261465456.18531343</v>
      </c>
      <c r="G18" s="53">
        <v>59278163.756034896</v>
      </c>
      <c r="H18" s="53">
        <v>65765010.012432873</v>
      </c>
      <c r="I18" s="53">
        <v>44858249.992646322</v>
      </c>
      <c r="J18" s="53">
        <v>30606198.509430058</v>
      </c>
      <c r="K18" s="53">
        <v>15115478.096080728</v>
      </c>
      <c r="L18" s="53">
        <v>11914919.726647533</v>
      </c>
      <c r="M18" s="53">
        <v>0</v>
      </c>
      <c r="N18" s="53">
        <v>1832525.7004932608</v>
      </c>
      <c r="O18" s="53">
        <v>169391.02092092737</v>
      </c>
    </row>
    <row r="19" spans="1:15">
      <c r="A19" s="13">
        <f t="shared" si="0"/>
        <v>12</v>
      </c>
      <c r="B19" s="84">
        <v>555.01</v>
      </c>
      <c r="C19" s="53" t="s">
        <v>183</v>
      </c>
      <c r="D19" s="70" t="s">
        <v>184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</row>
    <row r="20" spans="1:15">
      <c r="A20" s="13">
        <f t="shared" si="0"/>
        <v>13</v>
      </c>
      <c r="B20" s="84">
        <v>555.02</v>
      </c>
      <c r="C20" s="53" t="s">
        <v>185</v>
      </c>
      <c r="D20" s="70" t="s">
        <v>186</v>
      </c>
      <c r="E20" s="53">
        <v>469038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423525.90296714328</v>
      </c>
      <c r="N20" s="53">
        <v>0</v>
      </c>
      <c r="O20" s="53">
        <v>45512.097032856684</v>
      </c>
    </row>
    <row r="21" spans="1:15">
      <c r="A21" s="13">
        <f t="shared" si="0"/>
        <v>14</v>
      </c>
      <c r="B21" s="84">
        <v>557</v>
      </c>
      <c r="C21" s="53" t="s">
        <v>187</v>
      </c>
      <c r="D21" s="70" t="s">
        <v>120</v>
      </c>
      <c r="E21" s="53">
        <v>8842901</v>
      </c>
      <c r="F21" s="53">
        <v>4708936.3516758038</v>
      </c>
      <c r="G21" s="53">
        <v>1067586.9166194773</v>
      </c>
      <c r="H21" s="53">
        <v>1184413.6156035108</v>
      </c>
      <c r="I21" s="53">
        <v>807887.38652046153</v>
      </c>
      <c r="J21" s="53">
        <v>551211.01980490377</v>
      </c>
      <c r="K21" s="53">
        <v>272226.49338865891</v>
      </c>
      <c r="L21" s="53">
        <v>214585.12893704858</v>
      </c>
      <c r="M21" s="53">
        <v>0</v>
      </c>
      <c r="N21" s="53">
        <v>33003.391776223434</v>
      </c>
      <c r="O21" s="53">
        <v>3050.6956739122611</v>
      </c>
    </row>
    <row r="22" spans="1:15">
      <c r="A22" s="71">
        <f t="shared" si="0"/>
        <v>15</v>
      </c>
      <c r="B22" s="87"/>
      <c r="C22" s="81" t="s">
        <v>180</v>
      </c>
      <c r="D22" s="74"/>
      <c r="E22" s="81">
        <f t="shared" ref="E22:O22" si="2">SUM(E18:E21)</f>
        <v>500317332</v>
      </c>
      <c r="F22" s="81">
        <f t="shared" si="2"/>
        <v>266174392.53698924</v>
      </c>
      <c r="G22" s="81">
        <f t="shared" si="2"/>
        <v>60345750.672654375</v>
      </c>
      <c r="H22" s="81">
        <f t="shared" si="2"/>
        <v>66949423.628036387</v>
      </c>
      <c r="I22" s="81">
        <f t="shared" si="2"/>
        <v>45666137.379166782</v>
      </c>
      <c r="J22" s="81">
        <f t="shared" si="2"/>
        <v>31157409.529234961</v>
      </c>
      <c r="K22" s="81">
        <f t="shared" si="2"/>
        <v>15387704.589469386</v>
      </c>
      <c r="L22" s="81">
        <f t="shared" si="2"/>
        <v>12129504.855584582</v>
      </c>
      <c r="M22" s="81">
        <f t="shared" si="2"/>
        <v>423525.90296714328</v>
      </c>
      <c r="N22" s="81">
        <f t="shared" si="2"/>
        <v>1865529.0922694842</v>
      </c>
      <c r="O22" s="81">
        <f t="shared" si="2"/>
        <v>217953.81362769633</v>
      </c>
    </row>
    <row r="23" spans="1:15">
      <c r="A23" s="13">
        <f t="shared" si="0"/>
        <v>16</v>
      </c>
      <c r="B23" s="84"/>
      <c r="C23" s="9"/>
      <c r="D23" s="70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15">
      <c r="A24" s="13">
        <f t="shared" si="0"/>
        <v>17</v>
      </c>
      <c r="B24" s="85"/>
      <c r="C24" s="5" t="s">
        <v>188</v>
      </c>
      <c r="D24" s="70"/>
      <c r="E24" s="9"/>
      <c r="F24" s="86"/>
      <c r="G24" s="86"/>
      <c r="H24" s="86"/>
      <c r="I24" s="86"/>
      <c r="J24" s="86"/>
      <c r="K24" s="9"/>
      <c r="L24" s="9"/>
      <c r="M24" s="9"/>
      <c r="N24" s="9"/>
      <c r="O24" s="9"/>
    </row>
    <row r="25" spans="1:15">
      <c r="A25" s="13">
        <f t="shared" si="0"/>
        <v>18</v>
      </c>
      <c r="B25" s="84">
        <v>565</v>
      </c>
      <c r="C25" s="53" t="s">
        <v>189</v>
      </c>
      <c r="D25" s="70" t="s">
        <v>142</v>
      </c>
      <c r="E25" s="53">
        <v>97689360</v>
      </c>
      <c r="F25" s="53">
        <v>52020595.783662423</v>
      </c>
      <c r="G25" s="53">
        <v>11793853.920668127</v>
      </c>
      <c r="H25" s="53">
        <v>13084462.676173009</v>
      </c>
      <c r="I25" s="53">
        <v>8924899.3900594972</v>
      </c>
      <c r="J25" s="53">
        <v>6089342.3718854683</v>
      </c>
      <c r="K25" s="53">
        <v>3007342.4902282995</v>
      </c>
      <c r="L25" s="53">
        <v>2370566.39120779</v>
      </c>
      <c r="M25" s="53">
        <v>0</v>
      </c>
      <c r="N25" s="53">
        <v>364595.30876219587</v>
      </c>
      <c r="O25" s="53">
        <v>33701.667353197488</v>
      </c>
    </row>
    <row r="26" spans="1:15">
      <c r="A26" s="71">
        <f t="shared" si="0"/>
        <v>19</v>
      </c>
      <c r="B26" s="87"/>
      <c r="C26" s="81" t="s">
        <v>180</v>
      </c>
      <c r="D26" s="74"/>
      <c r="E26" s="81">
        <f>SUM(E25)</f>
        <v>97689360</v>
      </c>
      <c r="F26" s="81">
        <f t="shared" ref="F26:O26" si="3">SUM(F25)</f>
        <v>52020595.783662423</v>
      </c>
      <c r="G26" s="81">
        <f t="shared" si="3"/>
        <v>11793853.920668127</v>
      </c>
      <c r="H26" s="81">
        <f t="shared" si="3"/>
        <v>13084462.676173009</v>
      </c>
      <c r="I26" s="81">
        <f t="shared" si="3"/>
        <v>8924899.3900594972</v>
      </c>
      <c r="J26" s="81">
        <f t="shared" si="3"/>
        <v>6089342.3718854683</v>
      </c>
      <c r="K26" s="81">
        <f t="shared" si="3"/>
        <v>3007342.4902282995</v>
      </c>
      <c r="L26" s="81">
        <f t="shared" si="3"/>
        <v>2370566.39120779</v>
      </c>
      <c r="M26" s="81">
        <f t="shared" si="3"/>
        <v>0</v>
      </c>
      <c r="N26" s="81">
        <f t="shared" si="3"/>
        <v>364595.30876219587</v>
      </c>
      <c r="O26" s="81">
        <f t="shared" si="3"/>
        <v>33701.667353197488</v>
      </c>
    </row>
    <row r="27" spans="1:15">
      <c r="A27" s="13">
        <f t="shared" si="0"/>
        <v>20</v>
      </c>
      <c r="B27" s="84"/>
      <c r="C27" s="9"/>
      <c r="D27" s="70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>
      <c r="A28" s="13">
        <f t="shared" si="0"/>
        <v>21</v>
      </c>
      <c r="B28" s="84"/>
      <c r="C28" s="5" t="s">
        <v>190</v>
      </c>
      <c r="D28" s="70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>
      <c r="A29" s="13">
        <f t="shared" si="0"/>
        <v>22</v>
      </c>
      <c r="B29" s="84">
        <v>500</v>
      </c>
      <c r="C29" s="53" t="s">
        <v>191</v>
      </c>
      <c r="D29" s="70" t="s">
        <v>142</v>
      </c>
      <c r="E29" s="53">
        <v>48365857</v>
      </c>
      <c r="F29" s="53">
        <v>25755319.686068367</v>
      </c>
      <c r="G29" s="53">
        <v>5839119.5541246664</v>
      </c>
      <c r="H29" s="53">
        <v>6478098.0315320008</v>
      </c>
      <c r="I29" s="53">
        <v>4418704.428394299</v>
      </c>
      <c r="J29" s="53">
        <v>3014824.3614519872</v>
      </c>
      <c r="K29" s="53">
        <v>1488930.7989366069</v>
      </c>
      <c r="L29" s="53">
        <v>1173663.8983627493</v>
      </c>
      <c r="M29" s="53">
        <v>0</v>
      </c>
      <c r="N29" s="53">
        <v>180510.59569295173</v>
      </c>
      <c r="O29" s="53">
        <v>16685.645436374223</v>
      </c>
    </row>
    <row r="30" spans="1:15">
      <c r="A30" s="13">
        <f t="shared" si="0"/>
        <v>23</v>
      </c>
      <c r="B30" s="84">
        <v>535</v>
      </c>
      <c r="C30" s="53" t="s">
        <v>192</v>
      </c>
      <c r="D30" s="70" t="s">
        <v>142</v>
      </c>
      <c r="E30" s="53">
        <v>16531478</v>
      </c>
      <c r="F30" s="53">
        <v>8803183.2202044129</v>
      </c>
      <c r="G30" s="53">
        <v>1995814.4533318565</v>
      </c>
      <c r="H30" s="53">
        <v>2214217.6678501652</v>
      </c>
      <c r="I30" s="53">
        <v>1510315.7387762801</v>
      </c>
      <c r="J30" s="53">
        <v>1030468.7169134123</v>
      </c>
      <c r="K30" s="53">
        <v>508917.41143226187</v>
      </c>
      <c r="L30" s="53">
        <v>401159.00179703266</v>
      </c>
      <c r="M30" s="53">
        <v>0</v>
      </c>
      <c r="N30" s="53">
        <v>61698.626398058586</v>
      </c>
      <c r="O30" s="53">
        <v>5703.1632965217759</v>
      </c>
    </row>
    <row r="31" spans="1:15">
      <c r="A31" s="13">
        <f t="shared" si="0"/>
        <v>24</v>
      </c>
      <c r="B31" s="84">
        <v>545</v>
      </c>
      <c r="C31" s="53" t="s">
        <v>193</v>
      </c>
      <c r="D31" s="70" t="s">
        <v>142</v>
      </c>
      <c r="E31" s="53">
        <v>62230113</v>
      </c>
      <c r="F31" s="53">
        <v>33138179.571906663</v>
      </c>
      <c r="G31" s="53">
        <v>7512925.2785428278</v>
      </c>
      <c r="H31" s="53">
        <v>8335069.3553784024</v>
      </c>
      <c r="I31" s="53">
        <v>5685342.7799817054</v>
      </c>
      <c r="J31" s="53">
        <v>3879035.1774043832</v>
      </c>
      <c r="K31" s="53">
        <v>1915738.4488608427</v>
      </c>
      <c r="L31" s="53">
        <v>1510099.0977816107</v>
      </c>
      <c r="M31" s="53">
        <v>0</v>
      </c>
      <c r="N31" s="53">
        <v>232254.64127865445</v>
      </c>
      <c r="O31" s="53">
        <v>21468.648864911091</v>
      </c>
    </row>
    <row r="32" spans="1:15">
      <c r="A32" s="13">
        <f t="shared" si="0"/>
        <v>25</v>
      </c>
      <c r="B32" s="84">
        <v>556</v>
      </c>
      <c r="C32" s="53" t="s">
        <v>194</v>
      </c>
      <c r="D32" s="70" t="s">
        <v>142</v>
      </c>
      <c r="E32" s="53">
        <v>1372490</v>
      </c>
      <c r="F32" s="53">
        <v>730865.1372792169</v>
      </c>
      <c r="G32" s="53">
        <v>165698.15348956938</v>
      </c>
      <c r="H32" s="53">
        <v>183830.60528209718</v>
      </c>
      <c r="I32" s="53">
        <v>125390.67881970729</v>
      </c>
      <c r="J32" s="53">
        <v>85552.423641521309</v>
      </c>
      <c r="K32" s="53">
        <v>42251.761035320931</v>
      </c>
      <c r="L32" s="53">
        <v>33305.353482393366</v>
      </c>
      <c r="M32" s="53">
        <v>0</v>
      </c>
      <c r="N32" s="53">
        <v>5122.3942435801218</v>
      </c>
      <c r="O32" s="53">
        <v>473.49272659366409</v>
      </c>
    </row>
    <row r="33" spans="1:15">
      <c r="A33" s="71">
        <f t="shared" si="0"/>
        <v>26</v>
      </c>
      <c r="B33" s="87"/>
      <c r="C33" s="81" t="s">
        <v>180</v>
      </c>
      <c r="D33" s="74"/>
      <c r="E33" s="81">
        <f>SUM(E29:E32)</f>
        <v>128499938</v>
      </c>
      <c r="F33" s="81">
        <f t="shared" ref="F33:O33" si="4">SUM(F29:F32)</f>
        <v>68427547.615458667</v>
      </c>
      <c r="G33" s="81">
        <f t="shared" si="4"/>
        <v>15513557.439488919</v>
      </c>
      <c r="H33" s="81">
        <f t="shared" si="4"/>
        <v>17211215.660042666</v>
      </c>
      <c r="I33" s="81">
        <f t="shared" si="4"/>
        <v>11739753.62597199</v>
      </c>
      <c r="J33" s="81">
        <f t="shared" si="4"/>
        <v>8009880.6794113042</v>
      </c>
      <c r="K33" s="81">
        <f t="shared" si="4"/>
        <v>3955838.4202650324</v>
      </c>
      <c r="L33" s="81">
        <f t="shared" si="4"/>
        <v>3118227.351423786</v>
      </c>
      <c r="M33" s="81">
        <f t="shared" si="4"/>
        <v>0</v>
      </c>
      <c r="N33" s="81">
        <f t="shared" si="4"/>
        <v>479586.25761324487</v>
      </c>
      <c r="O33" s="81">
        <f t="shared" si="4"/>
        <v>44330.950324400757</v>
      </c>
    </row>
    <row r="34" spans="1:15">
      <c r="A34" s="13">
        <f t="shared" si="0"/>
        <v>27</v>
      </c>
      <c r="B34" s="84"/>
      <c r="C34" s="9"/>
      <c r="D34" s="70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spans="1:15">
      <c r="A35" s="13">
        <f t="shared" si="0"/>
        <v>28</v>
      </c>
      <c r="B35" s="84"/>
      <c r="C35" s="5" t="s">
        <v>195</v>
      </c>
      <c r="D35" s="70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</row>
    <row r="36" spans="1:15">
      <c r="A36" s="13">
        <f t="shared" si="0"/>
        <v>29</v>
      </c>
      <c r="B36" s="84">
        <v>565.01</v>
      </c>
      <c r="C36" s="53" t="s">
        <v>196</v>
      </c>
      <c r="D36" s="70" t="s">
        <v>197</v>
      </c>
      <c r="E36" s="53">
        <v>12230526</v>
      </c>
      <c r="F36" s="53">
        <v>6272940.1005431106</v>
      </c>
      <c r="G36" s="53">
        <v>1421228.4589318582</v>
      </c>
      <c r="H36" s="53">
        <v>1576468.3294757702</v>
      </c>
      <c r="I36" s="53">
        <v>1075188.381557679</v>
      </c>
      <c r="J36" s="53">
        <v>733378.15072579379</v>
      </c>
      <c r="K36" s="53">
        <v>362238.29707743868</v>
      </c>
      <c r="L36" s="53">
        <v>285532.17402781639</v>
      </c>
      <c r="M36" s="53">
        <v>423858.28423235944</v>
      </c>
      <c r="N36" s="53">
        <v>43916.809080351995</v>
      </c>
      <c r="O36" s="53">
        <v>35777.014347822231</v>
      </c>
    </row>
    <row r="37" spans="1:15">
      <c r="A37" s="71">
        <f>+A36+1</f>
        <v>30</v>
      </c>
      <c r="B37" s="87"/>
      <c r="C37" s="81" t="s">
        <v>180</v>
      </c>
      <c r="D37" s="74"/>
      <c r="E37" s="81">
        <f t="shared" ref="E37:O37" si="5">SUM(E36:E36)</f>
        <v>12230526</v>
      </c>
      <c r="F37" s="81">
        <f t="shared" si="5"/>
        <v>6272940.1005431106</v>
      </c>
      <c r="G37" s="81">
        <f t="shared" si="5"/>
        <v>1421228.4589318582</v>
      </c>
      <c r="H37" s="81">
        <f t="shared" si="5"/>
        <v>1576468.3294757702</v>
      </c>
      <c r="I37" s="81">
        <f t="shared" si="5"/>
        <v>1075188.381557679</v>
      </c>
      <c r="J37" s="81">
        <f t="shared" si="5"/>
        <v>733378.15072579379</v>
      </c>
      <c r="K37" s="81">
        <f t="shared" si="5"/>
        <v>362238.29707743868</v>
      </c>
      <c r="L37" s="81">
        <f t="shared" si="5"/>
        <v>285532.17402781639</v>
      </c>
      <c r="M37" s="81">
        <f t="shared" si="5"/>
        <v>423858.28423235944</v>
      </c>
      <c r="N37" s="81">
        <f t="shared" si="5"/>
        <v>43916.809080351995</v>
      </c>
      <c r="O37" s="81">
        <f t="shared" si="5"/>
        <v>35777.014347822231</v>
      </c>
    </row>
    <row r="38" spans="1:15">
      <c r="A38" s="13">
        <f t="shared" si="0"/>
        <v>31</v>
      </c>
      <c r="B38" s="84"/>
      <c r="C38" s="9"/>
      <c r="D38" s="70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>
      <c r="A39" s="13">
        <f t="shared" si="0"/>
        <v>32</v>
      </c>
      <c r="B39" s="84"/>
      <c r="C39" s="9" t="s">
        <v>198</v>
      </c>
      <c r="D39" s="70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1:15">
      <c r="A40" s="13">
        <f t="shared" si="0"/>
        <v>33</v>
      </c>
      <c r="B40" s="84">
        <v>581</v>
      </c>
      <c r="C40" s="5" t="s">
        <v>199</v>
      </c>
      <c r="D40" s="70" t="s">
        <v>200</v>
      </c>
      <c r="E40" s="53">
        <v>2574880</v>
      </c>
      <c r="F40" s="53">
        <v>1345248.3957504095</v>
      </c>
      <c r="G40" s="53">
        <v>388146.46497110935</v>
      </c>
      <c r="H40" s="53">
        <v>238561.80578895519</v>
      </c>
      <c r="I40" s="53">
        <v>90479.603638760178</v>
      </c>
      <c r="J40" s="53">
        <v>192508.68960150075</v>
      </c>
      <c r="K40" s="53">
        <v>28982.270639447481</v>
      </c>
      <c r="L40" s="53">
        <v>18276.815947832314</v>
      </c>
      <c r="M40" s="53">
        <v>34634.843757437935</v>
      </c>
      <c r="N40" s="53">
        <v>231820.49171677951</v>
      </c>
      <c r="O40" s="53">
        <v>6220.6181877680119</v>
      </c>
    </row>
    <row r="41" spans="1:15">
      <c r="A41" s="13">
        <f t="shared" si="0"/>
        <v>34</v>
      </c>
      <c r="B41" s="84">
        <v>582</v>
      </c>
      <c r="C41" s="53" t="s">
        <v>201</v>
      </c>
      <c r="D41" s="70" t="s">
        <v>202</v>
      </c>
      <c r="E41" s="53">
        <v>1836613</v>
      </c>
      <c r="F41" s="53">
        <v>906642.80185872223</v>
      </c>
      <c r="G41" s="53">
        <v>225804.51251482454</v>
      </c>
      <c r="H41" s="53">
        <v>233508.67035253436</v>
      </c>
      <c r="I41" s="53">
        <v>153304.79519918971</v>
      </c>
      <c r="J41" s="53">
        <v>123067.16243098464</v>
      </c>
      <c r="K41" s="53">
        <v>47268.459876158173</v>
      </c>
      <c r="L41" s="53">
        <v>46273.933690230901</v>
      </c>
      <c r="M41" s="53">
        <v>80675.322195139976</v>
      </c>
      <c r="N41" s="53">
        <v>10849.497731761514</v>
      </c>
      <c r="O41" s="53">
        <v>9217.844150453835</v>
      </c>
    </row>
    <row r="42" spans="1:15">
      <c r="A42" s="13">
        <f t="shared" si="0"/>
        <v>35</v>
      </c>
      <c r="B42" s="84">
        <v>583</v>
      </c>
      <c r="C42" s="53" t="s">
        <v>203</v>
      </c>
      <c r="D42" s="70" t="s">
        <v>144</v>
      </c>
      <c r="E42" s="53">
        <v>3601388</v>
      </c>
      <c r="F42" s="53">
        <v>2216564.8540361505</v>
      </c>
      <c r="G42" s="53">
        <v>416246.64419558353</v>
      </c>
      <c r="H42" s="53">
        <v>375507.58863561467</v>
      </c>
      <c r="I42" s="53">
        <v>197417.39857045154</v>
      </c>
      <c r="J42" s="53">
        <v>191380.15530585864</v>
      </c>
      <c r="K42" s="53">
        <v>44411.845345959453</v>
      </c>
      <c r="L42" s="53">
        <v>29626.904331633708</v>
      </c>
      <c r="M42" s="53">
        <v>101441.1175018145</v>
      </c>
      <c r="N42" s="53">
        <v>16485.869970947326</v>
      </c>
      <c r="O42" s="53">
        <v>12305.622105986511</v>
      </c>
    </row>
    <row r="43" spans="1:15">
      <c r="A43" s="13">
        <f t="shared" si="0"/>
        <v>36</v>
      </c>
      <c r="B43" s="84">
        <v>584</v>
      </c>
      <c r="C43" s="53" t="s">
        <v>204</v>
      </c>
      <c r="D43" s="70" t="s">
        <v>205</v>
      </c>
      <c r="E43" s="53">
        <v>2333501</v>
      </c>
      <c r="F43" s="53">
        <v>1551426.7810452089</v>
      </c>
      <c r="G43" s="53">
        <v>266677.90940554242</v>
      </c>
      <c r="H43" s="53">
        <v>237794.12714124584</v>
      </c>
      <c r="I43" s="53">
        <v>107712.30198745662</v>
      </c>
      <c r="J43" s="53">
        <v>108020.21205344546</v>
      </c>
      <c r="K43" s="53">
        <v>40576.768677402571</v>
      </c>
      <c r="L43" s="53">
        <v>3576.6820800023738</v>
      </c>
      <c r="M43" s="53">
        <v>2156.8272994355875</v>
      </c>
      <c r="N43" s="53">
        <v>14003.586909533924</v>
      </c>
      <c r="O43" s="53">
        <v>1555.8034007263718</v>
      </c>
    </row>
    <row r="44" spans="1:15">
      <c r="A44" s="13">
        <f t="shared" si="0"/>
        <v>37</v>
      </c>
      <c r="B44" s="84">
        <v>585</v>
      </c>
      <c r="C44" s="53" t="s">
        <v>206</v>
      </c>
      <c r="D44" s="70" t="s">
        <v>151</v>
      </c>
      <c r="E44" s="53">
        <v>1277448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1277448</v>
      </c>
      <c r="O44" s="53">
        <v>0</v>
      </c>
    </row>
    <row r="45" spans="1:15">
      <c r="A45" s="13">
        <f t="shared" si="0"/>
        <v>38</v>
      </c>
      <c r="B45" s="84">
        <v>586</v>
      </c>
      <c r="C45" s="53" t="s">
        <v>207</v>
      </c>
      <c r="D45" s="70" t="s">
        <v>208</v>
      </c>
      <c r="E45" s="53">
        <v>1657562</v>
      </c>
      <c r="F45" s="53">
        <v>881684.2581000072</v>
      </c>
      <c r="G45" s="53">
        <v>384666.37511641433</v>
      </c>
      <c r="H45" s="53">
        <v>151077.5342610926</v>
      </c>
      <c r="I45" s="53">
        <v>16663.670378930892</v>
      </c>
      <c r="J45" s="53">
        <v>199141.115559514</v>
      </c>
      <c r="K45" s="53">
        <v>9656.2837594189077</v>
      </c>
      <c r="L45" s="53">
        <v>7251.8585237042771</v>
      </c>
      <c r="M45" s="53">
        <v>3777.0096477626439</v>
      </c>
      <c r="N45" s="53">
        <v>0</v>
      </c>
      <c r="O45" s="53">
        <v>3643.8946531552001</v>
      </c>
    </row>
    <row r="46" spans="1:15">
      <c r="A46" s="13">
        <f t="shared" si="0"/>
        <v>39</v>
      </c>
      <c r="B46" s="84">
        <v>587</v>
      </c>
      <c r="C46" s="53" t="s">
        <v>209</v>
      </c>
      <c r="D46" s="70" t="s">
        <v>208</v>
      </c>
      <c r="E46" s="53">
        <v>3941538</v>
      </c>
      <c r="F46" s="53">
        <v>2096568.3378980611</v>
      </c>
      <c r="G46" s="53">
        <v>914703.12111619441</v>
      </c>
      <c r="H46" s="53">
        <v>359249.21193680743</v>
      </c>
      <c r="I46" s="53">
        <v>39624.756128597612</v>
      </c>
      <c r="J46" s="53">
        <v>473540.22011859325</v>
      </c>
      <c r="K46" s="53">
        <v>22961.801354358078</v>
      </c>
      <c r="L46" s="53">
        <v>17244.287659710051</v>
      </c>
      <c r="M46" s="53">
        <v>8981.3998227656502</v>
      </c>
      <c r="N46" s="53">
        <v>0</v>
      </c>
      <c r="O46" s="53">
        <v>8664.863964912347</v>
      </c>
    </row>
    <row r="47" spans="1:15">
      <c r="A47" s="13">
        <f t="shared" si="0"/>
        <v>40</v>
      </c>
      <c r="B47" s="84">
        <v>589</v>
      </c>
      <c r="C47" s="53" t="s">
        <v>210</v>
      </c>
      <c r="D47" s="70" t="s">
        <v>200</v>
      </c>
      <c r="E47" s="53">
        <v>847171</v>
      </c>
      <c r="F47" s="53">
        <v>442605.25876012479</v>
      </c>
      <c r="G47" s="53">
        <v>127705.53535544945</v>
      </c>
      <c r="H47" s="53">
        <v>78490.121315181663</v>
      </c>
      <c r="I47" s="53">
        <v>29769.036341208954</v>
      </c>
      <c r="J47" s="53">
        <v>63338.011510591947</v>
      </c>
      <c r="K47" s="53">
        <v>9535.5663952849682</v>
      </c>
      <c r="L47" s="53">
        <v>6013.3242882546183</v>
      </c>
      <c r="M47" s="53">
        <v>11395.340839508037</v>
      </c>
      <c r="N47" s="53">
        <v>76272.136094962028</v>
      </c>
      <c r="O47" s="53">
        <v>2046.66909943361</v>
      </c>
    </row>
    <row r="48" spans="1:15">
      <c r="A48" s="13">
        <f t="shared" si="0"/>
        <v>41</v>
      </c>
      <c r="B48" s="84">
        <v>580</v>
      </c>
      <c r="C48" s="53" t="s">
        <v>211</v>
      </c>
      <c r="D48" s="70" t="s">
        <v>212</v>
      </c>
      <c r="E48" s="53">
        <v>2389181</v>
      </c>
      <c r="F48" s="53">
        <v>1248229.7844588323</v>
      </c>
      <c r="G48" s="53">
        <v>360153.54475786828</v>
      </c>
      <c r="H48" s="53">
        <v>221356.85302486399</v>
      </c>
      <c r="I48" s="53">
        <v>83954.2619078391</v>
      </c>
      <c r="J48" s="53">
        <v>178625.06351006773</v>
      </c>
      <c r="K48" s="53">
        <v>26892.084426701738</v>
      </c>
      <c r="L48" s="53">
        <v>16958.701532909479</v>
      </c>
      <c r="M48" s="53">
        <v>32136.996925386553</v>
      </c>
      <c r="N48" s="53">
        <v>215101.71900064734</v>
      </c>
      <c r="O48" s="53">
        <v>5771.9904548832428</v>
      </c>
    </row>
    <row r="49" spans="1:15">
      <c r="A49" s="13">
        <f t="shared" si="0"/>
        <v>42</v>
      </c>
      <c r="B49" s="84">
        <v>588</v>
      </c>
      <c r="C49" s="53" t="s">
        <v>213</v>
      </c>
      <c r="D49" s="70" t="s">
        <v>212</v>
      </c>
      <c r="E49" s="53">
        <v>2703767</v>
      </c>
      <c r="F49" s="53">
        <v>1412585.5260178712</v>
      </c>
      <c r="G49" s="53">
        <v>407575.34454248013</v>
      </c>
      <c r="H49" s="53">
        <v>250503.14498251799</v>
      </c>
      <c r="I49" s="53">
        <v>95008.608747421124</v>
      </c>
      <c r="J49" s="53">
        <v>202144.81535364012</v>
      </c>
      <c r="K49" s="53">
        <v>30432.993747284141</v>
      </c>
      <c r="L49" s="53">
        <v>19191.671776868334</v>
      </c>
      <c r="M49" s="53">
        <v>36368.509445689386</v>
      </c>
      <c r="N49" s="53">
        <v>243424.39081728144</v>
      </c>
      <c r="O49" s="53">
        <v>6531.9945689457181</v>
      </c>
    </row>
    <row r="50" spans="1:15">
      <c r="A50" s="71">
        <f t="shared" si="0"/>
        <v>43</v>
      </c>
      <c r="B50" s="87"/>
      <c r="C50" s="81" t="s">
        <v>180</v>
      </c>
      <c r="D50" s="74"/>
      <c r="E50" s="81">
        <f>SUM(E40:E49)</f>
        <v>23163049</v>
      </c>
      <c r="F50" s="81">
        <f t="shared" ref="F50:O50" si="6">SUM(F40:F49)</f>
        <v>12101555.997925388</v>
      </c>
      <c r="G50" s="81">
        <f t="shared" si="6"/>
        <v>3491679.4519754667</v>
      </c>
      <c r="H50" s="81">
        <f t="shared" si="6"/>
        <v>2146049.0574388141</v>
      </c>
      <c r="I50" s="81">
        <f t="shared" si="6"/>
        <v>813934.43289985578</v>
      </c>
      <c r="J50" s="81">
        <f t="shared" si="6"/>
        <v>1731765.4454441967</v>
      </c>
      <c r="K50" s="81">
        <f t="shared" si="6"/>
        <v>260718.07422201551</v>
      </c>
      <c r="L50" s="81">
        <f t="shared" si="6"/>
        <v>164414.17983114606</v>
      </c>
      <c r="M50" s="81">
        <f t="shared" si="6"/>
        <v>311567.36743494024</v>
      </c>
      <c r="N50" s="81">
        <f t="shared" si="6"/>
        <v>2085405.6922419132</v>
      </c>
      <c r="O50" s="81">
        <f t="shared" si="6"/>
        <v>55959.30058626485</v>
      </c>
    </row>
    <row r="51" spans="1:15">
      <c r="A51" s="13">
        <f t="shared" si="0"/>
        <v>44</v>
      </c>
      <c r="B51" s="84"/>
      <c r="C51" s="9"/>
      <c r="D51" s="70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>
      <c r="A52" s="13">
        <f t="shared" si="0"/>
        <v>45</v>
      </c>
      <c r="B52" s="84"/>
      <c r="C52" s="5" t="s">
        <v>214</v>
      </c>
      <c r="D52" s="70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</row>
    <row r="53" spans="1:15">
      <c r="A53" s="13">
        <f t="shared" si="0"/>
        <v>46</v>
      </c>
      <c r="B53" s="84">
        <v>901</v>
      </c>
      <c r="C53" s="53" t="s">
        <v>215</v>
      </c>
      <c r="D53" s="70" t="s">
        <v>216</v>
      </c>
      <c r="E53" s="53">
        <v>247044</v>
      </c>
      <c r="F53" s="53">
        <v>204864.76053066159</v>
      </c>
      <c r="G53" s="53">
        <v>28283.85019692131</v>
      </c>
      <c r="H53" s="53">
        <v>5493.9906460154698</v>
      </c>
      <c r="I53" s="53">
        <v>1776.4188436610423</v>
      </c>
      <c r="J53" s="53">
        <v>1326.6649464552063</v>
      </c>
      <c r="K53" s="53">
        <v>2949.6730573864452</v>
      </c>
      <c r="L53" s="53">
        <v>1214.1740231913832</v>
      </c>
      <c r="M53" s="53">
        <v>510.07996675528938</v>
      </c>
      <c r="N53" s="53">
        <v>482.98706665377114</v>
      </c>
      <c r="O53" s="53">
        <v>141.40072229847402</v>
      </c>
    </row>
    <row r="54" spans="1:15">
      <c r="A54" s="13">
        <f t="shared" si="0"/>
        <v>47</v>
      </c>
      <c r="B54" s="84">
        <v>902</v>
      </c>
      <c r="C54" s="53" t="s">
        <v>217</v>
      </c>
      <c r="D54" s="70" t="s">
        <v>218</v>
      </c>
      <c r="E54" s="53">
        <v>17337410</v>
      </c>
      <c r="F54" s="53">
        <v>14494531.761377951</v>
      </c>
      <c r="G54" s="53">
        <v>2156837.9957820745</v>
      </c>
      <c r="H54" s="53">
        <v>490962.47866241727</v>
      </c>
      <c r="I54" s="53">
        <v>59751.530709865707</v>
      </c>
      <c r="J54" s="53">
        <v>43464.206946756589</v>
      </c>
      <c r="K54" s="53">
        <v>12272.011296267201</v>
      </c>
      <c r="L54" s="53">
        <v>51290.765178089699</v>
      </c>
      <c r="M54" s="53">
        <v>22180.249956972017</v>
      </c>
      <c r="N54" s="53">
        <v>0</v>
      </c>
      <c r="O54" s="53">
        <v>6119.0000896043757</v>
      </c>
    </row>
    <row r="55" spans="1:15">
      <c r="A55" s="13">
        <f t="shared" si="0"/>
        <v>48</v>
      </c>
      <c r="B55" s="84">
        <v>903</v>
      </c>
      <c r="C55" s="53" t="s">
        <v>219</v>
      </c>
      <c r="D55" s="70" t="s">
        <v>220</v>
      </c>
      <c r="E55" s="53">
        <v>21548977</v>
      </c>
      <c r="F55" s="53">
        <v>17342978.119558576</v>
      </c>
      <c r="G55" s="53">
        <v>2623203.2671599756</v>
      </c>
      <c r="H55" s="53">
        <v>281600.95372627425</v>
      </c>
      <c r="I55" s="53">
        <v>220354.8326847982</v>
      </c>
      <c r="J55" s="53">
        <v>173772.64357397688</v>
      </c>
      <c r="K55" s="53">
        <v>554465.57898095611</v>
      </c>
      <c r="L55" s="53">
        <v>175343.81557517417</v>
      </c>
      <c r="M55" s="53">
        <v>75824.352681156393</v>
      </c>
      <c r="N55" s="53">
        <v>80383.812209306125</v>
      </c>
      <c r="O55" s="53">
        <v>21049.623849806496</v>
      </c>
    </row>
    <row r="56" spans="1:15">
      <c r="A56" s="13">
        <f t="shared" si="0"/>
        <v>49</v>
      </c>
      <c r="B56" s="84">
        <v>904</v>
      </c>
      <c r="C56" s="53" t="s">
        <v>221</v>
      </c>
      <c r="D56" s="70" t="s">
        <v>222</v>
      </c>
      <c r="E56" s="53">
        <v>8651350</v>
      </c>
      <c r="F56" s="53">
        <v>7587754.1327679362</v>
      </c>
      <c r="G56" s="53">
        <v>661784.23524490953</v>
      </c>
      <c r="H56" s="53">
        <v>283559.78566301224</v>
      </c>
      <c r="I56" s="53">
        <v>61259.701068102506</v>
      </c>
      <c r="J56" s="53">
        <v>37704.478511276422</v>
      </c>
      <c r="K56" s="53">
        <v>0</v>
      </c>
      <c r="L56" s="53">
        <v>6650.4983963038576</v>
      </c>
      <c r="M56" s="53">
        <v>0</v>
      </c>
      <c r="N56" s="53">
        <v>12637.168348458745</v>
      </c>
      <c r="O56" s="53">
        <v>0</v>
      </c>
    </row>
    <row r="57" spans="1:15">
      <c r="A57" s="13">
        <f t="shared" si="0"/>
        <v>50</v>
      </c>
      <c r="B57" s="84">
        <v>905</v>
      </c>
      <c r="C57" s="53" t="s">
        <v>223</v>
      </c>
      <c r="D57" s="70" t="s">
        <v>224</v>
      </c>
      <c r="E57" s="53">
        <v>-72302</v>
      </c>
      <c r="F57" s="53">
        <v>-63875.051581587475</v>
      </c>
      <c r="G57" s="53">
        <v>-7549.6077718693932</v>
      </c>
      <c r="H57" s="53">
        <v>-543.41891043620569</v>
      </c>
      <c r="I57" s="53">
        <v>-56.446918651281166</v>
      </c>
      <c r="J57" s="53">
        <v>-44.513959601485396</v>
      </c>
      <c r="K57" s="53">
        <v>-6.5027922911808478</v>
      </c>
      <c r="L57" s="53">
        <v>-1.5418992030634999</v>
      </c>
      <c r="M57" s="53">
        <v>-1.1396646283512826</v>
      </c>
      <c r="N57" s="53">
        <v>-222.97203258213915</v>
      </c>
      <c r="O57" s="53">
        <v>-0.80446914942443482</v>
      </c>
    </row>
    <row r="58" spans="1:15">
      <c r="A58" s="71">
        <f t="shared" si="0"/>
        <v>51</v>
      </c>
      <c r="B58" s="87"/>
      <c r="C58" s="81" t="s">
        <v>180</v>
      </c>
      <c r="D58" s="74"/>
      <c r="E58" s="81">
        <f>SUM(E53:E57)</f>
        <v>47712479</v>
      </c>
      <c r="F58" s="81">
        <f t="shared" ref="F58:O58" si="7">SUM(F53:F57)</f>
        <v>39566253.722653545</v>
      </c>
      <c r="G58" s="81">
        <f t="shared" si="7"/>
        <v>5462559.7406120114</v>
      </c>
      <c r="H58" s="81">
        <f t="shared" si="7"/>
        <v>1061073.7897872832</v>
      </c>
      <c r="I58" s="81">
        <f t="shared" si="7"/>
        <v>343086.03638777614</v>
      </c>
      <c r="J58" s="81">
        <f t="shared" si="7"/>
        <v>256223.4800188636</v>
      </c>
      <c r="K58" s="81">
        <f t="shared" si="7"/>
        <v>569680.76054231857</v>
      </c>
      <c r="L58" s="81">
        <f t="shared" si="7"/>
        <v>234497.71127355605</v>
      </c>
      <c r="M58" s="81">
        <f t="shared" si="7"/>
        <v>98513.542940255342</v>
      </c>
      <c r="N58" s="81">
        <f t="shared" si="7"/>
        <v>93280.995591836501</v>
      </c>
      <c r="O58" s="81">
        <f t="shared" si="7"/>
        <v>27309.220192559918</v>
      </c>
    </row>
    <row r="59" spans="1:15">
      <c r="A59" s="13">
        <f t="shared" si="0"/>
        <v>52</v>
      </c>
      <c r="B59" s="85"/>
      <c r="C59" s="86"/>
      <c r="D59" s="9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</row>
    <row r="60" spans="1:15">
      <c r="A60" s="13">
        <f t="shared" si="0"/>
        <v>53</v>
      </c>
      <c r="B60" s="85"/>
      <c r="C60" s="5" t="s">
        <v>225</v>
      </c>
      <c r="D60" s="9"/>
      <c r="E60" s="9"/>
      <c r="F60" s="86"/>
      <c r="G60" s="86"/>
      <c r="H60" s="86"/>
      <c r="I60" s="86"/>
      <c r="J60" s="86"/>
      <c r="K60" s="9"/>
      <c r="L60" s="9"/>
      <c r="M60" s="9"/>
      <c r="N60" s="9"/>
      <c r="O60" s="9"/>
    </row>
    <row r="61" spans="1:15">
      <c r="A61" s="13">
        <f t="shared" si="0"/>
        <v>54</v>
      </c>
      <c r="B61" s="84">
        <v>908.01</v>
      </c>
      <c r="C61" s="53" t="s">
        <v>226</v>
      </c>
      <c r="D61" s="70" t="s">
        <v>227</v>
      </c>
      <c r="E61" s="53">
        <v>78106</v>
      </c>
      <c r="F61" s="53">
        <v>69640.041929655781</v>
      </c>
      <c r="G61" s="53">
        <v>7584.4501513409514</v>
      </c>
      <c r="H61" s="53">
        <v>546.1317252868439</v>
      </c>
      <c r="I61" s="53">
        <v>56.812360684201884</v>
      </c>
      <c r="J61" s="53">
        <v>44.900091508482134</v>
      </c>
      <c r="K61" s="53">
        <v>6.4142987869260191</v>
      </c>
      <c r="L61" s="53">
        <v>1.832656796264577</v>
      </c>
      <c r="M61" s="53">
        <v>0.9163283981322885</v>
      </c>
      <c r="N61" s="53">
        <v>223.58412914427836</v>
      </c>
      <c r="O61" s="53">
        <v>0.9163283981322885</v>
      </c>
    </row>
    <row r="62" spans="1:15">
      <c r="A62" s="13">
        <f t="shared" si="0"/>
        <v>55</v>
      </c>
      <c r="B62" s="84">
        <v>908.02</v>
      </c>
      <c r="C62" s="53" t="s">
        <v>228</v>
      </c>
      <c r="D62" s="70" t="s">
        <v>120</v>
      </c>
      <c r="E62" s="53">
        <v>2589</v>
      </c>
      <c r="F62" s="53">
        <v>1378.6693093690246</v>
      </c>
      <c r="G62" s="53">
        <v>312.56513299513665</v>
      </c>
      <c r="H62" s="53">
        <v>346.76932952178129</v>
      </c>
      <c r="I62" s="53">
        <v>236.53102570089555</v>
      </c>
      <c r="J62" s="53">
        <v>161.3820317874073</v>
      </c>
      <c r="K62" s="53">
        <v>79.701716821576753</v>
      </c>
      <c r="L62" s="53">
        <v>62.825638194752919</v>
      </c>
      <c r="M62" s="53">
        <v>0</v>
      </c>
      <c r="N62" s="53">
        <v>9.662641401124187</v>
      </c>
      <c r="O62" s="53">
        <v>0.89317420830096861</v>
      </c>
    </row>
    <row r="63" spans="1:15">
      <c r="A63" s="13">
        <f t="shared" si="0"/>
        <v>56</v>
      </c>
      <c r="B63" s="84">
        <v>909</v>
      </c>
      <c r="C63" s="53" t="s">
        <v>229</v>
      </c>
      <c r="D63" s="70" t="s">
        <v>224</v>
      </c>
      <c r="E63" s="53">
        <v>1437680</v>
      </c>
      <c r="F63" s="53">
        <v>1270115.407012485</v>
      </c>
      <c r="G63" s="53">
        <v>150119.2235548282</v>
      </c>
      <c r="H63" s="53">
        <v>10805.54478653321</v>
      </c>
      <c r="I63" s="53">
        <v>1122.4116346238543</v>
      </c>
      <c r="J63" s="53">
        <v>885.13221542783765</v>
      </c>
      <c r="K63" s="53">
        <v>129.30395315737991</v>
      </c>
      <c r="L63" s="53">
        <v>30.659700233193167</v>
      </c>
      <c r="M63" s="53">
        <v>22.661517563664518</v>
      </c>
      <c r="N63" s="53">
        <v>4433.6592598087163</v>
      </c>
      <c r="O63" s="53">
        <v>15.996365339057308</v>
      </c>
    </row>
    <row r="64" spans="1:15">
      <c r="A64" s="13">
        <f t="shared" si="0"/>
        <v>57</v>
      </c>
      <c r="B64" s="84">
        <v>910</v>
      </c>
      <c r="C64" s="53" t="s">
        <v>230</v>
      </c>
      <c r="D64" s="70" t="s">
        <v>224</v>
      </c>
      <c r="E64" s="53">
        <v>42338</v>
      </c>
      <c r="F64" s="53">
        <v>37403.418077802147</v>
      </c>
      <c r="G64" s="53">
        <v>4420.8361296424218</v>
      </c>
      <c r="H64" s="53">
        <v>318.21069721512646</v>
      </c>
      <c r="I64" s="53">
        <v>33.053714169150815</v>
      </c>
      <c r="J64" s="53">
        <v>26.066111886361217</v>
      </c>
      <c r="K64" s="53">
        <v>3.8078506821943341</v>
      </c>
      <c r="L64" s="53">
        <v>0.90289242979865647</v>
      </c>
      <c r="M64" s="53">
        <v>0.66735527419900698</v>
      </c>
      <c r="N64" s="53">
        <v>130.5660965874057</v>
      </c>
      <c r="O64" s="53">
        <v>0.47107431119929899</v>
      </c>
    </row>
    <row r="65" spans="1:15">
      <c r="A65" s="13">
        <f t="shared" si="0"/>
        <v>58</v>
      </c>
      <c r="B65" s="84">
        <v>911</v>
      </c>
      <c r="C65" s="53" t="s">
        <v>231</v>
      </c>
      <c r="D65" s="70" t="s">
        <v>151</v>
      </c>
      <c r="E65" s="53">
        <v>3557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>
        <v>0</v>
      </c>
      <c r="M65" s="53">
        <v>0</v>
      </c>
      <c r="N65" s="53">
        <v>3557</v>
      </c>
      <c r="O65" s="53">
        <v>0</v>
      </c>
    </row>
    <row r="66" spans="1:15">
      <c r="A66" s="13">
        <f t="shared" si="0"/>
        <v>59</v>
      </c>
      <c r="B66" s="84">
        <v>912</v>
      </c>
      <c r="C66" s="53" t="s">
        <v>232</v>
      </c>
      <c r="D66" s="70" t="s">
        <v>224</v>
      </c>
      <c r="E66" s="53">
        <v>112237</v>
      </c>
      <c r="F66" s="53">
        <v>99155.54430531153</v>
      </c>
      <c r="G66" s="53">
        <v>11719.528194120565</v>
      </c>
      <c r="H66" s="53">
        <v>843.56875675124354</v>
      </c>
      <c r="I66" s="53">
        <v>87.624585885090937</v>
      </c>
      <c r="J66" s="53">
        <v>69.100623548337751</v>
      </c>
      <c r="K66" s="53">
        <v>10.094518801489098</v>
      </c>
      <c r="L66" s="53">
        <v>2.393545695198446</v>
      </c>
      <c r="M66" s="53">
        <v>1.7691424703640686</v>
      </c>
      <c r="N66" s="53">
        <v>346.12752096652309</v>
      </c>
      <c r="O66" s="53">
        <v>1.2488064496687543</v>
      </c>
    </row>
    <row r="67" spans="1:15">
      <c r="A67" s="13">
        <f t="shared" si="0"/>
        <v>60</v>
      </c>
      <c r="B67" s="84">
        <v>913</v>
      </c>
      <c r="C67" s="53" t="s">
        <v>233</v>
      </c>
      <c r="D67" s="70" t="s">
        <v>224</v>
      </c>
      <c r="E67" s="53">
        <v>202</v>
      </c>
      <c r="F67" s="53">
        <v>178.45648003486309</v>
      </c>
      <c r="G67" s="53">
        <v>21.092373238881599</v>
      </c>
      <c r="H67" s="53">
        <v>1.5182238376270856</v>
      </c>
      <c r="I67" s="53">
        <v>0.15770348769824896</v>
      </c>
      <c r="J67" s="53">
        <v>0.12436474564327472</v>
      </c>
      <c r="K67" s="53">
        <v>1.816774145692417E-2</v>
      </c>
      <c r="L67" s="53">
        <v>4.3078149846315032E-3</v>
      </c>
      <c r="M67" s="53">
        <v>3.1840371625537203E-3</v>
      </c>
      <c r="N67" s="53">
        <v>0.62294750603845128</v>
      </c>
      <c r="O67" s="53">
        <v>2.2475556441555675E-3</v>
      </c>
    </row>
    <row r="68" spans="1:15">
      <c r="A68" s="13">
        <f t="shared" si="0"/>
        <v>61</v>
      </c>
      <c r="B68" s="84">
        <v>916</v>
      </c>
      <c r="C68" s="53" t="s">
        <v>234</v>
      </c>
      <c r="D68" s="70" t="s">
        <v>224</v>
      </c>
      <c r="E68" s="53">
        <v>30503</v>
      </c>
      <c r="F68" s="53">
        <v>26947.81193318529</v>
      </c>
      <c r="G68" s="53">
        <v>3185.0527767604231</v>
      </c>
      <c r="H68" s="53">
        <v>229.25931544128213</v>
      </c>
      <c r="I68" s="53">
        <v>23.814007352770734</v>
      </c>
      <c r="J68" s="53">
        <v>18.779692259192124</v>
      </c>
      <c r="K68" s="53">
        <v>2.7434188993096926</v>
      </c>
      <c r="L68" s="53">
        <v>0.65050138849611261</v>
      </c>
      <c r="M68" s="53">
        <v>0.48080537410582241</v>
      </c>
      <c r="N68" s="53">
        <v>94.068157310350898</v>
      </c>
      <c r="O68" s="53">
        <v>0.3393920287805805</v>
      </c>
    </row>
    <row r="69" spans="1:15">
      <c r="A69" s="71">
        <f t="shared" si="0"/>
        <v>62</v>
      </c>
      <c r="B69" s="87"/>
      <c r="C69" s="81" t="s">
        <v>180</v>
      </c>
      <c r="D69" s="74"/>
      <c r="E69" s="81">
        <f>SUM(E61:E68)</f>
        <v>1707212</v>
      </c>
      <c r="F69" s="81">
        <f t="shared" ref="F69:O69" si="8">SUM(F61:F68)</f>
        <v>1504819.3490478434</v>
      </c>
      <c r="G69" s="81">
        <f t="shared" si="8"/>
        <v>177362.74831292656</v>
      </c>
      <c r="H69" s="81">
        <f t="shared" si="8"/>
        <v>13091.002834587114</v>
      </c>
      <c r="I69" s="81">
        <f t="shared" si="8"/>
        <v>1560.4050319036623</v>
      </c>
      <c r="J69" s="81">
        <f t="shared" si="8"/>
        <v>1205.4851311632615</v>
      </c>
      <c r="K69" s="81">
        <f t="shared" si="8"/>
        <v>232.08392489033272</v>
      </c>
      <c r="L69" s="81">
        <f t="shared" si="8"/>
        <v>99.269242552688496</v>
      </c>
      <c r="M69" s="81">
        <f t="shared" si="8"/>
        <v>26.498333117628263</v>
      </c>
      <c r="N69" s="81">
        <f t="shared" si="8"/>
        <v>8795.290752724437</v>
      </c>
      <c r="O69" s="81">
        <f t="shared" si="8"/>
        <v>19.867388290783357</v>
      </c>
    </row>
    <row r="70" spans="1:15">
      <c r="A70" s="13">
        <f t="shared" si="0"/>
        <v>63</v>
      </c>
      <c r="B70" s="84"/>
      <c r="C70" s="53"/>
      <c r="D70" s="9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</row>
    <row r="71" spans="1:15">
      <c r="A71" s="13">
        <f t="shared" si="0"/>
        <v>64</v>
      </c>
      <c r="B71" s="84"/>
      <c r="C71" s="5" t="s">
        <v>235</v>
      </c>
      <c r="D71" s="9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</row>
    <row r="72" spans="1:15">
      <c r="A72" s="13">
        <f t="shared" si="0"/>
        <v>65</v>
      </c>
      <c r="B72" s="84">
        <v>920</v>
      </c>
      <c r="C72" s="53" t="s">
        <v>236</v>
      </c>
      <c r="D72" s="70" t="s">
        <v>237</v>
      </c>
      <c r="E72" s="53">
        <v>24784299</v>
      </c>
      <c r="F72" s="53">
        <v>14786300.712346179</v>
      </c>
      <c r="G72" s="53">
        <v>2981573.6651196359</v>
      </c>
      <c r="H72" s="53">
        <v>2574647.9117845139</v>
      </c>
      <c r="I72" s="53">
        <v>1578285.1348920146</v>
      </c>
      <c r="J72" s="53">
        <v>1262046.3753184264</v>
      </c>
      <c r="K72" s="53">
        <v>550508.9048331771</v>
      </c>
      <c r="L72" s="53">
        <v>394873.62709612813</v>
      </c>
      <c r="M72" s="53">
        <v>189858.13540065032</v>
      </c>
      <c r="N72" s="53">
        <v>436849.26442971185</v>
      </c>
      <c r="O72" s="53">
        <v>29355.268779563936</v>
      </c>
    </row>
    <row r="73" spans="1:15">
      <c r="A73" s="13">
        <f t="shared" ref="A73:A136" si="9">+A72+1</f>
        <v>66</v>
      </c>
      <c r="B73" s="84">
        <v>921</v>
      </c>
      <c r="C73" s="53" t="s">
        <v>238</v>
      </c>
      <c r="D73" s="70" t="s">
        <v>237</v>
      </c>
      <c r="E73" s="53">
        <v>5111329</v>
      </c>
      <c r="F73" s="53">
        <v>3049416.3919558781</v>
      </c>
      <c r="G73" s="53">
        <v>614897.517987589</v>
      </c>
      <c r="H73" s="53">
        <v>530976.1852168435</v>
      </c>
      <c r="I73" s="53">
        <v>325493.75635931705</v>
      </c>
      <c r="J73" s="53">
        <v>260275.03289521957</v>
      </c>
      <c r="K73" s="53">
        <v>113532.85118259986</v>
      </c>
      <c r="L73" s="53">
        <v>81435.792132415183</v>
      </c>
      <c r="M73" s="53">
        <v>39154.926002114109</v>
      </c>
      <c r="N73" s="53">
        <v>90092.534548112686</v>
      </c>
      <c r="O73" s="53">
        <v>6054.0117199110509</v>
      </c>
    </row>
    <row r="74" spans="1:15">
      <c r="A74" s="13">
        <f t="shared" si="9"/>
        <v>67</v>
      </c>
      <c r="B74" s="84">
        <v>922</v>
      </c>
      <c r="C74" s="53" t="s">
        <v>239</v>
      </c>
      <c r="D74" s="70" t="s">
        <v>237</v>
      </c>
      <c r="E74" s="53">
        <v>-168649</v>
      </c>
      <c r="F74" s="53">
        <v>-100615.91126045043</v>
      </c>
      <c r="G74" s="53">
        <v>-20288.627773929031</v>
      </c>
      <c r="H74" s="53">
        <v>-17519.631911903038</v>
      </c>
      <c r="I74" s="53">
        <v>-10739.711045061365</v>
      </c>
      <c r="J74" s="53">
        <v>-8587.8103371443885</v>
      </c>
      <c r="K74" s="53">
        <v>-3746.0319652861872</v>
      </c>
      <c r="L74" s="53">
        <v>-2686.9851084404245</v>
      </c>
      <c r="M74" s="53">
        <v>-1291.9221430141833</v>
      </c>
      <c r="N74" s="53">
        <v>-2972.6155093919124</v>
      </c>
      <c r="O74" s="53">
        <v>-199.75294537903525</v>
      </c>
    </row>
    <row r="75" spans="1:15">
      <c r="A75" s="13">
        <f t="shared" si="9"/>
        <v>68</v>
      </c>
      <c r="B75" s="84">
        <v>923</v>
      </c>
      <c r="C75" s="53" t="s">
        <v>240</v>
      </c>
      <c r="D75" s="70" t="s">
        <v>237</v>
      </c>
      <c r="E75" s="53">
        <v>12532060</v>
      </c>
      <c r="F75" s="53">
        <v>7476620.8923304649</v>
      </c>
      <c r="G75" s="53">
        <v>1507618.1926993048</v>
      </c>
      <c r="H75" s="53">
        <v>1301858.1687284452</v>
      </c>
      <c r="I75" s="53">
        <v>798052.18649011711</v>
      </c>
      <c r="J75" s="53">
        <v>638147.59894048411</v>
      </c>
      <c r="K75" s="53">
        <v>278362.14475558361</v>
      </c>
      <c r="L75" s="53">
        <v>199665.92507564178</v>
      </c>
      <c r="M75" s="53">
        <v>96000.84086820751</v>
      </c>
      <c r="N75" s="53">
        <v>220890.70151990236</v>
      </c>
      <c r="O75" s="53">
        <v>14843.348591849301</v>
      </c>
    </row>
    <row r="76" spans="1:15">
      <c r="A76" s="13">
        <f t="shared" si="9"/>
        <v>69</v>
      </c>
      <c r="B76" s="84">
        <v>924</v>
      </c>
      <c r="C76" s="53" t="s">
        <v>241</v>
      </c>
      <c r="D76" s="70" t="s">
        <v>242</v>
      </c>
      <c r="E76" s="53">
        <v>5589667</v>
      </c>
      <c r="F76" s="53">
        <v>3231676.3044379894</v>
      </c>
      <c r="G76" s="53">
        <v>673555.51111111569</v>
      </c>
      <c r="H76" s="53">
        <v>648140.88085997105</v>
      </c>
      <c r="I76" s="53">
        <v>390367.19492614543</v>
      </c>
      <c r="J76" s="53">
        <v>302684.32204537786</v>
      </c>
      <c r="K76" s="53">
        <v>128486.86831965267</v>
      </c>
      <c r="L76" s="53">
        <v>89125.981546201103</v>
      </c>
      <c r="M76" s="53">
        <v>52989.278585171036</v>
      </c>
      <c r="N76" s="53">
        <v>65276.99938133292</v>
      </c>
      <c r="O76" s="53">
        <v>7363.6587870419717</v>
      </c>
    </row>
    <row r="77" spans="1:15">
      <c r="A77" s="13">
        <f t="shared" si="9"/>
        <v>70</v>
      </c>
      <c r="B77" s="84">
        <v>925</v>
      </c>
      <c r="C77" s="53" t="s">
        <v>243</v>
      </c>
      <c r="D77" s="70" t="s">
        <v>244</v>
      </c>
      <c r="E77" s="53">
        <v>4694777</v>
      </c>
      <c r="F77" s="53">
        <v>2900939.1194219482</v>
      </c>
      <c r="G77" s="53">
        <v>559694.08330282965</v>
      </c>
      <c r="H77" s="53">
        <v>472941.54549045488</v>
      </c>
      <c r="I77" s="53">
        <v>281559.5891861174</v>
      </c>
      <c r="J77" s="53">
        <v>217118.70842961594</v>
      </c>
      <c r="K77" s="53">
        <v>99507.823527131011</v>
      </c>
      <c r="L77" s="53">
        <v>67005.973035247371</v>
      </c>
      <c r="M77" s="53">
        <v>38084.365580053171</v>
      </c>
      <c r="N77" s="53">
        <v>52429.57880586313</v>
      </c>
      <c r="O77" s="53">
        <v>5496.2132207394316</v>
      </c>
    </row>
    <row r="78" spans="1:15">
      <c r="A78" s="13">
        <f t="shared" si="9"/>
        <v>71</v>
      </c>
      <c r="B78" s="84">
        <v>926</v>
      </c>
      <c r="C78" s="53" t="s">
        <v>245</v>
      </c>
      <c r="D78" s="70" t="s">
        <v>244</v>
      </c>
      <c r="E78" s="53">
        <v>26991610</v>
      </c>
      <c r="F78" s="53">
        <v>16678325.156909611</v>
      </c>
      <c r="G78" s="53">
        <v>3217840.6803597892</v>
      </c>
      <c r="H78" s="53">
        <v>2719075.6341942581</v>
      </c>
      <c r="I78" s="53">
        <v>1618766.2636738443</v>
      </c>
      <c r="J78" s="53">
        <v>1248277.2880662717</v>
      </c>
      <c r="K78" s="53">
        <v>572098.81632144505</v>
      </c>
      <c r="L78" s="53">
        <v>385236.42163150955</v>
      </c>
      <c r="M78" s="53">
        <v>218957.86377802806</v>
      </c>
      <c r="N78" s="53">
        <v>301432.57999093964</v>
      </c>
      <c r="O78" s="53">
        <v>31599.295074301212</v>
      </c>
    </row>
    <row r="79" spans="1:15">
      <c r="A79" s="13">
        <f t="shared" si="9"/>
        <v>72</v>
      </c>
      <c r="B79" s="84">
        <v>928</v>
      </c>
      <c r="C79" s="53" t="s">
        <v>246</v>
      </c>
      <c r="D79" s="70" t="s">
        <v>247</v>
      </c>
      <c r="E79" s="53">
        <v>5866802</v>
      </c>
      <c r="F79" s="53">
        <v>3140653.4453597125</v>
      </c>
      <c r="G79" s="53">
        <v>709113.06376476469</v>
      </c>
      <c r="H79" s="53">
        <v>769485.3180541636</v>
      </c>
      <c r="I79" s="53">
        <v>515897.36840433476</v>
      </c>
      <c r="J79" s="53">
        <v>363429.68838832638</v>
      </c>
      <c r="K79" s="53">
        <v>172504.55001524798</v>
      </c>
      <c r="L79" s="53">
        <v>134721.42976237569</v>
      </c>
      <c r="M79" s="53">
        <v>13643.035490415505</v>
      </c>
      <c r="N79" s="53">
        <v>43838.082547460217</v>
      </c>
      <c r="O79" s="53">
        <v>3516.0182131994206</v>
      </c>
    </row>
    <row r="80" spans="1:15">
      <c r="A80" s="13">
        <f t="shared" si="9"/>
        <v>73</v>
      </c>
      <c r="B80" s="84">
        <v>930</v>
      </c>
      <c r="C80" s="53" t="s">
        <v>248</v>
      </c>
      <c r="D80" s="70" t="s">
        <v>237</v>
      </c>
      <c r="E80" s="53">
        <v>3038246</v>
      </c>
      <c r="F80" s="53">
        <v>1812616.0838393262</v>
      </c>
      <c r="G80" s="53">
        <v>365503.751457932</v>
      </c>
      <c r="H80" s="53">
        <v>315619.72841707786</v>
      </c>
      <c r="I80" s="53">
        <v>193478.0765009785</v>
      </c>
      <c r="J80" s="53">
        <v>154711.14803875261</v>
      </c>
      <c r="K80" s="53">
        <v>67485.526948887316</v>
      </c>
      <c r="L80" s="53">
        <v>48406.582652602068</v>
      </c>
      <c r="M80" s="53">
        <v>23274.239890685803</v>
      </c>
      <c r="N80" s="53">
        <v>53552.272358258517</v>
      </c>
      <c r="O80" s="53">
        <v>3598.5898954993645</v>
      </c>
    </row>
    <row r="81" spans="1:15">
      <c r="A81" s="13">
        <f t="shared" si="9"/>
        <v>74</v>
      </c>
      <c r="B81" s="84">
        <v>931</v>
      </c>
      <c r="C81" s="53" t="s">
        <v>249</v>
      </c>
      <c r="D81" s="70" t="s">
        <v>237</v>
      </c>
      <c r="E81" s="53">
        <v>5002702</v>
      </c>
      <c r="F81" s="53">
        <v>2984609.5766620492</v>
      </c>
      <c r="G81" s="53">
        <v>601829.59129250876</v>
      </c>
      <c r="H81" s="53">
        <v>519691.77169708186</v>
      </c>
      <c r="I81" s="53">
        <v>318576.29706995346</v>
      </c>
      <c r="J81" s="53">
        <v>254743.61513707699</v>
      </c>
      <c r="K81" s="53">
        <v>111120.02801558941</v>
      </c>
      <c r="L81" s="53">
        <v>79705.102170573955</v>
      </c>
      <c r="M81" s="53">
        <v>38322.79757781748</v>
      </c>
      <c r="N81" s="53">
        <v>88177.869741688017</v>
      </c>
      <c r="O81" s="53">
        <v>5925.3506356609905</v>
      </c>
    </row>
    <row r="82" spans="1:15">
      <c r="A82" s="71">
        <f t="shared" si="9"/>
        <v>75</v>
      </c>
      <c r="B82" s="87"/>
      <c r="C82" s="81" t="s">
        <v>180</v>
      </c>
      <c r="D82" s="74"/>
      <c r="E82" s="81">
        <f t="shared" ref="E82:O82" si="10">SUM(E72:E81)</f>
        <v>93442843</v>
      </c>
      <c r="F82" s="81">
        <f t="shared" si="10"/>
        <v>55960541.772002704</v>
      </c>
      <c r="G82" s="81">
        <f t="shared" si="10"/>
        <v>11211337.429321539</v>
      </c>
      <c r="H82" s="81">
        <f t="shared" si="10"/>
        <v>9834917.512530908</v>
      </c>
      <c r="I82" s="81">
        <f t="shared" si="10"/>
        <v>6009736.1564577613</v>
      </c>
      <c r="J82" s="81">
        <f t="shared" si="10"/>
        <v>4692845.966922407</v>
      </c>
      <c r="K82" s="81">
        <f t="shared" si="10"/>
        <v>2089861.4819540279</v>
      </c>
      <c r="L82" s="81">
        <f t="shared" si="10"/>
        <v>1477489.8499942545</v>
      </c>
      <c r="M82" s="81">
        <f t="shared" si="10"/>
        <v>708993.56103012874</v>
      </c>
      <c r="N82" s="81">
        <f t="shared" si="10"/>
        <v>1349567.2678138774</v>
      </c>
      <c r="O82" s="81">
        <f t="shared" si="10"/>
        <v>107552.00197238765</v>
      </c>
    </row>
    <row r="83" spans="1:15">
      <c r="A83" s="13">
        <f t="shared" si="9"/>
        <v>76</v>
      </c>
      <c r="B83" s="84"/>
      <c r="C83" s="53"/>
      <c r="D83" s="9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</row>
    <row r="84" spans="1:15">
      <c r="A84" s="71">
        <f t="shared" si="9"/>
        <v>77</v>
      </c>
      <c r="B84" s="88"/>
      <c r="C84" s="73" t="s">
        <v>250</v>
      </c>
      <c r="D84" s="89"/>
      <c r="E84" s="73">
        <f t="shared" ref="E84:O84" si="11">SUM(E82,E69,E58,E50,E37,E33,E26,E22,E15)</f>
        <v>1149230799</v>
      </c>
      <c r="F84" s="73">
        <f t="shared" si="11"/>
        <v>632210420.32091916</v>
      </c>
      <c r="G84" s="73">
        <f t="shared" si="11"/>
        <v>138931502.00833952</v>
      </c>
      <c r="H84" s="73">
        <f t="shared" si="11"/>
        <v>144620627.98142201</v>
      </c>
      <c r="I84" s="73">
        <f t="shared" si="11"/>
        <v>96908896.418930739</v>
      </c>
      <c r="J84" s="73">
        <f t="shared" si="11"/>
        <v>67910657.609324872</v>
      </c>
      <c r="K84" s="73">
        <f t="shared" si="11"/>
        <v>33159504.220101424</v>
      </c>
      <c r="L84" s="73">
        <f t="shared" si="11"/>
        <v>25712684.771281175</v>
      </c>
      <c r="M84" s="73">
        <f t="shared" si="11"/>
        <v>1966485.1569379447</v>
      </c>
      <c r="N84" s="73">
        <f t="shared" si="11"/>
        <v>7203078.1037774291</v>
      </c>
      <c r="O84" s="73">
        <f t="shared" si="11"/>
        <v>606942.40896580415</v>
      </c>
    </row>
    <row r="85" spans="1:15">
      <c r="A85" s="13">
        <f t="shared" si="9"/>
        <v>78</v>
      </c>
      <c r="B85" s="84"/>
      <c r="C85" s="53"/>
      <c r="D85" s="9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</row>
    <row r="86" spans="1:15">
      <c r="A86" s="13">
        <f t="shared" si="9"/>
        <v>79</v>
      </c>
      <c r="B86" s="84"/>
      <c r="C86" s="5" t="s">
        <v>251</v>
      </c>
      <c r="D86" s="9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</row>
    <row r="87" spans="1:15">
      <c r="A87" s="13">
        <f t="shared" si="9"/>
        <v>80</v>
      </c>
      <c r="B87" s="84">
        <v>592</v>
      </c>
      <c r="C87" s="53" t="s">
        <v>252</v>
      </c>
      <c r="D87" s="70" t="s">
        <v>202</v>
      </c>
      <c r="E87" s="53">
        <v>4533470</v>
      </c>
      <c r="F87" s="53">
        <v>2237944.4896352477</v>
      </c>
      <c r="G87" s="53">
        <v>557372.71997453016</v>
      </c>
      <c r="H87" s="53">
        <v>576389.55609216751</v>
      </c>
      <c r="I87" s="53">
        <v>378415.42550971301</v>
      </c>
      <c r="J87" s="53">
        <v>303777.27309236943</v>
      </c>
      <c r="K87" s="53">
        <v>116676.80931952829</v>
      </c>
      <c r="L87" s="53">
        <v>114221.93470625064</v>
      </c>
      <c r="M87" s="53">
        <v>199137.84390723641</v>
      </c>
      <c r="N87" s="53">
        <v>26780.749391411726</v>
      </c>
      <c r="O87" s="53">
        <v>22753.198371544771</v>
      </c>
    </row>
    <row r="88" spans="1:15">
      <c r="A88" s="13">
        <f t="shared" si="9"/>
        <v>81</v>
      </c>
      <c r="B88" s="84">
        <v>593</v>
      </c>
      <c r="C88" s="53" t="s">
        <v>203</v>
      </c>
      <c r="D88" s="70" t="s">
        <v>144</v>
      </c>
      <c r="E88" s="53">
        <v>39277147</v>
      </c>
      <c r="F88" s="53">
        <v>24174108.317962803</v>
      </c>
      <c r="G88" s="53">
        <v>4539633.2281683143</v>
      </c>
      <c r="H88" s="53">
        <v>4095328.4562664637</v>
      </c>
      <c r="I88" s="53">
        <v>2153056.5948487679</v>
      </c>
      <c r="J88" s="53">
        <v>2087213.7333803074</v>
      </c>
      <c r="K88" s="53">
        <v>484360.63489813241</v>
      </c>
      <c r="L88" s="53">
        <v>323114.38717197755</v>
      </c>
      <c r="M88" s="53">
        <v>1106328.3611660395</v>
      </c>
      <c r="N88" s="53">
        <v>179796.77231994551</v>
      </c>
      <c r="O88" s="53">
        <v>134206.51381725096</v>
      </c>
    </row>
    <row r="89" spans="1:15">
      <c r="A89" s="13">
        <f t="shared" si="9"/>
        <v>82</v>
      </c>
      <c r="B89" s="84">
        <v>594</v>
      </c>
      <c r="C89" s="53" t="s">
        <v>204</v>
      </c>
      <c r="D89" s="70" t="s">
        <v>205</v>
      </c>
      <c r="E89" s="53">
        <v>12256736</v>
      </c>
      <c r="F89" s="53">
        <v>8148883.7924650256</v>
      </c>
      <c r="G89" s="53">
        <v>1400728.2330779589</v>
      </c>
      <c r="H89" s="53">
        <v>1249015.8944524492</v>
      </c>
      <c r="I89" s="53">
        <v>565759.88157388021</v>
      </c>
      <c r="J89" s="53">
        <v>567377.18209810019</v>
      </c>
      <c r="K89" s="53">
        <v>213129.85998805764</v>
      </c>
      <c r="L89" s="53">
        <v>18786.556341959986</v>
      </c>
      <c r="M89" s="53">
        <v>11328.755722313788</v>
      </c>
      <c r="N89" s="53">
        <v>73553.972251656698</v>
      </c>
      <c r="O89" s="53">
        <v>8171.8720285979525</v>
      </c>
    </row>
    <row r="90" spans="1:15">
      <c r="A90" s="13">
        <f t="shared" si="9"/>
        <v>83</v>
      </c>
      <c r="B90" s="84">
        <v>595</v>
      </c>
      <c r="C90" s="53" t="s">
        <v>253</v>
      </c>
      <c r="D90" s="70" t="s">
        <v>254</v>
      </c>
      <c r="E90" s="53">
        <v>251626</v>
      </c>
      <c r="F90" s="53">
        <v>178139.89019461817</v>
      </c>
      <c r="G90" s="53">
        <v>43181.799621782629</v>
      </c>
      <c r="H90" s="53">
        <v>22426.286875168345</v>
      </c>
      <c r="I90" s="53">
        <v>5398.753406984144</v>
      </c>
      <c r="J90" s="53">
        <v>647.34079152821334</v>
      </c>
      <c r="K90" s="53">
        <v>1685.3354893128833</v>
      </c>
      <c r="L90" s="53">
        <v>0</v>
      </c>
      <c r="M90" s="53">
        <v>0</v>
      </c>
      <c r="N90" s="53">
        <v>134.4843233995571</v>
      </c>
      <c r="O90" s="53">
        <v>12.109297206047822</v>
      </c>
    </row>
    <row r="91" spans="1:15">
      <c r="A91" s="13">
        <f t="shared" si="9"/>
        <v>84</v>
      </c>
      <c r="B91" s="84">
        <v>596</v>
      </c>
      <c r="C91" s="53" t="s">
        <v>206</v>
      </c>
      <c r="D91" s="70" t="s">
        <v>151</v>
      </c>
      <c r="E91" s="53">
        <v>1927203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3">
        <v>0</v>
      </c>
      <c r="M91" s="53">
        <v>0</v>
      </c>
      <c r="N91" s="53">
        <v>1927203</v>
      </c>
      <c r="O91" s="53">
        <v>0</v>
      </c>
    </row>
    <row r="92" spans="1:15">
      <c r="A92" s="13">
        <f t="shared" si="9"/>
        <v>85</v>
      </c>
      <c r="B92" s="84">
        <v>597</v>
      </c>
      <c r="C92" s="53" t="s">
        <v>255</v>
      </c>
      <c r="D92" s="70" t="s">
        <v>208</v>
      </c>
      <c r="E92" s="53">
        <v>516791</v>
      </c>
      <c r="F92" s="53">
        <v>274889.56034691964</v>
      </c>
      <c r="G92" s="53">
        <v>119930.4283416167</v>
      </c>
      <c r="H92" s="53">
        <v>47102.618187629967</v>
      </c>
      <c r="I92" s="53">
        <v>5195.3621516408284</v>
      </c>
      <c r="J92" s="53">
        <v>62087.77484710484</v>
      </c>
      <c r="K92" s="53">
        <v>3010.6147102273439</v>
      </c>
      <c r="L92" s="53">
        <v>2260.9683488905134</v>
      </c>
      <c r="M92" s="53">
        <v>1177.5876817138089</v>
      </c>
      <c r="N92" s="53">
        <v>0</v>
      </c>
      <c r="O92" s="53">
        <v>1136.0853842563529</v>
      </c>
    </row>
    <row r="93" spans="1:15">
      <c r="A93" s="71">
        <f>+A92+1</f>
        <v>86</v>
      </c>
      <c r="B93" s="87"/>
      <c r="C93" s="81" t="s">
        <v>180</v>
      </c>
      <c r="D93" s="38"/>
      <c r="E93" s="81">
        <f t="shared" ref="E93:O93" si="12">SUM(E87:E92)</f>
        <v>58762973</v>
      </c>
      <c r="F93" s="81">
        <f t="shared" si="12"/>
        <v>35013966.050604612</v>
      </c>
      <c r="G93" s="81">
        <f t="shared" si="12"/>
        <v>6660846.4091842026</v>
      </c>
      <c r="H93" s="81">
        <f t="shared" si="12"/>
        <v>5990262.8118738784</v>
      </c>
      <c r="I93" s="81">
        <f t="shared" si="12"/>
        <v>3107826.0174909863</v>
      </c>
      <c r="J93" s="81">
        <f t="shared" si="12"/>
        <v>3021103.3042094097</v>
      </c>
      <c r="K93" s="81">
        <f t="shared" si="12"/>
        <v>818863.25440525857</v>
      </c>
      <c r="L93" s="81">
        <f t="shared" si="12"/>
        <v>458383.84656907868</v>
      </c>
      <c r="M93" s="81">
        <f t="shared" si="12"/>
        <v>1317972.5484773035</v>
      </c>
      <c r="N93" s="81">
        <f t="shared" si="12"/>
        <v>2207468.9782864135</v>
      </c>
      <c r="O93" s="81">
        <f t="shared" si="12"/>
        <v>166279.77889885608</v>
      </c>
    </row>
    <row r="94" spans="1:15">
      <c r="A94" s="13">
        <f t="shared" si="9"/>
        <v>87</v>
      </c>
      <c r="B94" s="84"/>
      <c r="C94" s="53"/>
      <c r="D94" s="70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</row>
    <row r="95" spans="1:15">
      <c r="A95" s="13">
        <f t="shared" si="9"/>
        <v>88</v>
      </c>
      <c r="B95" s="84"/>
      <c r="C95" s="5" t="s">
        <v>256</v>
      </c>
      <c r="D95" s="9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</row>
    <row r="96" spans="1:15">
      <c r="A96" s="13">
        <f t="shared" si="9"/>
        <v>89</v>
      </c>
      <c r="B96" s="84">
        <v>935</v>
      </c>
      <c r="C96" s="53" t="s">
        <v>257</v>
      </c>
      <c r="D96" s="70" t="s">
        <v>158</v>
      </c>
      <c r="E96" s="53">
        <v>5139757</v>
      </c>
      <c r="F96" s="53">
        <v>3158673.3911013622</v>
      </c>
      <c r="G96" s="53">
        <v>613261.70310782059</v>
      </c>
      <c r="H96" s="53">
        <v>524334.36548453895</v>
      </c>
      <c r="I96" s="53">
        <v>312686.61573002476</v>
      </c>
      <c r="J96" s="53">
        <v>241087.73383446765</v>
      </c>
      <c r="K96" s="53">
        <v>109816.54419456891</v>
      </c>
      <c r="L96" s="53">
        <v>74195.791408877325</v>
      </c>
      <c r="M96" s="53">
        <v>42174.365921845048</v>
      </c>
      <c r="N96" s="53">
        <v>57460.140266488932</v>
      </c>
      <c r="O96" s="53">
        <v>6066.3489500063215</v>
      </c>
    </row>
    <row r="97" spans="1:15">
      <c r="A97" s="13">
        <f t="shared" si="9"/>
        <v>90</v>
      </c>
      <c r="B97" s="84">
        <v>411</v>
      </c>
      <c r="C97" s="53" t="s">
        <v>258</v>
      </c>
      <c r="D97" s="70" t="s">
        <v>142</v>
      </c>
      <c r="E97" s="53">
        <v>3380802</v>
      </c>
      <c r="F97" s="53">
        <v>1800312.0735625401</v>
      </c>
      <c r="G97" s="53">
        <v>408157.90913875011</v>
      </c>
      <c r="H97" s="53">
        <v>452822.8824974497</v>
      </c>
      <c r="I97" s="53">
        <v>308870.05204775551</v>
      </c>
      <c r="J97" s="53">
        <v>210738.0053421901</v>
      </c>
      <c r="K97" s="53">
        <v>104077.14315713414</v>
      </c>
      <c r="L97" s="53">
        <v>82039.800409461968</v>
      </c>
      <c r="M97" s="53">
        <v>0</v>
      </c>
      <c r="N97" s="53">
        <v>12617.797363539379</v>
      </c>
      <c r="O97" s="53">
        <v>1166.3364811789613</v>
      </c>
    </row>
    <row r="98" spans="1:15">
      <c r="A98" s="13">
        <f t="shared" si="9"/>
        <v>91</v>
      </c>
      <c r="B98" s="84">
        <v>411.01</v>
      </c>
      <c r="C98" s="53" t="s">
        <v>259</v>
      </c>
      <c r="D98" s="70" t="s">
        <v>197</v>
      </c>
      <c r="E98" s="53">
        <v>680129</v>
      </c>
      <c r="F98" s="53">
        <v>348832.78753851517</v>
      </c>
      <c r="G98" s="53">
        <v>79033.288555607985</v>
      </c>
      <c r="H98" s="53">
        <v>87666.043836383324</v>
      </c>
      <c r="I98" s="53">
        <v>59790.298369869182</v>
      </c>
      <c r="J98" s="53">
        <v>40782.526301402198</v>
      </c>
      <c r="K98" s="53">
        <v>20143.759209782253</v>
      </c>
      <c r="L98" s="53">
        <v>15878.197878763734</v>
      </c>
      <c r="M98" s="53">
        <v>23570.393537994227</v>
      </c>
      <c r="N98" s="53">
        <v>2442.1758674165544</v>
      </c>
      <c r="O98" s="53">
        <v>1989.528904265441</v>
      </c>
    </row>
    <row r="99" spans="1:15">
      <c r="A99" s="13">
        <f t="shared" si="9"/>
        <v>92</v>
      </c>
      <c r="B99" s="84">
        <v>411.02</v>
      </c>
      <c r="C99" s="53" t="s">
        <v>260</v>
      </c>
      <c r="D99" s="70" t="s">
        <v>154</v>
      </c>
      <c r="E99" s="53">
        <v>-2082384</v>
      </c>
      <c r="F99" s="53">
        <v>-1303768.3408711748</v>
      </c>
      <c r="G99" s="53">
        <v>-251793.26132561089</v>
      </c>
      <c r="H99" s="53">
        <v>-205315.39916778391</v>
      </c>
      <c r="I99" s="53">
        <v>-100129.48259195576</v>
      </c>
      <c r="J99" s="53">
        <v>-96500.6775106563</v>
      </c>
      <c r="K99" s="53">
        <v>-31136.610306604325</v>
      </c>
      <c r="L99" s="53">
        <v>-15227.333445307228</v>
      </c>
      <c r="M99" s="53">
        <v>-32151.771993329454</v>
      </c>
      <c r="N99" s="53">
        <v>-42094.079580613528</v>
      </c>
      <c r="O99" s="53">
        <v>-4267.0432069639774</v>
      </c>
    </row>
    <row r="100" spans="1:15">
      <c r="A100" s="13">
        <f t="shared" si="9"/>
        <v>93</v>
      </c>
      <c r="B100" s="84">
        <v>411.03</v>
      </c>
      <c r="C100" s="53" t="s">
        <v>261</v>
      </c>
      <c r="D100" s="70" t="s">
        <v>262</v>
      </c>
      <c r="E100" s="53">
        <v>1582025</v>
      </c>
      <c r="F100" s="53">
        <v>970883.39321155625</v>
      </c>
      <c r="G100" s="53">
        <v>190475.44572729024</v>
      </c>
      <c r="H100" s="53">
        <v>161231.53318808641</v>
      </c>
      <c r="I100" s="53">
        <v>82970.382969105412</v>
      </c>
      <c r="J100" s="53">
        <v>75673.348354939721</v>
      </c>
      <c r="K100" s="53">
        <v>26195.904050843685</v>
      </c>
      <c r="L100" s="53">
        <v>14346.395236238988</v>
      </c>
      <c r="M100" s="53">
        <v>27755.587222399776</v>
      </c>
      <c r="N100" s="53">
        <v>29099.467107852033</v>
      </c>
      <c r="O100" s="53">
        <v>3393.5429316876825</v>
      </c>
    </row>
    <row r="101" spans="1:15">
      <c r="A101" s="13">
        <f t="shared" si="9"/>
        <v>94</v>
      </c>
      <c r="B101" s="84">
        <v>411.04</v>
      </c>
      <c r="C101" s="53" t="s">
        <v>263</v>
      </c>
      <c r="D101" s="70" t="s">
        <v>142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3">
        <v>0</v>
      </c>
      <c r="M101" s="53">
        <v>0</v>
      </c>
      <c r="N101" s="53">
        <v>0</v>
      </c>
      <c r="O101" s="53">
        <v>0</v>
      </c>
    </row>
    <row r="102" spans="1:15">
      <c r="A102" s="71">
        <f>+A101+1</f>
        <v>95</v>
      </c>
      <c r="B102" s="87"/>
      <c r="C102" s="81" t="s">
        <v>180</v>
      </c>
      <c r="D102" s="38"/>
      <c r="E102" s="81">
        <f t="shared" ref="E102:O102" si="13">SUM(E96:E101)</f>
        <v>8700329</v>
      </c>
      <c r="F102" s="81">
        <f t="shared" si="13"/>
        <v>4974933.3045427995</v>
      </c>
      <c r="G102" s="81">
        <f t="shared" si="13"/>
        <v>1039135.0852038579</v>
      </c>
      <c r="H102" s="81">
        <f t="shared" si="13"/>
        <v>1020739.4258386744</v>
      </c>
      <c r="I102" s="81">
        <f t="shared" si="13"/>
        <v>664187.86652479891</v>
      </c>
      <c r="J102" s="81">
        <f t="shared" si="13"/>
        <v>471780.93632234336</v>
      </c>
      <c r="K102" s="81">
        <f t="shared" si="13"/>
        <v>229096.74030572467</v>
      </c>
      <c r="L102" s="81">
        <f t="shared" si="13"/>
        <v>171232.85148803479</v>
      </c>
      <c r="M102" s="81">
        <f t="shared" si="13"/>
        <v>61348.57468890959</v>
      </c>
      <c r="N102" s="81">
        <f t="shared" si="13"/>
        <v>59525.501024683384</v>
      </c>
      <c r="O102" s="81">
        <f t="shared" si="13"/>
        <v>8348.7140601744286</v>
      </c>
    </row>
    <row r="103" spans="1:15">
      <c r="A103" s="13">
        <f t="shared" si="9"/>
        <v>96</v>
      </c>
      <c r="B103" s="84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</row>
    <row r="104" spans="1:15">
      <c r="A104" s="71">
        <f t="shared" si="9"/>
        <v>97</v>
      </c>
      <c r="B104" s="88"/>
      <c r="C104" s="73" t="s">
        <v>264</v>
      </c>
      <c r="D104" s="89"/>
      <c r="E104" s="73">
        <f t="shared" ref="E104:O104" si="14">SUM(E102,E93)</f>
        <v>67463302</v>
      </c>
      <c r="F104" s="73">
        <f t="shared" si="14"/>
        <v>39988899.355147414</v>
      </c>
      <c r="G104" s="73">
        <f t="shared" si="14"/>
        <v>7699981.4943880606</v>
      </c>
      <c r="H104" s="73">
        <f t="shared" si="14"/>
        <v>7011002.2377125528</v>
      </c>
      <c r="I104" s="73">
        <f t="shared" si="14"/>
        <v>3772013.8840157851</v>
      </c>
      <c r="J104" s="73">
        <f t="shared" si="14"/>
        <v>3492884.2405317533</v>
      </c>
      <c r="K104" s="73">
        <f t="shared" si="14"/>
        <v>1047959.9947109832</v>
      </c>
      <c r="L104" s="73">
        <f t="shared" si="14"/>
        <v>629616.69805711345</v>
      </c>
      <c r="M104" s="73">
        <f t="shared" si="14"/>
        <v>1379321.123166213</v>
      </c>
      <c r="N104" s="73">
        <f t="shared" si="14"/>
        <v>2266994.4793110969</v>
      </c>
      <c r="O104" s="73">
        <f t="shared" si="14"/>
        <v>174628.4929590305</v>
      </c>
    </row>
    <row r="105" spans="1:15">
      <c r="A105" s="13">
        <f t="shared" si="9"/>
        <v>98</v>
      </c>
      <c r="B105" s="90"/>
      <c r="C105" s="14"/>
      <c r="D105" s="9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</row>
    <row r="106" spans="1:15">
      <c r="A106" s="71">
        <f>+A105+1</f>
        <v>99</v>
      </c>
      <c r="B106" s="88"/>
      <c r="C106" s="73" t="s">
        <v>265</v>
      </c>
      <c r="D106" s="89"/>
      <c r="E106" s="73">
        <f t="shared" ref="E106:O106" si="15">SUM(E104,E84)</f>
        <v>1216694101</v>
      </c>
      <c r="F106" s="73">
        <f t="shared" si="15"/>
        <v>672199319.67606652</v>
      </c>
      <c r="G106" s="73">
        <f t="shared" si="15"/>
        <v>146631483.5027276</v>
      </c>
      <c r="H106" s="73">
        <f t="shared" si="15"/>
        <v>151631630.21913457</v>
      </c>
      <c r="I106" s="73">
        <f t="shared" si="15"/>
        <v>100680910.30294652</v>
      </c>
      <c r="J106" s="73">
        <f t="shared" si="15"/>
        <v>71403541.84985663</v>
      </c>
      <c r="K106" s="73">
        <f t="shared" si="15"/>
        <v>34207464.214812405</v>
      </c>
      <c r="L106" s="73">
        <f t="shared" si="15"/>
        <v>26342301.46933829</v>
      </c>
      <c r="M106" s="73">
        <f t="shared" si="15"/>
        <v>3345806.2801041575</v>
      </c>
      <c r="N106" s="73">
        <f t="shared" si="15"/>
        <v>9470072.5830885265</v>
      </c>
      <c r="O106" s="73">
        <f t="shared" si="15"/>
        <v>781570.90192483459</v>
      </c>
    </row>
    <row r="107" spans="1:15">
      <c r="A107" s="13">
        <f t="shared" si="9"/>
        <v>100</v>
      </c>
      <c r="B107" s="84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1:15">
      <c r="A108" s="13">
        <f t="shared" si="9"/>
        <v>101</v>
      </c>
      <c r="B108" s="83"/>
      <c r="C108" s="5" t="s">
        <v>40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1:15">
      <c r="A109" s="13">
        <f t="shared" si="9"/>
        <v>102</v>
      </c>
      <c r="B109" s="84">
        <v>403.01</v>
      </c>
      <c r="C109" s="53" t="s">
        <v>266</v>
      </c>
      <c r="D109" s="70" t="s">
        <v>142</v>
      </c>
      <c r="E109" s="53">
        <v>19613418</v>
      </c>
      <c r="F109" s="53">
        <v>10444348.18401931</v>
      </c>
      <c r="G109" s="53">
        <v>2367891.3115717294</v>
      </c>
      <c r="H109" s="53">
        <v>2627011.1276517715</v>
      </c>
      <c r="I109" s="53">
        <v>1791881.7601546575</v>
      </c>
      <c r="J109" s="53">
        <v>1222577.5384842437</v>
      </c>
      <c r="K109" s="53">
        <v>603794.16274206887</v>
      </c>
      <c r="L109" s="53">
        <v>475946.50561238104</v>
      </c>
      <c r="M109" s="53">
        <v>0</v>
      </c>
      <c r="N109" s="53">
        <v>73201.013821689587</v>
      </c>
      <c r="O109" s="53">
        <v>6766.3959421498521</v>
      </c>
    </row>
    <row r="110" spans="1:15">
      <c r="A110" s="13">
        <f t="shared" si="9"/>
        <v>103</v>
      </c>
      <c r="B110" s="84">
        <v>403.02</v>
      </c>
      <c r="C110" s="53" t="s">
        <v>267</v>
      </c>
      <c r="D110" s="70" t="s">
        <v>142</v>
      </c>
      <c r="E110" s="53">
        <v>6080376</v>
      </c>
      <c r="F110" s="53">
        <v>3237863.1829370381</v>
      </c>
      <c r="G110" s="53">
        <v>734072.43456950062</v>
      </c>
      <c r="H110" s="53">
        <v>814402.4367556317</v>
      </c>
      <c r="I110" s="53">
        <v>555503.1177779485</v>
      </c>
      <c r="J110" s="53">
        <v>379012.52719636483</v>
      </c>
      <c r="K110" s="53">
        <v>187182.85288555874</v>
      </c>
      <c r="L110" s="53">
        <v>147548.66846815718</v>
      </c>
      <c r="M110" s="53">
        <v>0</v>
      </c>
      <c r="N110" s="53">
        <v>22693.122005408219</v>
      </c>
      <c r="O110" s="53">
        <v>2097.6574043925107</v>
      </c>
    </row>
    <row r="111" spans="1:15">
      <c r="A111" s="13">
        <f t="shared" si="9"/>
        <v>104</v>
      </c>
      <c r="B111" s="84">
        <v>403.03</v>
      </c>
      <c r="C111" s="53" t="s">
        <v>268</v>
      </c>
      <c r="D111" s="70" t="s">
        <v>142</v>
      </c>
      <c r="E111" s="53">
        <v>68104927</v>
      </c>
      <c r="F111" s="53">
        <v>36266578.861227438</v>
      </c>
      <c r="G111" s="53">
        <v>8222180.5969019216</v>
      </c>
      <c r="H111" s="53">
        <v>9121938.9234916419</v>
      </c>
      <c r="I111" s="53">
        <v>6222065.7545749769</v>
      </c>
      <c r="J111" s="53">
        <v>4245234.2580119949</v>
      </c>
      <c r="K111" s="53">
        <v>2096593.1270406167</v>
      </c>
      <c r="L111" s="53">
        <v>1652659.5222024177</v>
      </c>
      <c r="M111" s="53">
        <v>0</v>
      </c>
      <c r="N111" s="53">
        <v>254180.56672489009</v>
      </c>
      <c r="O111" s="53">
        <v>23495.389824109796</v>
      </c>
    </row>
    <row r="112" spans="1:15">
      <c r="A112" s="13">
        <f t="shared" si="9"/>
        <v>105</v>
      </c>
      <c r="B112" s="84">
        <v>403.04</v>
      </c>
      <c r="C112" s="53" t="s">
        <v>269</v>
      </c>
      <c r="D112" s="70" t="s">
        <v>197</v>
      </c>
      <c r="E112" s="53">
        <v>8646050</v>
      </c>
      <c r="F112" s="53">
        <v>4434490.6961729005</v>
      </c>
      <c r="G112" s="53">
        <v>1004700.2326267727</v>
      </c>
      <c r="H112" s="53">
        <v>1114442.9928904106</v>
      </c>
      <c r="I112" s="53">
        <v>760076.26379820216</v>
      </c>
      <c r="J112" s="53">
        <v>518442.47418980586</v>
      </c>
      <c r="K112" s="53">
        <v>256074.87596579152</v>
      </c>
      <c r="L112" s="53">
        <v>201849.49144895337</v>
      </c>
      <c r="M112" s="53">
        <v>299635.51186491823</v>
      </c>
      <c r="N112" s="53">
        <v>31045.837860871838</v>
      </c>
      <c r="O112" s="53">
        <v>25291.623181373259</v>
      </c>
    </row>
    <row r="113" spans="1:15">
      <c r="A113" s="13">
        <f t="shared" si="9"/>
        <v>106</v>
      </c>
      <c r="B113" s="84">
        <v>403.05</v>
      </c>
      <c r="C113" s="53" t="s">
        <v>270</v>
      </c>
      <c r="D113" s="70" t="s">
        <v>154</v>
      </c>
      <c r="E113" s="53">
        <v>94050635</v>
      </c>
      <c r="F113" s="53">
        <v>58884547.879656427</v>
      </c>
      <c r="G113" s="53">
        <v>11372213.826265782</v>
      </c>
      <c r="H113" s="53">
        <v>9273046.501994133</v>
      </c>
      <c r="I113" s="53">
        <v>4522336.6199485231</v>
      </c>
      <c r="J113" s="53">
        <v>4358442.053822659</v>
      </c>
      <c r="K113" s="53">
        <v>1406281.44044695</v>
      </c>
      <c r="L113" s="53">
        <v>687740.77206119662</v>
      </c>
      <c r="M113" s="53">
        <v>1452131.1018274492</v>
      </c>
      <c r="N113" s="53">
        <v>1901174.2859613001</v>
      </c>
      <c r="O113" s="53">
        <v>192720.5180156006</v>
      </c>
    </row>
    <row r="114" spans="1:15">
      <c r="A114" s="13">
        <f t="shared" si="9"/>
        <v>107</v>
      </c>
      <c r="B114" s="84">
        <v>403.06</v>
      </c>
      <c r="C114" s="53" t="s">
        <v>271</v>
      </c>
      <c r="D114" s="70" t="s">
        <v>158</v>
      </c>
      <c r="E114" s="53">
        <v>20494477</v>
      </c>
      <c r="F114" s="53">
        <v>12595023.298657674</v>
      </c>
      <c r="G114" s="53">
        <v>2445344.7642221334</v>
      </c>
      <c r="H114" s="53">
        <v>2090752.2658624668</v>
      </c>
      <c r="I114" s="53">
        <v>1246819.3835402785</v>
      </c>
      <c r="J114" s="53">
        <v>961323.07734638383</v>
      </c>
      <c r="K114" s="53">
        <v>437886.97388127015</v>
      </c>
      <c r="L114" s="53">
        <v>295851.32926051447</v>
      </c>
      <c r="M114" s="53">
        <v>168167.78932833541</v>
      </c>
      <c r="N114" s="53">
        <v>229118.9103119722</v>
      </c>
      <c r="O114" s="53">
        <v>24189.207588973313</v>
      </c>
    </row>
    <row r="115" spans="1:15">
      <c r="A115" s="13">
        <f t="shared" si="9"/>
        <v>108</v>
      </c>
      <c r="B115" s="84">
        <v>403.07</v>
      </c>
      <c r="C115" s="53" t="s">
        <v>272</v>
      </c>
      <c r="D115" s="70" t="s">
        <v>142</v>
      </c>
      <c r="E115" s="53">
        <v>-27088</v>
      </c>
      <c r="F115" s="53">
        <v>-14424.640499107045</v>
      </c>
      <c r="G115" s="53">
        <v>-3270.283631738997</v>
      </c>
      <c r="H115" s="53">
        <v>-3628.1527995697224</v>
      </c>
      <c r="I115" s="53">
        <v>-2474.7595303923754</v>
      </c>
      <c r="J115" s="53">
        <v>-1688.4961286432169</v>
      </c>
      <c r="K115" s="53">
        <v>-833.89729828616112</v>
      </c>
      <c r="L115" s="53">
        <v>-657.32749610639905</v>
      </c>
      <c r="M115" s="53">
        <v>0</v>
      </c>
      <c r="N115" s="53">
        <v>-101.09757832122519</v>
      </c>
      <c r="O115" s="53">
        <v>-9.3450378348615821</v>
      </c>
    </row>
    <row r="116" spans="1:15">
      <c r="A116" s="13">
        <f t="shared" si="9"/>
        <v>109</v>
      </c>
      <c r="B116" s="84">
        <v>403.08</v>
      </c>
      <c r="C116" s="53" t="s">
        <v>273</v>
      </c>
      <c r="D116" s="70" t="s">
        <v>154</v>
      </c>
      <c r="E116" s="53">
        <v>2874929</v>
      </c>
      <c r="F116" s="53">
        <v>1799976.0910823492</v>
      </c>
      <c r="G116" s="53">
        <v>347624.52505857567</v>
      </c>
      <c r="H116" s="53">
        <v>283457.41957969218</v>
      </c>
      <c r="I116" s="53">
        <v>138238.26597717268</v>
      </c>
      <c r="J116" s="53">
        <v>133228.35571875004</v>
      </c>
      <c r="K116" s="53">
        <v>42987.049426117213</v>
      </c>
      <c r="L116" s="53">
        <v>21022.780867785994</v>
      </c>
      <c r="M116" s="53">
        <v>44388.576604992471</v>
      </c>
      <c r="N116" s="53">
        <v>58114.877042185137</v>
      </c>
      <c r="O116" s="53">
        <v>5891.0586423799541</v>
      </c>
    </row>
    <row r="117" spans="1:15">
      <c r="A117" s="13">
        <f t="shared" si="9"/>
        <v>110</v>
      </c>
      <c r="B117" s="84">
        <v>404</v>
      </c>
      <c r="C117" s="53" t="s">
        <v>274</v>
      </c>
      <c r="D117" s="70" t="s">
        <v>142</v>
      </c>
      <c r="E117" s="53">
        <v>1005996</v>
      </c>
      <c r="F117" s="53">
        <v>535703.28719505644</v>
      </c>
      <c r="G117" s="53">
        <v>121452.0175869353</v>
      </c>
      <c r="H117" s="53">
        <v>134742.58726210654</v>
      </c>
      <c r="I117" s="53">
        <v>91907.789003861762</v>
      </c>
      <c r="J117" s="53">
        <v>62707.484916958128</v>
      </c>
      <c r="K117" s="53">
        <v>30969.335000246781</v>
      </c>
      <c r="L117" s="53">
        <v>24411.873588786657</v>
      </c>
      <c r="M117" s="53">
        <v>0</v>
      </c>
      <c r="N117" s="53">
        <v>3754.5687906393691</v>
      </c>
      <c r="O117" s="53">
        <v>347.05665540901549</v>
      </c>
    </row>
    <row r="118" spans="1:15">
      <c r="A118" s="13">
        <f t="shared" si="9"/>
        <v>111</v>
      </c>
      <c r="B118" s="84">
        <v>404.01</v>
      </c>
      <c r="C118" s="53" t="s">
        <v>275</v>
      </c>
      <c r="D118" s="70" t="s">
        <v>158</v>
      </c>
      <c r="E118" s="53">
        <v>25536254</v>
      </c>
      <c r="F118" s="53">
        <v>15693482.399694331</v>
      </c>
      <c r="G118" s="53">
        <v>3046915.7625611285</v>
      </c>
      <c r="H118" s="53">
        <v>2605091.1624697465</v>
      </c>
      <c r="I118" s="53">
        <v>1553545.2048963227</v>
      </c>
      <c r="J118" s="53">
        <v>1197814.9176082369</v>
      </c>
      <c r="K118" s="53">
        <v>545610.06793798553</v>
      </c>
      <c r="L118" s="53">
        <v>368632.71457154682</v>
      </c>
      <c r="M118" s="53">
        <v>209538.17864719665</v>
      </c>
      <c r="N118" s="53">
        <v>285483.67884331674</v>
      </c>
      <c r="O118" s="53">
        <v>30139.912770194147</v>
      </c>
    </row>
    <row r="119" spans="1:15">
      <c r="A119" s="13">
        <f t="shared" si="9"/>
        <v>112</v>
      </c>
      <c r="B119" s="84">
        <v>404.02</v>
      </c>
      <c r="C119" s="53" t="s">
        <v>276</v>
      </c>
      <c r="D119" s="70" t="s">
        <v>142</v>
      </c>
      <c r="E119" s="53">
        <v>1029398</v>
      </c>
      <c r="F119" s="53">
        <v>548165.09452524339</v>
      </c>
      <c r="G119" s="53">
        <v>124277.29732519416</v>
      </c>
      <c r="H119" s="53">
        <v>137877.03911589904</v>
      </c>
      <c r="I119" s="53">
        <v>94045.795594611991</v>
      </c>
      <c r="J119" s="53">
        <v>64166.218909962729</v>
      </c>
      <c r="K119" s="53">
        <v>31689.759711354756</v>
      </c>
      <c r="L119" s="53">
        <v>24979.755236153829</v>
      </c>
      <c r="M119" s="53">
        <v>0</v>
      </c>
      <c r="N119" s="53">
        <v>3841.9095144976573</v>
      </c>
      <c r="O119" s="53">
        <v>355.13006708250305</v>
      </c>
    </row>
    <row r="120" spans="1:15">
      <c r="A120" s="13">
        <f t="shared" si="9"/>
        <v>113</v>
      </c>
      <c r="B120" s="84">
        <v>405</v>
      </c>
      <c r="C120" s="53" t="s">
        <v>277</v>
      </c>
      <c r="D120" s="70" t="s">
        <v>147</v>
      </c>
      <c r="E120" s="53">
        <v>2070601</v>
      </c>
      <c r="F120" s="53">
        <v>1193961.4600224043</v>
      </c>
      <c r="G120" s="53">
        <v>249610.34080915735</v>
      </c>
      <c r="H120" s="53">
        <v>241303.18161682427</v>
      </c>
      <c r="I120" s="53">
        <v>145386.49249139207</v>
      </c>
      <c r="J120" s="53">
        <v>112753.3459940161</v>
      </c>
      <c r="K120" s="53">
        <v>47736.532728165075</v>
      </c>
      <c r="L120" s="53">
        <v>33146.273088733433</v>
      </c>
      <c r="M120" s="53">
        <v>19739.640457144615</v>
      </c>
      <c r="N120" s="53">
        <v>24224.084604913165</v>
      </c>
      <c r="O120" s="53">
        <v>2739.6481872494642</v>
      </c>
    </row>
    <row r="121" spans="1:15">
      <c r="A121" s="13">
        <f t="shared" si="9"/>
        <v>114</v>
      </c>
      <c r="B121" s="84">
        <v>406</v>
      </c>
      <c r="C121" s="53" t="s">
        <v>278</v>
      </c>
      <c r="D121" s="70" t="s">
        <v>279</v>
      </c>
      <c r="E121" s="53">
        <v>25800</v>
      </c>
      <c r="F121" s="53">
        <v>12626.479996385697</v>
      </c>
      <c r="G121" s="53">
        <v>2858.2480978420176</v>
      </c>
      <c r="H121" s="53">
        <v>3169.7019691146329</v>
      </c>
      <c r="I121" s="53">
        <v>2161.4983325156568</v>
      </c>
      <c r="J121" s="53">
        <v>1473.7939478291619</v>
      </c>
      <c r="K121" s="53">
        <v>728.07075729712733</v>
      </c>
      <c r="L121" s="53">
        <v>573.88267593940589</v>
      </c>
      <c r="M121" s="53">
        <v>1964.861638357781</v>
      </c>
      <c r="N121" s="53">
        <v>88.271549657762691</v>
      </c>
      <c r="O121" s="53">
        <v>155.1910350607568</v>
      </c>
    </row>
    <row r="122" spans="1:15">
      <c r="A122" s="13">
        <f t="shared" si="9"/>
        <v>115</v>
      </c>
      <c r="B122" s="84">
        <v>406.01</v>
      </c>
      <c r="C122" s="53" t="s">
        <v>280</v>
      </c>
      <c r="D122" s="70" t="s">
        <v>154</v>
      </c>
      <c r="E122" s="53">
        <v>11200</v>
      </c>
      <c r="F122" s="53">
        <v>7012.2539444008216</v>
      </c>
      <c r="G122" s="53">
        <v>1354.2576810265741</v>
      </c>
      <c r="H122" s="53">
        <v>1104.2787836821547</v>
      </c>
      <c r="I122" s="53">
        <v>538.54150100553238</v>
      </c>
      <c r="J122" s="53">
        <v>519.02415122251728</v>
      </c>
      <c r="K122" s="53">
        <v>167.46672824703248</v>
      </c>
      <c r="L122" s="53">
        <v>81.899464549977793</v>
      </c>
      <c r="M122" s="53">
        <v>172.92672548640877</v>
      </c>
      <c r="N122" s="53">
        <v>226.40093820489952</v>
      </c>
      <c r="O122" s="53">
        <v>22.950082174083423</v>
      </c>
    </row>
    <row r="123" spans="1:15">
      <c r="A123" s="13">
        <f t="shared" si="9"/>
        <v>116</v>
      </c>
      <c r="B123" s="84">
        <v>406.02</v>
      </c>
      <c r="C123" s="53" t="s">
        <v>281</v>
      </c>
      <c r="D123" s="70" t="s">
        <v>120</v>
      </c>
      <c r="E123" s="53">
        <v>715283</v>
      </c>
      <c r="F123" s="53">
        <v>380895.60433117184</v>
      </c>
      <c r="G123" s="53">
        <v>86354.780233356621</v>
      </c>
      <c r="H123" s="53">
        <v>95804.637438519989</v>
      </c>
      <c r="I123" s="53">
        <v>65348.250929476111</v>
      </c>
      <c r="J123" s="53">
        <v>44586.258726532273</v>
      </c>
      <c r="K123" s="53">
        <v>22019.808077747348</v>
      </c>
      <c r="L123" s="53">
        <v>17357.323663521609</v>
      </c>
      <c r="M123" s="53">
        <v>0</v>
      </c>
      <c r="N123" s="53">
        <v>2669.5724717343805</v>
      </c>
      <c r="O123" s="53">
        <v>246.76412793979978</v>
      </c>
    </row>
    <row r="124" spans="1:15">
      <c r="A124" s="13">
        <f t="shared" si="9"/>
        <v>117</v>
      </c>
      <c r="B124" s="84">
        <v>406.03</v>
      </c>
      <c r="C124" s="53" t="s">
        <v>282</v>
      </c>
      <c r="D124" s="70" t="s">
        <v>142</v>
      </c>
      <c r="E124" s="53">
        <v>9553357</v>
      </c>
      <c r="F124" s="53">
        <v>5087261.5285228798</v>
      </c>
      <c r="G124" s="53">
        <v>1153358.9421610737</v>
      </c>
      <c r="H124" s="53">
        <v>1279571.7271426094</v>
      </c>
      <c r="I124" s="53">
        <v>872794.64275659737</v>
      </c>
      <c r="J124" s="53">
        <v>595496.39360774436</v>
      </c>
      <c r="K124" s="53">
        <v>294097.70347988722</v>
      </c>
      <c r="L124" s="53">
        <v>231825.31882090002</v>
      </c>
      <c r="M124" s="53">
        <v>0</v>
      </c>
      <c r="N124" s="53">
        <v>35654.948964047726</v>
      </c>
      <c r="O124" s="53">
        <v>3295.794544260918</v>
      </c>
    </row>
    <row r="125" spans="1:15">
      <c r="A125" s="13">
        <f t="shared" si="9"/>
        <v>118</v>
      </c>
      <c r="B125" s="84">
        <v>407</v>
      </c>
      <c r="C125" s="53" t="s">
        <v>283</v>
      </c>
      <c r="D125" s="70" t="s">
        <v>142</v>
      </c>
      <c r="E125" s="53">
        <v>1463328</v>
      </c>
      <c r="F125" s="53">
        <v>779237.31291632133</v>
      </c>
      <c r="G125" s="53">
        <v>176664.85551777034</v>
      </c>
      <c r="H125" s="53">
        <v>195997.40032076059</v>
      </c>
      <c r="I125" s="53">
        <v>133689.63799800701</v>
      </c>
      <c r="J125" s="53">
        <v>91214.695176285488</v>
      </c>
      <c r="K125" s="53">
        <v>45048.186123246152</v>
      </c>
      <c r="L125" s="53">
        <v>35509.662220259328</v>
      </c>
      <c r="M125" s="53">
        <v>0</v>
      </c>
      <c r="N125" s="53">
        <v>5461.4189711179051</v>
      </c>
      <c r="O125" s="53">
        <v>504.83075623199682</v>
      </c>
    </row>
    <row r="126" spans="1:15">
      <c r="A126" s="13">
        <f t="shared" si="9"/>
        <v>119</v>
      </c>
      <c r="B126" s="84">
        <v>407.01</v>
      </c>
      <c r="C126" s="53" t="s">
        <v>284</v>
      </c>
      <c r="D126" s="70" t="s">
        <v>262</v>
      </c>
      <c r="E126" s="53">
        <v>15477404</v>
      </c>
      <c r="F126" s="53">
        <v>9498430.5011779908</v>
      </c>
      <c r="G126" s="53">
        <v>1863475.8778156762</v>
      </c>
      <c r="H126" s="53">
        <v>1577374.2998318111</v>
      </c>
      <c r="I126" s="53">
        <v>811723.03677095124</v>
      </c>
      <c r="J126" s="53">
        <v>740334.05573371937</v>
      </c>
      <c r="K126" s="53">
        <v>256282.03735095475</v>
      </c>
      <c r="L126" s="53">
        <v>140354.89642385312</v>
      </c>
      <c r="M126" s="53">
        <v>271540.86483988503</v>
      </c>
      <c r="N126" s="53">
        <v>284688.4269293705</v>
      </c>
      <c r="O126" s="53">
        <v>33200.003125787931</v>
      </c>
    </row>
    <row r="127" spans="1:15">
      <c r="A127" s="71">
        <f>+A126+1</f>
        <v>120</v>
      </c>
      <c r="B127" s="88"/>
      <c r="C127" s="73" t="s">
        <v>285</v>
      </c>
      <c r="D127" s="89"/>
      <c r="E127" s="73">
        <f t="shared" ref="E127:O127" si="16">SUM(E109:E126)</f>
        <v>276726345</v>
      </c>
      <c r="F127" s="73">
        <f t="shared" si="16"/>
        <v>161385179.47558019</v>
      </c>
      <c r="G127" s="73">
        <f t="shared" si="16"/>
        <v>33317079.787373837</v>
      </c>
      <c r="H127" s="73">
        <f t="shared" si="16"/>
        <v>31593459.531377248</v>
      </c>
      <c r="I127" s="73">
        <f t="shared" si="16"/>
        <v>19005587.296516102</v>
      </c>
      <c r="J127" s="73">
        <f t="shared" si="16"/>
        <v>14727637.977414066</v>
      </c>
      <c r="K127" s="73">
        <f t="shared" si="16"/>
        <v>6304315.5529852184</v>
      </c>
      <c r="L127" s="73">
        <f t="shared" si="16"/>
        <v>4358835.3421795433</v>
      </c>
      <c r="M127" s="73">
        <f t="shared" si="16"/>
        <v>2467279.4519337653</v>
      </c>
      <c r="N127" s="73">
        <f t="shared" si="16"/>
        <v>3215520.7977274968</v>
      </c>
      <c r="O127" s="73">
        <f t="shared" si="16"/>
        <v>351449.78691253508</v>
      </c>
    </row>
    <row r="128" spans="1:15">
      <c r="A128" s="13">
        <f t="shared" si="9"/>
        <v>121</v>
      </c>
      <c r="B128" s="84"/>
      <c r="C128" s="91"/>
      <c r="D128" s="9"/>
      <c r="E128" s="91"/>
      <c r="F128" s="91"/>
      <c r="G128" s="91"/>
      <c r="H128" s="91"/>
      <c r="I128" s="91"/>
      <c r="J128" s="91"/>
      <c r="K128" s="91"/>
      <c r="L128" s="91"/>
      <c r="M128" s="91"/>
      <c r="N128" s="91"/>
      <c r="O128" s="91"/>
    </row>
    <row r="129" spans="1:15">
      <c r="A129" s="13">
        <f t="shared" si="9"/>
        <v>122</v>
      </c>
      <c r="B129" s="83"/>
      <c r="C129" s="5" t="s">
        <v>286</v>
      </c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</row>
    <row r="130" spans="1:15">
      <c r="A130" s="13">
        <f t="shared" si="9"/>
        <v>123</v>
      </c>
      <c r="B130" s="84">
        <v>236</v>
      </c>
      <c r="C130" s="53" t="s">
        <v>287</v>
      </c>
      <c r="D130" s="70" t="s">
        <v>242</v>
      </c>
      <c r="E130" s="53">
        <v>37719610</v>
      </c>
      <c r="F130" s="53">
        <v>21807662.218454562</v>
      </c>
      <c r="G130" s="53">
        <v>4545217.3076610733</v>
      </c>
      <c r="H130" s="53">
        <v>4373716.9407577533</v>
      </c>
      <c r="I130" s="53">
        <v>2634235.3398526572</v>
      </c>
      <c r="J130" s="53">
        <v>2042542.8886311213</v>
      </c>
      <c r="K130" s="53">
        <v>867041.73310121242</v>
      </c>
      <c r="L130" s="53">
        <v>601430.68715719599</v>
      </c>
      <c r="M130" s="53">
        <v>357576.74337558984</v>
      </c>
      <c r="N130" s="53">
        <v>440495.4639756034</v>
      </c>
      <c r="O130" s="53">
        <v>49690.677033228669</v>
      </c>
    </row>
    <row r="131" spans="1:15">
      <c r="A131" s="13">
        <f t="shared" si="9"/>
        <v>124</v>
      </c>
      <c r="B131" s="84">
        <v>236.01</v>
      </c>
      <c r="C131" s="53" t="s">
        <v>288</v>
      </c>
      <c r="D131" s="70" t="s">
        <v>244</v>
      </c>
      <c r="E131" s="53">
        <v>8283708</v>
      </c>
      <c r="F131" s="53">
        <v>5118567.4188717688</v>
      </c>
      <c r="G131" s="53">
        <v>987553.26513023232</v>
      </c>
      <c r="H131" s="53">
        <v>834482.5886110554</v>
      </c>
      <c r="I131" s="53">
        <v>496798.3402444364</v>
      </c>
      <c r="J131" s="53">
        <v>383095.50846996083</v>
      </c>
      <c r="K131" s="53">
        <v>175576.76409641682</v>
      </c>
      <c r="L131" s="53">
        <v>118228.81361135213</v>
      </c>
      <c r="M131" s="53">
        <v>67198.029604049589</v>
      </c>
      <c r="N131" s="53">
        <v>92509.467732068835</v>
      </c>
      <c r="O131" s="53">
        <v>9697.8036286590359</v>
      </c>
    </row>
    <row r="132" spans="1:15">
      <c r="A132" s="13">
        <f t="shared" si="9"/>
        <v>125</v>
      </c>
      <c r="B132" s="84">
        <v>236.02</v>
      </c>
      <c r="C132" s="53" t="s">
        <v>289</v>
      </c>
      <c r="D132" s="70" t="s">
        <v>290</v>
      </c>
      <c r="E132" s="53">
        <v>78022615</v>
      </c>
      <c r="F132" s="53">
        <v>43708887.796313189</v>
      </c>
      <c r="G132" s="53">
        <v>9380032.8869111352</v>
      </c>
      <c r="H132" s="53">
        <v>9536781.3772475161</v>
      </c>
      <c r="I132" s="53">
        <v>6150869.7326596277</v>
      </c>
      <c r="J132" s="53">
        <v>4481461.1513257148</v>
      </c>
      <c r="K132" s="53">
        <v>2069117.2838822936</v>
      </c>
      <c r="L132" s="53">
        <v>1548218.5429392266</v>
      </c>
      <c r="M132" s="53">
        <v>391900.36915588088</v>
      </c>
      <c r="N132" s="53">
        <v>689810.76946419897</v>
      </c>
      <c r="O132" s="53">
        <v>65535.09010120637</v>
      </c>
    </row>
    <row r="133" spans="1:15">
      <c r="A133" s="13">
        <f t="shared" si="9"/>
        <v>126</v>
      </c>
      <c r="B133" s="84">
        <v>236.03</v>
      </c>
      <c r="C133" s="53" t="s">
        <v>291</v>
      </c>
      <c r="D133" s="70" t="s">
        <v>290</v>
      </c>
      <c r="E133" s="53">
        <v>-0.26000000536441803</v>
      </c>
      <c r="F133" s="53">
        <v>-0.14565406531829492</v>
      </c>
      <c r="G133" s="53">
        <v>-3.1257714201392929E-2</v>
      </c>
      <c r="H133" s="53">
        <v>-3.1780057733820324E-2</v>
      </c>
      <c r="I133" s="53">
        <v>-2.0496956728345235E-2</v>
      </c>
      <c r="J133" s="53">
        <v>-1.4933874279721551E-2</v>
      </c>
      <c r="K133" s="53">
        <v>-6.8950586302318432E-3</v>
      </c>
      <c r="L133" s="53">
        <v>-5.1592327361687437E-3</v>
      </c>
      <c r="M133" s="53">
        <v>-1.3059559472961325E-3</v>
      </c>
      <c r="N133" s="53">
        <v>-2.2987028025287935E-3</v>
      </c>
      <c r="O133" s="53">
        <v>-2.1838698661755024E-4</v>
      </c>
    </row>
    <row r="134" spans="1:15">
      <c r="A134" s="13">
        <f t="shared" si="9"/>
        <v>127</v>
      </c>
      <c r="B134" s="84">
        <v>236.04</v>
      </c>
      <c r="C134" s="53" t="s">
        <v>292</v>
      </c>
      <c r="D134" s="70" t="s">
        <v>293</v>
      </c>
      <c r="E134" s="53">
        <v>1660622</v>
      </c>
      <c r="F134" s="53">
        <v>847570.82978220552</v>
      </c>
      <c r="G134" s="53">
        <v>205184.1891774227</v>
      </c>
      <c r="H134" s="53">
        <v>231594.59184094466</v>
      </c>
      <c r="I134" s="53">
        <v>159618.68145510147</v>
      </c>
      <c r="J134" s="53">
        <v>111794.86676888935</v>
      </c>
      <c r="K134" s="53">
        <v>54590.246946223808</v>
      </c>
      <c r="L134" s="53">
        <v>43108.99080210246</v>
      </c>
      <c r="M134" s="53">
        <v>0</v>
      </c>
      <c r="N134" s="53">
        <v>6606.7411852490077</v>
      </c>
      <c r="O134" s="53">
        <v>552.86204186105374</v>
      </c>
    </row>
    <row r="135" spans="1:15">
      <c r="A135" s="71">
        <f>+A134+1</f>
        <v>128</v>
      </c>
      <c r="B135" s="88"/>
      <c r="C135" s="73" t="s">
        <v>294</v>
      </c>
      <c r="D135" s="89"/>
      <c r="E135" s="73">
        <f t="shared" ref="E135:O135" si="17">SUM(E130:E134)</f>
        <v>125686554.73999999</v>
      </c>
      <c r="F135" s="73">
        <f t="shared" si="17"/>
        <v>71482688.117767662</v>
      </c>
      <c r="G135" s="73">
        <f t="shared" si="17"/>
        <v>15117987.617622146</v>
      </c>
      <c r="H135" s="73">
        <f t="shared" si="17"/>
        <v>14976575.466677211</v>
      </c>
      <c r="I135" s="73">
        <f t="shared" si="17"/>
        <v>9441522.0737148672</v>
      </c>
      <c r="J135" s="73">
        <f t="shared" si="17"/>
        <v>7018894.4002618119</v>
      </c>
      <c r="K135" s="73">
        <f t="shared" si="17"/>
        <v>3166326.021131088</v>
      </c>
      <c r="L135" s="73">
        <f t="shared" si="17"/>
        <v>2310987.0293506444</v>
      </c>
      <c r="M135" s="73">
        <f t="shared" si="17"/>
        <v>816675.14082956431</v>
      </c>
      <c r="N135" s="73">
        <f t="shared" si="17"/>
        <v>1229422.4400584176</v>
      </c>
      <c r="O135" s="73">
        <f t="shared" si="17"/>
        <v>125476.43258656815</v>
      </c>
    </row>
    <row r="136" spans="1:15" ht="15.75">
      <c r="A136" s="13">
        <f t="shared" si="9"/>
        <v>129</v>
      </c>
      <c r="B136" s="92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</row>
    <row r="137" spans="1:15">
      <c r="A137" s="13">
        <f t="shared" ref="A137:A143" si="18">+A136+1</f>
        <v>130</v>
      </c>
      <c r="B137" s="83"/>
      <c r="C137" s="5" t="s">
        <v>295</v>
      </c>
      <c r="D137" s="9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</row>
    <row r="138" spans="1:15">
      <c r="A138" s="13">
        <f t="shared" si="18"/>
        <v>131</v>
      </c>
      <c r="B138" s="84" t="s">
        <v>296</v>
      </c>
      <c r="C138" s="53" t="s">
        <v>297</v>
      </c>
      <c r="D138" s="70" t="s">
        <v>298</v>
      </c>
      <c r="E138" s="53">
        <v>-69877694</v>
      </c>
      <c r="F138" s="53">
        <v>-39660667.160758138</v>
      </c>
      <c r="G138" s="53">
        <v>-8332035.0509804068</v>
      </c>
      <c r="H138" s="53">
        <v>-8425682.1617358755</v>
      </c>
      <c r="I138" s="53">
        <v>-5178226.8827789295</v>
      </c>
      <c r="J138" s="53">
        <v>-3954051.6403867519</v>
      </c>
      <c r="K138" s="53">
        <v>-1699637.0267529387</v>
      </c>
      <c r="L138" s="53">
        <v>-1206075.4143537348</v>
      </c>
      <c r="M138" s="53">
        <v>-636642.84144359571</v>
      </c>
      <c r="N138" s="53">
        <v>-705444.53986810683</v>
      </c>
      <c r="O138" s="53">
        <v>-79231.280941528268</v>
      </c>
    </row>
    <row r="139" spans="1:15">
      <c r="A139" s="13">
        <f t="shared" si="18"/>
        <v>132</v>
      </c>
      <c r="B139" s="84" t="s">
        <v>299</v>
      </c>
      <c r="C139" s="53" t="s">
        <v>300</v>
      </c>
      <c r="D139" s="70" t="s">
        <v>298</v>
      </c>
      <c r="E139" s="53">
        <v>398112273</v>
      </c>
      <c r="F139" s="53">
        <v>225957633.23365936</v>
      </c>
      <c r="G139" s="53">
        <v>47469875.191666752</v>
      </c>
      <c r="H139" s="53">
        <v>48003408.312017612</v>
      </c>
      <c r="I139" s="53">
        <v>29501770.256082356</v>
      </c>
      <c r="J139" s="53">
        <v>22527310.161576718</v>
      </c>
      <c r="K139" s="53">
        <v>9683295.5019319076</v>
      </c>
      <c r="L139" s="53">
        <v>6871340.4397372101</v>
      </c>
      <c r="M139" s="53">
        <v>3627127.8313260963</v>
      </c>
      <c r="N139" s="53">
        <v>4019109.8641911563</v>
      </c>
      <c r="O139" s="53">
        <v>451402.20781088452</v>
      </c>
    </row>
    <row r="140" spans="1:15">
      <c r="A140" s="13">
        <f t="shared" si="18"/>
        <v>133</v>
      </c>
      <c r="B140" s="84" t="s">
        <v>301</v>
      </c>
      <c r="C140" s="53" t="s">
        <v>302</v>
      </c>
      <c r="D140" s="70" t="s">
        <v>298</v>
      </c>
      <c r="E140" s="53">
        <v>-237907201</v>
      </c>
      <c r="F140" s="53">
        <v>-135029617.80634296</v>
      </c>
      <c r="G140" s="53">
        <v>-28367437.792275183</v>
      </c>
      <c r="H140" s="53">
        <v>-28686270.895175956</v>
      </c>
      <c r="I140" s="53">
        <v>-17629910.10872354</v>
      </c>
      <c r="J140" s="53">
        <v>-13462054.978143249</v>
      </c>
      <c r="K140" s="53">
        <v>-5786623.2356029637</v>
      </c>
      <c r="L140" s="53">
        <v>-4106232.0405680854</v>
      </c>
      <c r="M140" s="53">
        <v>-2167528.8317976361</v>
      </c>
      <c r="N140" s="53">
        <v>-2401772.6735623851</v>
      </c>
      <c r="O140" s="53">
        <v>-269752.6378080484</v>
      </c>
    </row>
    <row r="141" spans="1:15">
      <c r="A141" s="71">
        <f t="shared" si="18"/>
        <v>134</v>
      </c>
      <c r="B141" s="88"/>
      <c r="C141" s="73" t="s">
        <v>303</v>
      </c>
      <c r="D141" s="89"/>
      <c r="E141" s="73">
        <f>SUM(E138:E140)</f>
        <v>90327378</v>
      </c>
      <c r="F141" s="73">
        <f t="shared" ref="F141:O141" si="19">SUM(F138:F140)</f>
        <v>51267348.26655826</v>
      </c>
      <c r="G141" s="73">
        <f t="shared" si="19"/>
        <v>10770402.348411165</v>
      </c>
      <c r="H141" s="73">
        <f t="shared" si="19"/>
        <v>10891455.255105779</v>
      </c>
      <c r="I141" s="73">
        <f t="shared" si="19"/>
        <v>6693633.2645798884</v>
      </c>
      <c r="J141" s="73">
        <f t="shared" si="19"/>
        <v>5111203.5430467166</v>
      </c>
      <c r="K141" s="73">
        <f t="shared" si="19"/>
        <v>2197035.2395760054</v>
      </c>
      <c r="L141" s="73">
        <f t="shared" si="19"/>
        <v>1559032.9848153898</v>
      </c>
      <c r="M141" s="73">
        <f t="shared" si="19"/>
        <v>822956.15808486473</v>
      </c>
      <c r="N141" s="73">
        <f t="shared" si="19"/>
        <v>911892.6507606646</v>
      </c>
      <c r="O141" s="73">
        <f t="shared" si="19"/>
        <v>102418.28906130785</v>
      </c>
    </row>
    <row r="142" spans="1:15">
      <c r="A142" s="13">
        <f t="shared" si="18"/>
        <v>135</v>
      </c>
      <c r="B142" s="43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</row>
    <row r="143" spans="1:15" ht="15.75" thickBot="1">
      <c r="A143" s="93">
        <f t="shared" si="18"/>
        <v>136</v>
      </c>
      <c r="B143" s="94"/>
      <c r="C143" s="95" t="s">
        <v>250</v>
      </c>
      <c r="D143" s="96"/>
      <c r="E143" s="95">
        <f t="shared" ref="E143:O143" si="20">SUM(E141,E135,E127,E106)</f>
        <v>1709434378.74</v>
      </c>
      <c r="F143" s="95">
        <f t="shared" si="20"/>
        <v>956334535.5359726</v>
      </c>
      <c r="G143" s="95">
        <f t="shared" si="20"/>
        <v>205836953.25613475</v>
      </c>
      <c r="H143" s="95">
        <f t="shared" si="20"/>
        <v>209093120.47229481</v>
      </c>
      <c r="I143" s="95">
        <f t="shared" si="20"/>
        <v>135821652.93775737</v>
      </c>
      <c r="J143" s="95">
        <f t="shared" si="20"/>
        <v>98261277.770579219</v>
      </c>
      <c r="K143" s="95">
        <f t="shared" si="20"/>
        <v>45875141.028504714</v>
      </c>
      <c r="L143" s="95">
        <f t="shared" si="20"/>
        <v>34571156.825683869</v>
      </c>
      <c r="M143" s="95">
        <f t="shared" si="20"/>
        <v>7452717.0309523521</v>
      </c>
      <c r="N143" s="95">
        <f t="shared" si="20"/>
        <v>14826908.471635105</v>
      </c>
      <c r="O143" s="95">
        <f t="shared" si="20"/>
        <v>1360915.4104852458</v>
      </c>
    </row>
    <row r="144" spans="1:15" ht="15.75" thickTop="1"/>
  </sheetData>
  <printOptions horizontalCentered="1"/>
  <pageMargins left="0.5" right="0.5" top="0.75" bottom="0.75" header="0.3" footer="0.3"/>
  <pageSetup scale="53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157"/>
  <sheetViews>
    <sheetView showGridLines="0" view="pageLayout" topLeftCell="A65" zoomScaleNormal="100" workbookViewId="0">
      <selection sqref="A1:E1"/>
    </sheetView>
  </sheetViews>
  <sheetFormatPr defaultRowHeight="15"/>
  <cols>
    <col min="1" max="1" width="7.5703125" bestFit="1" customWidth="1"/>
    <col min="2" max="2" width="11.7109375" bestFit="1" customWidth="1"/>
    <col min="3" max="3" width="50.7109375" bestFit="1" customWidth="1"/>
    <col min="4" max="4" width="10.5703125" bestFit="1" customWidth="1"/>
    <col min="5" max="6" width="14.140625" bestFit="1" customWidth="1"/>
    <col min="7" max="15" width="12.7109375" bestFit="1" customWidth="1"/>
  </cols>
  <sheetData>
    <row r="1" spans="1:16" s="23" customFormat="1" ht="15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s="23" customFormat="1" ht="15.75">
      <c r="A2" s="3" t="s">
        <v>557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s="23" customFormat="1" ht="15.75">
      <c r="A3" s="3" t="s">
        <v>560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s="23" customFormat="1" ht="15.75">
      <c r="A4" s="3"/>
      <c r="B4" s="3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s="9" customFormat="1" ht="51">
      <c r="A6" s="82" t="s">
        <v>3</v>
      </c>
      <c r="B6" s="82" t="s">
        <v>101</v>
      </c>
      <c r="C6" s="82" t="s">
        <v>102</v>
      </c>
      <c r="D6" s="82" t="s">
        <v>103</v>
      </c>
      <c r="E6" s="82" t="s">
        <v>79</v>
      </c>
      <c r="F6" s="82" t="str">
        <f>+'JAP-4, p1-4 ECOS Summary'!E6</f>
        <v>Residential
Sch 7</v>
      </c>
      <c r="G6" s="82" t="str">
        <f>+'JAP-4, p1-4 ECOS Summary'!F6</f>
        <v>Sec Volt
Sch 24
(kW&lt; 50)</v>
      </c>
      <c r="H6" s="82" t="str">
        <f>+'JAP-4, p1-4 ECOS Summary'!G6</f>
        <v>Sec Volt
Sch 25
(kW &gt; 50 &amp; &lt; 350)</v>
      </c>
      <c r="I6" s="82" t="str">
        <f>+'JAP-4, p1-4 ECOS Summary'!H6</f>
        <v>Sec Volt
Sch 26
(kW &gt; 350)</v>
      </c>
      <c r="J6" s="82" t="str">
        <f>+'JAP-4, p1-4 ECOS Summary'!I6</f>
        <v>Pri Volt
Sch 31/35/43</v>
      </c>
      <c r="K6" s="82" t="str">
        <f>+'JAP-4, p1-4 ECOS Summary'!J6</f>
        <v>Campus
Sch 40</v>
      </c>
      <c r="L6" s="82" t="str">
        <f>+'JAP-4, p1-4 ECOS Summary'!K6</f>
        <v>High Volt
Sch 46/49</v>
      </c>
      <c r="M6" s="82" t="str">
        <f>+'JAP-4, p1-4 ECOS Summary'!L6</f>
        <v>Choice /
Retail Wheeling
Sch 448/449</v>
      </c>
      <c r="N6" s="82" t="str">
        <f>+'JAP-4, p1-4 ECOS Summary'!M6</f>
        <v>Lighting
Sch 50-59</v>
      </c>
      <c r="O6" s="82" t="str">
        <f>+'JAP-4, p1-4 ECOS Summary'!N6</f>
        <v>Firm Resale /
Special Contract</v>
      </c>
    </row>
    <row r="7" spans="1:16" s="9" customFormat="1" ht="12.75">
      <c r="B7" s="10" t="s">
        <v>16</v>
      </c>
      <c r="C7" s="10" t="s">
        <v>17</v>
      </c>
      <c r="D7" s="10" t="s">
        <v>18</v>
      </c>
      <c r="E7" s="10" t="s">
        <v>19</v>
      </c>
      <c r="F7" s="10" t="s">
        <v>20</v>
      </c>
      <c r="G7" s="11" t="s">
        <v>89</v>
      </c>
      <c r="H7" s="11" t="s">
        <v>21</v>
      </c>
      <c r="I7" s="10" t="s">
        <v>22</v>
      </c>
      <c r="J7" s="11" t="s">
        <v>90</v>
      </c>
      <c r="K7" s="11" t="s">
        <v>91</v>
      </c>
      <c r="L7" s="11" t="s">
        <v>23</v>
      </c>
      <c r="M7" s="11" t="s">
        <v>24</v>
      </c>
      <c r="N7" s="11" t="s">
        <v>25</v>
      </c>
      <c r="O7" s="11" t="s">
        <v>26</v>
      </c>
      <c r="P7" s="11"/>
    </row>
    <row r="8" spans="1:16" ht="15.75">
      <c r="A8" s="13">
        <v>1</v>
      </c>
      <c r="B8" s="84"/>
      <c r="C8" s="69" t="s">
        <v>304</v>
      </c>
      <c r="D8" s="70"/>
      <c r="E8" s="9"/>
      <c r="F8" s="42"/>
      <c r="G8" s="42"/>
      <c r="H8" s="42"/>
      <c r="I8" s="42"/>
      <c r="J8" s="42"/>
      <c r="K8" s="42"/>
      <c r="L8" s="42"/>
      <c r="M8" s="42"/>
      <c r="N8" s="42"/>
      <c r="O8" s="42"/>
    </row>
    <row r="9" spans="1:16">
      <c r="A9" s="13">
        <f t="shared" ref="A9:A72" si="0">+A8+1</f>
        <v>2</v>
      </c>
      <c r="B9" s="84"/>
      <c r="C9" s="99"/>
      <c r="D9" s="70"/>
      <c r="E9" s="9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6" ht="15.75">
      <c r="A10" s="13">
        <f t="shared" si="0"/>
        <v>3</v>
      </c>
      <c r="B10" s="84"/>
      <c r="C10" s="69" t="s">
        <v>305</v>
      </c>
      <c r="D10" s="70"/>
      <c r="E10" s="9"/>
      <c r="F10" s="42"/>
      <c r="G10" s="42"/>
      <c r="H10" s="42"/>
      <c r="I10" s="42"/>
      <c r="J10" s="42"/>
      <c r="K10" s="42"/>
      <c r="L10" s="42"/>
      <c r="M10" s="42"/>
      <c r="N10" s="42"/>
      <c r="O10" s="42"/>
    </row>
    <row r="11" spans="1:16">
      <c r="A11" s="13">
        <f t="shared" si="0"/>
        <v>4</v>
      </c>
      <c r="B11" s="84"/>
      <c r="C11" s="5" t="s">
        <v>306</v>
      </c>
      <c r="D11" s="70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pans="1:16">
      <c r="A12" s="13">
        <f t="shared" si="0"/>
        <v>5</v>
      </c>
      <c r="B12" s="84">
        <v>300</v>
      </c>
      <c r="C12" s="53" t="s">
        <v>307</v>
      </c>
      <c r="D12" s="70" t="s">
        <v>142</v>
      </c>
      <c r="E12" s="53">
        <v>52790811</v>
      </c>
      <c r="F12" s="53">
        <v>28111653.511935383</v>
      </c>
      <c r="G12" s="53">
        <v>6373335.9834438479</v>
      </c>
      <c r="H12" s="53">
        <v>7070774.0963233206</v>
      </c>
      <c r="I12" s="53">
        <v>4822968.2013951791</v>
      </c>
      <c r="J12" s="53">
        <v>3290648.257584014</v>
      </c>
      <c r="K12" s="53">
        <v>1625151.9000013052</v>
      </c>
      <c r="L12" s="53">
        <v>1281041.4800670461</v>
      </c>
      <c r="M12" s="53">
        <v>0</v>
      </c>
      <c r="N12" s="53">
        <v>197025.36731074628</v>
      </c>
      <c r="O12" s="53">
        <v>18212.201939162249</v>
      </c>
    </row>
    <row r="13" spans="1:16">
      <c r="A13" s="13">
        <f t="shared" si="0"/>
        <v>6</v>
      </c>
      <c r="B13" s="84">
        <v>300.01</v>
      </c>
      <c r="C13" s="53" t="s">
        <v>308</v>
      </c>
      <c r="D13" s="70" t="s">
        <v>158</v>
      </c>
      <c r="E13" s="53">
        <v>136762676</v>
      </c>
      <c r="F13" s="53">
        <v>84048453.181155607</v>
      </c>
      <c r="G13" s="53">
        <v>16318147.25975237</v>
      </c>
      <c r="H13" s="53">
        <v>13951899.076634862</v>
      </c>
      <c r="I13" s="53">
        <v>8320210.1415732065</v>
      </c>
      <c r="J13" s="53">
        <v>6415051.0675850101</v>
      </c>
      <c r="K13" s="53">
        <v>2922084.5368996058</v>
      </c>
      <c r="L13" s="53">
        <v>1974259.6743417778</v>
      </c>
      <c r="M13" s="53">
        <v>1122208.5289391573</v>
      </c>
      <c r="N13" s="53">
        <v>1528944.3734753181</v>
      </c>
      <c r="O13" s="53">
        <v>161418.15964308329</v>
      </c>
    </row>
    <row r="14" spans="1:16">
      <c r="A14" s="71">
        <f>+A13+1</f>
        <v>7</v>
      </c>
      <c r="B14" s="87"/>
      <c r="C14" s="81" t="s">
        <v>180</v>
      </c>
      <c r="D14" s="74"/>
      <c r="E14" s="81">
        <f t="shared" ref="E14:O14" si="1">SUM(E12:E13)</f>
        <v>189553487</v>
      </c>
      <c r="F14" s="81">
        <f t="shared" si="1"/>
        <v>112160106.69309099</v>
      </c>
      <c r="G14" s="81">
        <f t="shared" si="1"/>
        <v>22691483.243196219</v>
      </c>
      <c r="H14" s="81">
        <f t="shared" si="1"/>
        <v>21022673.17295818</v>
      </c>
      <c r="I14" s="81">
        <f t="shared" si="1"/>
        <v>13143178.342968386</v>
      </c>
      <c r="J14" s="81">
        <f t="shared" si="1"/>
        <v>9705699.3251690231</v>
      </c>
      <c r="K14" s="81">
        <f t="shared" si="1"/>
        <v>4547236.4369009109</v>
      </c>
      <c r="L14" s="81">
        <f t="shared" si="1"/>
        <v>3255301.1544088237</v>
      </c>
      <c r="M14" s="81">
        <f t="shared" si="1"/>
        <v>1122208.5289391573</v>
      </c>
      <c r="N14" s="81">
        <f t="shared" si="1"/>
        <v>1725969.7407860644</v>
      </c>
      <c r="O14" s="81">
        <f t="shared" si="1"/>
        <v>179630.36158224553</v>
      </c>
    </row>
    <row r="15" spans="1:16">
      <c r="A15" s="71">
        <f t="shared" si="0"/>
        <v>8</v>
      </c>
      <c r="B15" s="87"/>
      <c r="C15" s="81"/>
      <c r="D15" s="74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spans="1:16">
      <c r="A16" s="13">
        <f t="shared" si="0"/>
        <v>9</v>
      </c>
      <c r="B16" s="84"/>
      <c r="C16" s="5" t="s">
        <v>307</v>
      </c>
      <c r="D16" s="70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</row>
    <row r="17" spans="1:15">
      <c r="A17" s="13">
        <f t="shared" si="0"/>
        <v>10</v>
      </c>
      <c r="B17" s="84">
        <v>310</v>
      </c>
      <c r="C17" s="53" t="s">
        <v>309</v>
      </c>
      <c r="D17" s="70" t="s">
        <v>120</v>
      </c>
      <c r="E17" s="53">
        <v>1108157184</v>
      </c>
      <c r="F17" s="53">
        <v>590105175.56492972</v>
      </c>
      <c r="G17" s="53">
        <v>133785746.46445583</v>
      </c>
      <c r="H17" s="53">
        <v>148426003.74678457</v>
      </c>
      <c r="I17" s="53">
        <v>101241234.20986329</v>
      </c>
      <c r="J17" s="53">
        <v>69075572.766987935</v>
      </c>
      <c r="K17" s="53">
        <v>34114341.472755477</v>
      </c>
      <c r="L17" s="53">
        <v>26890954.926574059</v>
      </c>
      <c r="M17" s="53">
        <v>0</v>
      </c>
      <c r="N17" s="53">
        <v>4135853.7987916544</v>
      </c>
      <c r="O17" s="53">
        <v>382301.04885756306</v>
      </c>
    </row>
    <row r="18" spans="1:15">
      <c r="A18" s="13">
        <f t="shared" si="0"/>
        <v>11</v>
      </c>
      <c r="B18" s="84">
        <v>330</v>
      </c>
      <c r="C18" s="53" t="s">
        <v>310</v>
      </c>
      <c r="D18" s="70" t="s">
        <v>120</v>
      </c>
      <c r="E18" s="53">
        <v>265007487</v>
      </c>
      <c r="F18" s="53">
        <v>141119231.00807679</v>
      </c>
      <c r="G18" s="53">
        <v>31993858.794461939</v>
      </c>
      <c r="H18" s="53">
        <v>35494966.622341514</v>
      </c>
      <c r="I18" s="53">
        <v>24211082.548677772</v>
      </c>
      <c r="J18" s="53">
        <v>16518905.635741571</v>
      </c>
      <c r="K18" s="53">
        <v>8158189.1403907621</v>
      </c>
      <c r="L18" s="53">
        <v>6430770.3735661209</v>
      </c>
      <c r="M18" s="53">
        <v>0</v>
      </c>
      <c r="N18" s="53">
        <v>989058.44553653139</v>
      </c>
      <c r="O18" s="53">
        <v>91424.431207050686</v>
      </c>
    </row>
    <row r="19" spans="1:15">
      <c r="A19" s="13">
        <f t="shared" si="0"/>
        <v>12</v>
      </c>
      <c r="B19" s="84">
        <v>340</v>
      </c>
      <c r="C19" s="53" t="s">
        <v>311</v>
      </c>
      <c r="D19" s="70" t="s">
        <v>120</v>
      </c>
      <c r="E19" s="53">
        <v>1888540633</v>
      </c>
      <c r="F19" s="53">
        <v>1005667443.1106414</v>
      </c>
      <c r="G19" s="53">
        <v>227999982.27901298</v>
      </c>
      <c r="H19" s="53">
        <v>252950161.86946714</v>
      </c>
      <c r="I19" s="53">
        <v>172537061.80042818</v>
      </c>
      <c r="J19" s="53">
        <v>117719785.42549875</v>
      </c>
      <c r="K19" s="53">
        <v>58138250.574510351</v>
      </c>
      <c r="L19" s="53">
        <v>45828030.330223113</v>
      </c>
      <c r="M19" s="53">
        <v>0</v>
      </c>
      <c r="N19" s="53">
        <v>7048393.552773688</v>
      </c>
      <c r="O19" s="53">
        <v>651524.05744456733</v>
      </c>
    </row>
    <row r="20" spans="1:15">
      <c r="A20" s="71">
        <f t="shared" si="0"/>
        <v>13</v>
      </c>
      <c r="B20" s="87"/>
      <c r="C20" s="81" t="s">
        <v>180</v>
      </c>
      <c r="D20" s="74"/>
      <c r="E20" s="81">
        <f>SUM(E17:E19)</f>
        <v>3261705304</v>
      </c>
      <c r="F20" s="81">
        <f t="shared" ref="F20:O20" si="2">SUM(F17:F19)</f>
        <v>1736891849.6836479</v>
      </c>
      <c r="G20" s="81">
        <f t="shared" si="2"/>
        <v>393779587.53793073</v>
      </c>
      <c r="H20" s="81">
        <f t="shared" si="2"/>
        <v>436871132.23859322</v>
      </c>
      <c r="I20" s="81">
        <f t="shared" si="2"/>
        <v>297989378.55896926</v>
      </c>
      <c r="J20" s="81">
        <f t="shared" si="2"/>
        <v>203314263.82822827</v>
      </c>
      <c r="K20" s="81">
        <f t="shared" si="2"/>
        <v>100410781.18765658</v>
      </c>
      <c r="L20" s="81">
        <f t="shared" si="2"/>
        <v>79149755.630363286</v>
      </c>
      <c r="M20" s="81">
        <f t="shared" si="2"/>
        <v>0</v>
      </c>
      <c r="N20" s="81">
        <f t="shared" si="2"/>
        <v>12173305.797101874</v>
      </c>
      <c r="O20" s="81">
        <f t="shared" si="2"/>
        <v>1125249.5375091811</v>
      </c>
    </row>
    <row r="21" spans="1:15">
      <c r="A21" s="13">
        <f t="shared" si="0"/>
        <v>14</v>
      </c>
      <c r="B21" s="84"/>
      <c r="C21" s="9"/>
      <c r="D21" s="70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>
      <c r="A22" s="13">
        <f t="shared" si="0"/>
        <v>15</v>
      </c>
      <c r="B22" s="84"/>
      <c r="C22" s="5" t="s">
        <v>312</v>
      </c>
      <c r="D22" s="70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>
      <c r="A23" s="13">
        <f t="shared" si="0"/>
        <v>16</v>
      </c>
      <c r="B23" s="84">
        <v>350</v>
      </c>
      <c r="C23" s="53" t="s">
        <v>313</v>
      </c>
      <c r="D23" s="70" t="s">
        <v>120</v>
      </c>
      <c r="E23" s="53">
        <v>231649100</v>
      </c>
      <c r="F23" s="53">
        <v>123355544.50094865</v>
      </c>
      <c r="G23" s="53">
        <v>27966563.055119239</v>
      </c>
      <c r="H23" s="53">
        <v>31026961.410322156</v>
      </c>
      <c r="I23" s="53">
        <v>21163460.49659688</v>
      </c>
      <c r="J23" s="53">
        <v>14439552.885177402</v>
      </c>
      <c r="K23" s="53">
        <v>7131259.5481549297</v>
      </c>
      <c r="L23" s="53">
        <v>5621283.3313017143</v>
      </c>
      <c r="M23" s="53">
        <v>0</v>
      </c>
      <c r="N23" s="53">
        <v>864558.58794637187</v>
      </c>
      <c r="O23" s="53">
        <v>79916.184432650392</v>
      </c>
    </row>
    <row r="24" spans="1:15">
      <c r="A24" s="13">
        <f t="shared" si="0"/>
        <v>17</v>
      </c>
      <c r="B24" s="84">
        <v>350.01</v>
      </c>
      <c r="C24" s="53" t="s">
        <v>314</v>
      </c>
      <c r="D24" s="70" t="s">
        <v>279</v>
      </c>
      <c r="E24" s="53">
        <v>178367968</v>
      </c>
      <c r="F24" s="53">
        <v>87293006.974727303</v>
      </c>
      <c r="G24" s="53">
        <v>19760461.443873871</v>
      </c>
      <c r="H24" s="53">
        <v>21913693.775061082</v>
      </c>
      <c r="I24" s="53">
        <v>14943490.907217287</v>
      </c>
      <c r="J24" s="53">
        <v>10189055.4932165</v>
      </c>
      <c r="K24" s="53">
        <v>5033507.8116011536</v>
      </c>
      <c r="L24" s="53">
        <v>3967530.4952602452</v>
      </c>
      <c r="M24" s="53">
        <v>13584045.652520476</v>
      </c>
      <c r="N24" s="53">
        <v>610264.2226614817</v>
      </c>
      <c r="O24" s="53">
        <v>1072911.223860618</v>
      </c>
    </row>
    <row r="25" spans="1:15">
      <c r="A25" s="13">
        <f t="shared" si="0"/>
        <v>18</v>
      </c>
      <c r="B25" s="84">
        <v>350.02</v>
      </c>
      <c r="C25" s="53" t="s">
        <v>315</v>
      </c>
      <c r="D25" s="70" t="s">
        <v>279</v>
      </c>
      <c r="E25" s="53">
        <v>15069546</v>
      </c>
      <c r="F25" s="53">
        <v>7375012.4466517102</v>
      </c>
      <c r="G25" s="53">
        <v>1669476.7903039842</v>
      </c>
      <c r="H25" s="53">
        <v>1851394.1717001377</v>
      </c>
      <c r="I25" s="53">
        <v>1262511.5717351933</v>
      </c>
      <c r="J25" s="53">
        <v>860829.6779586497</v>
      </c>
      <c r="K25" s="53">
        <v>425259.52590480214</v>
      </c>
      <c r="L25" s="53">
        <v>335199.66603379732</v>
      </c>
      <c r="M25" s="53">
        <v>1147657.8621266647</v>
      </c>
      <c r="N25" s="53">
        <v>51558.611552672068</v>
      </c>
      <c r="O25" s="53">
        <v>90645.676032390984</v>
      </c>
    </row>
    <row r="26" spans="1:15">
      <c r="A26" s="71">
        <f t="shared" si="0"/>
        <v>19</v>
      </c>
      <c r="B26" s="87"/>
      <c r="C26" s="81" t="s">
        <v>180</v>
      </c>
      <c r="D26" s="74"/>
      <c r="E26" s="81">
        <f>SUM(E23:E25)</f>
        <v>425086614</v>
      </c>
      <c r="F26" s="81">
        <f t="shared" ref="F26:O26" si="3">SUM(F23:F25)</f>
        <v>218023563.92232764</v>
      </c>
      <c r="G26" s="81">
        <f t="shared" si="3"/>
        <v>49396501.289297096</v>
      </c>
      <c r="H26" s="81">
        <f t="shared" si="3"/>
        <v>54792049.357083373</v>
      </c>
      <c r="I26" s="81">
        <f t="shared" si="3"/>
        <v>37369462.975549363</v>
      </c>
      <c r="J26" s="81">
        <f t="shared" si="3"/>
        <v>25489438.056352552</v>
      </c>
      <c r="K26" s="81">
        <f t="shared" si="3"/>
        <v>12590026.885660885</v>
      </c>
      <c r="L26" s="81">
        <f t="shared" si="3"/>
        <v>9924013.4925957564</v>
      </c>
      <c r="M26" s="81">
        <f t="shared" si="3"/>
        <v>14731703.514647141</v>
      </c>
      <c r="N26" s="81">
        <f t="shared" si="3"/>
        <v>1526381.4221605256</v>
      </c>
      <c r="O26" s="81">
        <f t="shared" si="3"/>
        <v>1243473.0843256593</v>
      </c>
    </row>
    <row r="27" spans="1:15">
      <c r="A27" s="13">
        <f t="shared" si="0"/>
        <v>20</v>
      </c>
      <c r="B27" s="84"/>
      <c r="C27" s="5"/>
      <c r="D27" s="70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1:15">
      <c r="A28" s="13">
        <f t="shared" si="0"/>
        <v>21</v>
      </c>
      <c r="B28" s="84"/>
      <c r="C28" s="5" t="s">
        <v>316</v>
      </c>
      <c r="D28" s="70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1:15">
      <c r="A29" s="13">
        <f t="shared" si="0"/>
        <v>22</v>
      </c>
      <c r="B29" s="84">
        <v>360.01</v>
      </c>
      <c r="C29" s="53" t="s">
        <v>317</v>
      </c>
      <c r="D29" s="70" t="s">
        <v>318</v>
      </c>
      <c r="E29" s="53">
        <v>1568654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797320.4917167892</v>
      </c>
      <c r="L29" s="53">
        <v>742146.52688959648</v>
      </c>
      <c r="M29" s="53">
        <v>0</v>
      </c>
      <c r="N29" s="53">
        <v>0</v>
      </c>
      <c r="O29" s="53">
        <v>29186.981393614275</v>
      </c>
    </row>
    <row r="30" spans="1:15">
      <c r="A30" s="13">
        <f t="shared" si="0"/>
        <v>23</v>
      </c>
      <c r="B30" s="84">
        <v>360.02</v>
      </c>
      <c r="C30" s="53" t="s">
        <v>319</v>
      </c>
      <c r="D30" s="70" t="s">
        <v>320</v>
      </c>
      <c r="E30" s="53">
        <v>25403095</v>
      </c>
      <c r="F30" s="53">
        <v>11652659.182134507</v>
      </c>
      <c r="G30" s="53">
        <v>3496611.963092336</v>
      </c>
      <c r="H30" s="53">
        <v>4092977.6427491433</v>
      </c>
      <c r="I30" s="53">
        <v>3073433.6251679533</v>
      </c>
      <c r="J30" s="53">
        <v>2617463.3399854871</v>
      </c>
      <c r="K30" s="53">
        <v>0</v>
      </c>
      <c r="L30" s="53">
        <v>0</v>
      </c>
      <c r="M30" s="53">
        <v>215460.31816840358</v>
      </c>
      <c r="N30" s="53">
        <v>251998.05797189896</v>
      </c>
      <c r="O30" s="53">
        <v>2490.8707302705611</v>
      </c>
    </row>
    <row r="31" spans="1:15">
      <c r="A31" s="13">
        <f t="shared" si="0"/>
        <v>24</v>
      </c>
      <c r="B31" s="84">
        <v>360.03</v>
      </c>
      <c r="C31" s="53" t="s">
        <v>321</v>
      </c>
      <c r="D31" s="70" t="s">
        <v>279</v>
      </c>
      <c r="E31" s="53">
        <v>51635827</v>
      </c>
      <c r="F31" s="53">
        <v>25270493.671020642</v>
      </c>
      <c r="G31" s="53">
        <v>5720465.2830716865</v>
      </c>
      <c r="H31" s="53">
        <v>6343805.5239830445</v>
      </c>
      <c r="I31" s="53">
        <v>4325998.2154483302</v>
      </c>
      <c r="J31" s="53">
        <v>2949634.4699129318</v>
      </c>
      <c r="K31" s="53">
        <v>1457152.5452540098</v>
      </c>
      <c r="L31" s="53">
        <v>1148562.2702753576</v>
      </c>
      <c r="M31" s="53">
        <v>3932451.7688829051</v>
      </c>
      <c r="N31" s="53">
        <v>176665.67702132341</v>
      </c>
      <c r="O31" s="53">
        <v>310597.57512977411</v>
      </c>
    </row>
    <row r="32" spans="1:15">
      <c r="A32" s="13">
        <f t="shared" si="0"/>
        <v>25</v>
      </c>
      <c r="B32" s="84">
        <v>361.01</v>
      </c>
      <c r="C32" s="53" t="s">
        <v>322</v>
      </c>
      <c r="D32" s="70" t="s">
        <v>323</v>
      </c>
      <c r="E32" s="53">
        <v>411650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121167.91024616972</v>
      </c>
      <c r="L32" s="53">
        <v>162865.1842846846</v>
      </c>
      <c r="M32" s="53">
        <v>109084.91919651578</v>
      </c>
      <c r="N32" s="53">
        <v>0</v>
      </c>
      <c r="O32" s="53">
        <v>18531.986272629882</v>
      </c>
    </row>
    <row r="33" spans="1:15">
      <c r="A33" s="13">
        <f t="shared" si="0"/>
        <v>26</v>
      </c>
      <c r="B33" s="84">
        <v>361.02</v>
      </c>
      <c r="C33" s="53" t="s">
        <v>324</v>
      </c>
      <c r="D33" s="70" t="s">
        <v>325</v>
      </c>
      <c r="E33" s="53">
        <v>5173728</v>
      </c>
      <c r="F33" s="53">
        <v>2581673.7795637068</v>
      </c>
      <c r="G33" s="53">
        <v>714307.78208702663</v>
      </c>
      <c r="H33" s="53">
        <v>826974.41406430642</v>
      </c>
      <c r="I33" s="53">
        <v>576319.66170647216</v>
      </c>
      <c r="J33" s="53">
        <v>407501.09184011235</v>
      </c>
      <c r="K33" s="53">
        <v>0</v>
      </c>
      <c r="L33" s="53">
        <v>0</v>
      </c>
      <c r="M33" s="53">
        <v>22366.279930023044</v>
      </c>
      <c r="N33" s="53">
        <v>44301.760294151129</v>
      </c>
      <c r="O33" s="53">
        <v>283.23051420142122</v>
      </c>
    </row>
    <row r="34" spans="1:15">
      <c r="A34" s="13">
        <f t="shared" si="0"/>
        <v>27</v>
      </c>
      <c r="B34" s="84">
        <v>361.03</v>
      </c>
      <c r="C34" s="53" t="s">
        <v>326</v>
      </c>
      <c r="D34" s="70" t="s">
        <v>279</v>
      </c>
      <c r="E34" s="53">
        <v>2460705</v>
      </c>
      <c r="F34" s="53">
        <v>1204265.2116087701</v>
      </c>
      <c r="G34" s="53">
        <v>272608.73587598227</v>
      </c>
      <c r="H34" s="53">
        <v>302314.01100427221</v>
      </c>
      <c r="I34" s="53">
        <v>206155.41683383484</v>
      </c>
      <c r="J34" s="53">
        <v>140564.81148809916</v>
      </c>
      <c r="K34" s="53">
        <v>69440.59507111735</v>
      </c>
      <c r="L34" s="53">
        <v>54734.72752315797</v>
      </c>
      <c r="M34" s="53">
        <v>187400.96348120869</v>
      </c>
      <c r="N34" s="53">
        <v>8419.0016899459279</v>
      </c>
      <c r="O34" s="53">
        <v>14801.525423611611</v>
      </c>
    </row>
    <row r="35" spans="1:15">
      <c r="A35" s="13">
        <f t="shared" si="0"/>
        <v>28</v>
      </c>
      <c r="B35" s="84">
        <v>362.01</v>
      </c>
      <c r="C35" s="53" t="s">
        <v>327</v>
      </c>
      <c r="D35" s="70" t="s">
        <v>328</v>
      </c>
      <c r="E35" s="53">
        <v>24443451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8001084</v>
      </c>
      <c r="L35" s="53">
        <v>9029279</v>
      </c>
      <c r="M35" s="53">
        <v>6033070</v>
      </c>
      <c r="N35" s="53">
        <v>0</v>
      </c>
      <c r="O35" s="53">
        <v>1380018</v>
      </c>
    </row>
    <row r="36" spans="1:15">
      <c r="A36" s="13">
        <f t="shared" si="0"/>
        <v>29</v>
      </c>
      <c r="B36" s="84">
        <v>362.02</v>
      </c>
      <c r="C36" s="53" t="s">
        <v>329</v>
      </c>
      <c r="D36" s="70" t="s">
        <v>330</v>
      </c>
      <c r="E36" s="53">
        <v>307885291</v>
      </c>
      <c r="F36" s="53">
        <v>164998838.31850609</v>
      </c>
      <c r="G36" s="53">
        <v>43562007.576394819</v>
      </c>
      <c r="H36" s="53">
        <v>43204972.156346351</v>
      </c>
      <c r="I36" s="53">
        <v>27671606.110616792</v>
      </c>
      <c r="J36" s="53">
        <v>24465759.343917314</v>
      </c>
      <c r="K36" s="53">
        <v>0</v>
      </c>
      <c r="L36" s="53">
        <v>0</v>
      </c>
      <c r="M36" s="53">
        <v>1399840.2243225416</v>
      </c>
      <c r="N36" s="53">
        <v>2515807.8778597242</v>
      </c>
      <c r="O36" s="53">
        <v>66459.392036362857</v>
      </c>
    </row>
    <row r="37" spans="1:15">
      <c r="A37" s="13">
        <f t="shared" si="0"/>
        <v>30</v>
      </c>
      <c r="B37" s="84">
        <v>362.03</v>
      </c>
      <c r="C37" s="53" t="s">
        <v>331</v>
      </c>
      <c r="D37" s="70" t="s">
        <v>279</v>
      </c>
      <c r="E37" s="53">
        <v>222299816</v>
      </c>
      <c r="F37" s="53">
        <v>108793185.26838067</v>
      </c>
      <c r="G37" s="53">
        <v>24627442.87723374</v>
      </c>
      <c r="H37" s="53">
        <v>27311014.128256612</v>
      </c>
      <c r="I37" s="53">
        <v>18624057.426454931</v>
      </c>
      <c r="J37" s="53">
        <v>12698609.435051797</v>
      </c>
      <c r="K37" s="53">
        <v>6273255.6349663585</v>
      </c>
      <c r="L37" s="53">
        <v>4944729.1963921534</v>
      </c>
      <c r="M37" s="53">
        <v>16929782.19660439</v>
      </c>
      <c r="N37" s="53">
        <v>760571.67623858561</v>
      </c>
      <c r="O37" s="53">
        <v>1337168.1604207668</v>
      </c>
    </row>
    <row r="38" spans="1:15">
      <c r="A38" s="13">
        <f t="shared" si="0"/>
        <v>31</v>
      </c>
      <c r="B38" s="84">
        <v>364</v>
      </c>
      <c r="C38" s="53" t="s">
        <v>332</v>
      </c>
      <c r="D38" s="70" t="s">
        <v>333</v>
      </c>
      <c r="E38" s="53">
        <v>231436538</v>
      </c>
      <c r="F38" s="53">
        <v>160286644.97615787</v>
      </c>
      <c r="G38" s="53">
        <v>27523923.683422029</v>
      </c>
      <c r="H38" s="53">
        <v>21703602.22136182</v>
      </c>
      <c r="I38" s="53">
        <v>8792179.3181637973</v>
      </c>
      <c r="J38" s="53">
        <v>11810592.51406642</v>
      </c>
      <c r="K38" s="53">
        <v>0</v>
      </c>
      <c r="L38" s="53">
        <v>0</v>
      </c>
      <c r="M38" s="53">
        <v>451.99359028191435</v>
      </c>
      <c r="N38" s="53">
        <v>1221964.6713271553</v>
      </c>
      <c r="O38" s="53">
        <v>97178.62191061156</v>
      </c>
    </row>
    <row r="39" spans="1:15">
      <c r="A39" s="13">
        <f t="shared" si="0"/>
        <v>32</v>
      </c>
      <c r="B39" s="84">
        <v>364.01</v>
      </c>
      <c r="C39" s="53" t="s">
        <v>334</v>
      </c>
      <c r="D39" s="70" t="s">
        <v>279</v>
      </c>
      <c r="E39" s="53">
        <v>170912245</v>
      </c>
      <c r="F39" s="53">
        <v>83644187.698832229</v>
      </c>
      <c r="G39" s="53">
        <v>18934480.587951895</v>
      </c>
      <c r="H39" s="53">
        <v>20997708.508616384</v>
      </c>
      <c r="I39" s="53">
        <v>14318857.851705713</v>
      </c>
      <c r="J39" s="53">
        <v>9763156.2903447691</v>
      </c>
      <c r="K39" s="53">
        <v>4823108.8235853547</v>
      </c>
      <c r="L39" s="53">
        <v>3801689.0120702069</v>
      </c>
      <c r="M39" s="53">
        <v>13016236.966128161</v>
      </c>
      <c r="N39" s="53">
        <v>584755.37680764357</v>
      </c>
      <c r="O39" s="53">
        <v>1028063.8839576611</v>
      </c>
    </row>
    <row r="40" spans="1:15">
      <c r="A40" s="13">
        <f t="shared" si="0"/>
        <v>33</v>
      </c>
      <c r="B40" s="84">
        <v>365</v>
      </c>
      <c r="C40" s="53" t="s">
        <v>335</v>
      </c>
      <c r="D40" s="70" t="s">
        <v>336</v>
      </c>
      <c r="E40" s="53">
        <v>2312115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1551609</v>
      </c>
      <c r="L40" s="53">
        <v>0</v>
      </c>
      <c r="M40" s="53">
        <v>0</v>
      </c>
      <c r="N40" s="53">
        <v>0</v>
      </c>
      <c r="O40" s="53">
        <v>760506</v>
      </c>
    </row>
    <row r="41" spans="1:15">
      <c r="A41" s="13">
        <f t="shared" si="0"/>
        <v>34</v>
      </c>
      <c r="B41" s="84">
        <v>365.01</v>
      </c>
      <c r="C41" s="53" t="s">
        <v>337</v>
      </c>
      <c r="D41" s="70" t="s">
        <v>333</v>
      </c>
      <c r="E41" s="53">
        <v>282199098</v>
      </c>
      <c r="F41" s="53">
        <v>195443411.9374789</v>
      </c>
      <c r="G41" s="53">
        <v>33560934.258714736</v>
      </c>
      <c r="H41" s="53">
        <v>26464001.851855829</v>
      </c>
      <c r="I41" s="53">
        <v>10720628.188104328</v>
      </c>
      <c r="J41" s="53">
        <v>14401090.61048561</v>
      </c>
      <c r="K41" s="53">
        <v>0</v>
      </c>
      <c r="L41" s="53">
        <v>0</v>
      </c>
      <c r="M41" s="53">
        <v>551.13243821223159</v>
      </c>
      <c r="N41" s="53">
        <v>1489986.546706768</v>
      </c>
      <c r="O41" s="53">
        <v>118493.47421562977</v>
      </c>
    </row>
    <row r="42" spans="1:15">
      <c r="A42" s="13">
        <f t="shared" si="0"/>
        <v>35</v>
      </c>
      <c r="B42" s="84">
        <v>365.03</v>
      </c>
      <c r="C42" s="53" t="s">
        <v>338</v>
      </c>
      <c r="D42" s="70" t="s">
        <v>279</v>
      </c>
      <c r="E42" s="53">
        <v>131895724</v>
      </c>
      <c r="F42" s="53">
        <v>64549562.817628257</v>
      </c>
      <c r="G42" s="53">
        <v>14612042.722344797</v>
      </c>
      <c r="H42" s="53">
        <v>16204268.840333343</v>
      </c>
      <c r="I42" s="53">
        <v>11050092.538447492</v>
      </c>
      <c r="J42" s="53">
        <v>7534384.4874319993</v>
      </c>
      <c r="K42" s="53">
        <v>3722070.5293384842</v>
      </c>
      <c r="L42" s="53">
        <v>2933824.4586854777</v>
      </c>
      <c r="M42" s="53">
        <v>10044839.083373092</v>
      </c>
      <c r="N42" s="53">
        <v>451265.11436870403</v>
      </c>
      <c r="O42" s="53">
        <v>793373.40804836829</v>
      </c>
    </row>
    <row r="43" spans="1:15">
      <c r="A43" s="13">
        <f t="shared" si="0"/>
        <v>36</v>
      </c>
      <c r="B43" s="84">
        <v>366</v>
      </c>
      <c r="C43" s="53" t="s">
        <v>339</v>
      </c>
      <c r="D43" s="70" t="s">
        <v>340</v>
      </c>
      <c r="E43" s="53">
        <v>552721329</v>
      </c>
      <c r="F43" s="53">
        <v>375215437.33931661</v>
      </c>
      <c r="G43" s="53">
        <v>64451890.65245571</v>
      </c>
      <c r="H43" s="53">
        <v>57430814.290110439</v>
      </c>
      <c r="I43" s="53">
        <v>25967006.859013546</v>
      </c>
      <c r="J43" s="53">
        <v>26086283.399544701</v>
      </c>
      <c r="K43" s="53">
        <v>0</v>
      </c>
      <c r="L43" s="53">
        <v>0</v>
      </c>
      <c r="M43" s="53">
        <v>84557.547512692123</v>
      </c>
      <c r="N43" s="53">
        <v>3388461.7218496683</v>
      </c>
      <c r="O43" s="53">
        <v>96877.190196660493</v>
      </c>
    </row>
    <row r="44" spans="1:15">
      <c r="A44" s="13">
        <f t="shared" si="0"/>
        <v>37</v>
      </c>
      <c r="B44" s="84">
        <v>366.01</v>
      </c>
      <c r="C44" s="53" t="s">
        <v>341</v>
      </c>
      <c r="D44" s="70" t="s">
        <v>342</v>
      </c>
      <c r="E44" s="53">
        <v>700575</v>
      </c>
      <c r="F44" s="53">
        <v>342860.31873906625</v>
      </c>
      <c r="G44" s="53">
        <v>77613.068261460125</v>
      </c>
      <c r="H44" s="53">
        <v>86070.308411336606</v>
      </c>
      <c r="I44" s="53">
        <v>58693.476523339385</v>
      </c>
      <c r="J44" s="53">
        <v>40019.503682186638</v>
      </c>
      <c r="K44" s="53">
        <v>19770.084139280421</v>
      </c>
      <c r="L44" s="53">
        <v>15583.250220784856</v>
      </c>
      <c r="M44" s="53">
        <v>53353.990011337308</v>
      </c>
      <c r="N44" s="53">
        <v>2396.9318178870967</v>
      </c>
      <c r="O44" s="53">
        <v>4214.0681933213054</v>
      </c>
    </row>
    <row r="45" spans="1:15">
      <c r="A45" s="13">
        <f t="shared" si="0"/>
        <v>38</v>
      </c>
      <c r="B45" s="84">
        <v>366.02</v>
      </c>
      <c r="C45" s="53" t="s">
        <v>343</v>
      </c>
      <c r="D45" s="70" t="s">
        <v>344</v>
      </c>
      <c r="E45" s="53">
        <v>24320732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21257430.125954345</v>
      </c>
      <c r="L45" s="53">
        <v>1801892.925911238</v>
      </c>
      <c r="M45" s="53">
        <v>674698.97225827852</v>
      </c>
      <c r="N45" s="53">
        <v>0</v>
      </c>
      <c r="O45" s="53">
        <v>586709.9758761382</v>
      </c>
    </row>
    <row r="46" spans="1:15">
      <c r="A46" s="13">
        <f t="shared" si="0"/>
        <v>39</v>
      </c>
      <c r="B46" s="84">
        <v>367</v>
      </c>
      <c r="C46" s="53" t="s">
        <v>345</v>
      </c>
      <c r="D46" s="70" t="s">
        <v>340</v>
      </c>
      <c r="E46" s="53">
        <v>647702410</v>
      </c>
      <c r="F46" s="53">
        <v>439693440.94893682</v>
      </c>
      <c r="G46" s="53">
        <v>75527472.370533451</v>
      </c>
      <c r="H46" s="53">
        <v>67299875.854740128</v>
      </c>
      <c r="I46" s="53">
        <v>30429245.336884052</v>
      </c>
      <c r="J46" s="53">
        <v>30569018.670578741</v>
      </c>
      <c r="K46" s="53">
        <v>0</v>
      </c>
      <c r="L46" s="53">
        <v>0</v>
      </c>
      <c r="M46" s="53">
        <v>99088.137971350458</v>
      </c>
      <c r="N46" s="53">
        <v>3970743.8600307386</v>
      </c>
      <c r="O46" s="53">
        <v>113524.82032479222</v>
      </c>
    </row>
    <row r="47" spans="1:15">
      <c r="A47" s="13">
        <f t="shared" si="0"/>
        <v>40</v>
      </c>
      <c r="B47" s="84">
        <v>367.01</v>
      </c>
      <c r="C47" s="53" t="s">
        <v>346</v>
      </c>
      <c r="D47" s="70" t="s">
        <v>342</v>
      </c>
      <c r="E47" s="53">
        <v>2937079</v>
      </c>
      <c r="F47" s="53">
        <v>1437401.9085776943</v>
      </c>
      <c r="G47" s="53">
        <v>325383.73895200528</v>
      </c>
      <c r="H47" s="53">
        <v>360839.73216066818</v>
      </c>
      <c r="I47" s="53">
        <v>246065.55662661832</v>
      </c>
      <c r="J47" s="53">
        <v>167777.10288744682</v>
      </c>
      <c r="K47" s="53">
        <v>82883.772549282527</v>
      </c>
      <c r="L47" s="53">
        <v>65330.959533543966</v>
      </c>
      <c r="M47" s="53">
        <v>223680.38201264475</v>
      </c>
      <c r="N47" s="53">
        <v>10048.857162684961</v>
      </c>
      <c r="O47" s="53">
        <v>17666.98953741134</v>
      </c>
    </row>
    <row r="48" spans="1:15">
      <c r="A48" s="13">
        <f t="shared" si="0"/>
        <v>41</v>
      </c>
      <c r="B48" s="84" t="s">
        <v>347</v>
      </c>
      <c r="C48" s="53" t="s">
        <v>348</v>
      </c>
      <c r="D48" s="70" t="s">
        <v>349</v>
      </c>
      <c r="E48" s="53">
        <v>138085649</v>
      </c>
      <c r="F48" s="53">
        <v>115994703.23864824</v>
      </c>
      <c r="G48" s="53">
        <v>19223368.296150688</v>
      </c>
      <c r="H48" s="53">
        <v>2692489.7418783167</v>
      </c>
      <c r="I48" s="53">
        <v>27159.771846288866</v>
      </c>
      <c r="J48" s="53">
        <v>0</v>
      </c>
      <c r="K48" s="53">
        <v>0</v>
      </c>
      <c r="L48" s="53">
        <v>0</v>
      </c>
      <c r="M48" s="53">
        <v>0</v>
      </c>
      <c r="N48" s="53">
        <v>147927.95147648011</v>
      </c>
      <c r="O48" s="53">
        <v>0</v>
      </c>
    </row>
    <row r="49" spans="1:15">
      <c r="A49" s="13">
        <f t="shared" si="0"/>
        <v>42</v>
      </c>
      <c r="B49" s="84" t="s">
        <v>350</v>
      </c>
      <c r="C49" s="53" t="s">
        <v>351</v>
      </c>
      <c r="D49" s="70" t="s">
        <v>349</v>
      </c>
      <c r="E49" s="53">
        <v>261219747</v>
      </c>
      <c r="F49" s="53">
        <v>169354594.19037735</v>
      </c>
      <c r="G49" s="53">
        <v>49946407.043527246</v>
      </c>
      <c r="H49" s="53">
        <v>33230543.537078962</v>
      </c>
      <c r="I49" s="53">
        <v>8620709.5514841061</v>
      </c>
      <c r="J49" s="53">
        <v>0</v>
      </c>
      <c r="K49" s="53">
        <v>0</v>
      </c>
      <c r="L49" s="53">
        <v>0</v>
      </c>
      <c r="M49" s="53">
        <v>0</v>
      </c>
      <c r="N49" s="53">
        <v>67492.677532310219</v>
      </c>
      <c r="O49" s="53">
        <v>0</v>
      </c>
    </row>
    <row r="50" spans="1:15">
      <c r="A50" s="13">
        <f t="shared" si="0"/>
        <v>43</v>
      </c>
      <c r="B50" s="84">
        <v>368.03</v>
      </c>
      <c r="C50" s="53" t="s">
        <v>352</v>
      </c>
      <c r="D50" s="70" t="s">
        <v>349</v>
      </c>
      <c r="E50" s="53">
        <v>3755941</v>
      </c>
      <c r="F50" s="53">
        <v>0</v>
      </c>
      <c r="G50" s="53">
        <v>0</v>
      </c>
      <c r="H50" s="53">
        <v>0</v>
      </c>
      <c r="I50" s="53">
        <v>0</v>
      </c>
      <c r="J50" s="53">
        <v>1036928</v>
      </c>
      <c r="K50" s="53">
        <v>2699616</v>
      </c>
      <c r="L50" s="53">
        <v>0</v>
      </c>
      <c r="M50" s="53">
        <v>0</v>
      </c>
      <c r="N50" s="53">
        <v>0</v>
      </c>
      <c r="O50" s="53">
        <v>19397</v>
      </c>
    </row>
    <row r="51" spans="1:15">
      <c r="A51" s="13">
        <f t="shared" si="0"/>
        <v>44</v>
      </c>
      <c r="B51" s="84" t="s">
        <v>353</v>
      </c>
      <c r="C51" s="53" t="s">
        <v>354</v>
      </c>
      <c r="D51" s="70" t="s">
        <v>355</v>
      </c>
      <c r="E51" s="53">
        <v>41858524</v>
      </c>
      <c r="F51" s="53">
        <v>36290664.202816084</v>
      </c>
      <c r="G51" s="53">
        <v>5353785.0312708523</v>
      </c>
      <c r="H51" s="53">
        <v>211755.53858569314</v>
      </c>
      <c r="I51" s="53">
        <v>2319.2273273671153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53">
        <v>0</v>
      </c>
    </row>
    <row r="52" spans="1:15">
      <c r="A52" s="13">
        <f t="shared" si="0"/>
        <v>45</v>
      </c>
      <c r="B52" s="84" t="s">
        <v>356</v>
      </c>
      <c r="C52" s="53" t="s">
        <v>357</v>
      </c>
      <c r="D52" s="70" t="s">
        <v>133</v>
      </c>
      <c r="E52" s="53">
        <v>136280318</v>
      </c>
      <c r="F52" s="53">
        <v>136280318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v>0</v>
      </c>
      <c r="O52" s="53">
        <v>0</v>
      </c>
    </row>
    <row r="53" spans="1:15">
      <c r="A53" s="13">
        <f t="shared" si="0"/>
        <v>46</v>
      </c>
      <c r="B53" s="84">
        <v>370</v>
      </c>
      <c r="C53" s="53" t="s">
        <v>358</v>
      </c>
      <c r="D53" s="70" t="s">
        <v>359</v>
      </c>
      <c r="E53" s="53">
        <v>127180593</v>
      </c>
      <c r="F53" s="53">
        <v>67649431.384119555</v>
      </c>
      <c r="G53" s="53">
        <v>29514490.374698512</v>
      </c>
      <c r="H53" s="53">
        <v>11591801.933383834</v>
      </c>
      <c r="I53" s="53">
        <v>1278561.8156961645</v>
      </c>
      <c r="J53" s="53">
        <v>15279600.50214744</v>
      </c>
      <c r="K53" s="53">
        <v>740902.53921069985</v>
      </c>
      <c r="L53" s="53">
        <v>556416.99519946438</v>
      </c>
      <c r="M53" s="53">
        <v>289800.51833305432</v>
      </c>
      <c r="N53" s="53">
        <v>0</v>
      </c>
      <c r="O53" s="53">
        <v>279586.93721128238</v>
      </c>
    </row>
    <row r="54" spans="1:15">
      <c r="A54" s="13">
        <f t="shared" si="0"/>
        <v>47</v>
      </c>
      <c r="B54" s="84">
        <v>372</v>
      </c>
      <c r="C54" s="53" t="s">
        <v>360</v>
      </c>
      <c r="D54" s="70" t="s">
        <v>361</v>
      </c>
      <c r="E54" s="53">
        <v>640775</v>
      </c>
      <c r="F54" s="53">
        <v>635172</v>
      </c>
      <c r="G54" s="53">
        <v>5603</v>
      </c>
      <c r="H54" s="53">
        <v>0</v>
      </c>
      <c r="I54" s="53">
        <v>0</v>
      </c>
      <c r="J54" s="53">
        <v>0</v>
      </c>
      <c r="K54" s="53">
        <v>0</v>
      </c>
      <c r="L54" s="53">
        <v>0</v>
      </c>
      <c r="M54" s="53">
        <v>0</v>
      </c>
      <c r="N54" s="53">
        <v>0</v>
      </c>
      <c r="O54" s="53">
        <v>0</v>
      </c>
    </row>
    <row r="55" spans="1:15">
      <c r="A55" s="13">
        <f t="shared" si="0"/>
        <v>48</v>
      </c>
      <c r="B55" s="84">
        <v>373</v>
      </c>
      <c r="C55" s="53" t="s">
        <v>362</v>
      </c>
      <c r="D55" s="70" t="s">
        <v>151</v>
      </c>
      <c r="E55" s="53">
        <v>54753288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3">
        <v>0</v>
      </c>
      <c r="M55" s="53">
        <v>0</v>
      </c>
      <c r="N55" s="53">
        <v>54753288</v>
      </c>
      <c r="O55" s="53">
        <v>0</v>
      </c>
    </row>
    <row r="56" spans="1:15">
      <c r="A56" s="13">
        <f t="shared" si="0"/>
        <v>49</v>
      </c>
      <c r="B56" s="84">
        <v>374</v>
      </c>
      <c r="C56" s="53" t="s">
        <v>363</v>
      </c>
      <c r="D56" s="70" t="s">
        <v>156</v>
      </c>
      <c r="E56" s="53">
        <v>4204448</v>
      </c>
      <c r="F56" s="53">
        <v>2712298.2857875237</v>
      </c>
      <c r="G56" s="53">
        <v>482675.3880207843</v>
      </c>
      <c r="H56" s="53">
        <v>432425.53440052713</v>
      </c>
      <c r="I56" s="53">
        <v>208632.49220232136</v>
      </c>
      <c r="J56" s="53">
        <v>206146.45562508435</v>
      </c>
      <c r="K56" s="53">
        <v>64606.682105243846</v>
      </c>
      <c r="L56" s="53">
        <v>17700.459656651321</v>
      </c>
      <c r="M56" s="53">
        <v>49697.168661517549</v>
      </c>
      <c r="N56" s="53">
        <v>22837.679022908887</v>
      </c>
      <c r="O56" s="53">
        <v>7427.8545174378296</v>
      </c>
    </row>
    <row r="57" spans="1:15">
      <c r="A57" s="71">
        <f t="shared" si="0"/>
        <v>50</v>
      </c>
      <c r="B57" s="87"/>
      <c r="C57" s="81" t="s">
        <v>180</v>
      </c>
      <c r="D57" s="74"/>
      <c r="E57" s="81">
        <f t="shared" ref="E57:O57" si="4">SUM(E29:E56)</f>
        <v>3456399345</v>
      </c>
      <c r="F57" s="81">
        <f t="shared" si="4"/>
        <v>2164031244.6786304</v>
      </c>
      <c r="G57" s="81">
        <f t="shared" si="4"/>
        <v>417933514.4340598</v>
      </c>
      <c r="H57" s="81">
        <f t="shared" si="4"/>
        <v>340788255.76932108</v>
      </c>
      <c r="I57" s="81">
        <f t="shared" si="4"/>
        <v>166197722.44025347</v>
      </c>
      <c r="J57" s="81">
        <f t="shared" si="4"/>
        <v>160174530.02899015</v>
      </c>
      <c r="K57" s="81">
        <f t="shared" si="4"/>
        <v>51681418.734137133</v>
      </c>
      <c r="L57" s="81">
        <f t="shared" si="4"/>
        <v>25274754.966642309</v>
      </c>
      <c r="M57" s="81">
        <f t="shared" si="4"/>
        <v>53366412.562876604</v>
      </c>
      <c r="N57" s="81">
        <f t="shared" si="4"/>
        <v>69868933.439178571</v>
      </c>
      <c r="O57" s="81">
        <f t="shared" si="4"/>
        <v>7082557.945910546</v>
      </c>
    </row>
    <row r="58" spans="1:15">
      <c r="A58" s="13">
        <f t="shared" si="0"/>
        <v>51</v>
      </c>
      <c r="B58" s="84"/>
      <c r="C58" s="9"/>
      <c r="D58" s="70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</row>
    <row r="59" spans="1:15">
      <c r="A59" s="13">
        <f t="shared" si="0"/>
        <v>52</v>
      </c>
      <c r="B59" s="84"/>
      <c r="C59" s="5" t="s">
        <v>308</v>
      </c>
      <c r="D59" s="70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</row>
    <row r="60" spans="1:15">
      <c r="A60" s="13">
        <f t="shared" si="0"/>
        <v>53</v>
      </c>
      <c r="B60" s="84">
        <v>389</v>
      </c>
      <c r="C60" s="53" t="s">
        <v>364</v>
      </c>
      <c r="D60" s="70" t="s">
        <v>244</v>
      </c>
      <c r="E60" s="53">
        <v>7549078</v>
      </c>
      <c r="F60" s="53">
        <v>4664633.8443269189</v>
      </c>
      <c r="G60" s="53">
        <v>899973.37274838821</v>
      </c>
      <c r="H60" s="53">
        <v>760477.57249130076</v>
      </c>
      <c r="I60" s="53">
        <v>452740.41779065476</v>
      </c>
      <c r="J60" s="53">
        <v>349121.17555198644</v>
      </c>
      <c r="K60" s="53">
        <v>160005.96437627327</v>
      </c>
      <c r="L60" s="53">
        <v>107743.84319190863</v>
      </c>
      <c r="M60" s="53">
        <v>61238.658693338715</v>
      </c>
      <c r="N60" s="53">
        <v>84305.384454385727</v>
      </c>
      <c r="O60" s="53">
        <v>8837.7663748444666</v>
      </c>
    </row>
    <row r="61" spans="1:15">
      <c r="A61" s="13">
        <f t="shared" si="0"/>
        <v>54</v>
      </c>
      <c r="B61" s="84">
        <v>390</v>
      </c>
      <c r="C61" s="53" t="s">
        <v>365</v>
      </c>
      <c r="D61" s="70" t="s">
        <v>244</v>
      </c>
      <c r="E61" s="53">
        <v>136331046</v>
      </c>
      <c r="F61" s="53">
        <v>84240010.661446333</v>
      </c>
      <c r="G61" s="53">
        <v>16252886.945788035</v>
      </c>
      <c r="H61" s="53">
        <v>13733690.778831515</v>
      </c>
      <c r="I61" s="53">
        <v>8176173.927978619</v>
      </c>
      <c r="J61" s="53">
        <v>6304883.1981537277</v>
      </c>
      <c r="K61" s="53">
        <v>2889595.3240456749</v>
      </c>
      <c r="L61" s="53">
        <v>1945778.1258072685</v>
      </c>
      <c r="M61" s="53">
        <v>1105927.160283661</v>
      </c>
      <c r="N61" s="53">
        <v>1522496.0248256207</v>
      </c>
      <c r="O61" s="53">
        <v>159603.85283953539</v>
      </c>
    </row>
    <row r="62" spans="1:15">
      <c r="A62" s="13">
        <f t="shared" si="0"/>
        <v>55</v>
      </c>
      <c r="B62" s="84">
        <v>391</v>
      </c>
      <c r="C62" s="53" t="s">
        <v>366</v>
      </c>
      <c r="D62" s="70" t="s">
        <v>244</v>
      </c>
      <c r="E62" s="53">
        <v>60368671</v>
      </c>
      <c r="F62" s="53">
        <v>37302270.010143891</v>
      </c>
      <c r="G62" s="53">
        <v>7196931.3932387242</v>
      </c>
      <c r="H62" s="53">
        <v>6081407.6072079251</v>
      </c>
      <c r="I62" s="53">
        <v>3620486.8104431545</v>
      </c>
      <c r="J62" s="53">
        <v>2791861.6533080088</v>
      </c>
      <c r="K62" s="53">
        <v>1279540.0208434677</v>
      </c>
      <c r="L62" s="53">
        <v>861608.8775249006</v>
      </c>
      <c r="M62" s="53">
        <v>489714.96110378701</v>
      </c>
      <c r="N62" s="53">
        <v>674175.57715728018</v>
      </c>
      <c r="O62" s="53">
        <v>70674.089028865274</v>
      </c>
    </row>
    <row r="63" spans="1:15">
      <c r="A63" s="13">
        <f t="shared" si="0"/>
        <v>56</v>
      </c>
      <c r="B63" s="84">
        <v>392</v>
      </c>
      <c r="C63" s="53" t="s">
        <v>367</v>
      </c>
      <c r="D63" s="70" t="s">
        <v>244</v>
      </c>
      <c r="E63" s="53">
        <v>12487124</v>
      </c>
      <c r="F63" s="53">
        <v>7715890.7655619588</v>
      </c>
      <c r="G63" s="53">
        <v>1488669.093392245</v>
      </c>
      <c r="H63" s="53">
        <v>1257925.5038718453</v>
      </c>
      <c r="I63" s="53">
        <v>748889.56462811923</v>
      </c>
      <c r="J63" s="53">
        <v>577490.31208094861</v>
      </c>
      <c r="K63" s="53">
        <v>264669.97928834584</v>
      </c>
      <c r="L63" s="53">
        <v>178221.86102381229</v>
      </c>
      <c r="M63" s="53">
        <v>101296.43973706437</v>
      </c>
      <c r="N63" s="53">
        <v>139451.70384377893</v>
      </c>
      <c r="O63" s="53">
        <v>14618.776571882465</v>
      </c>
    </row>
    <row r="64" spans="1:15">
      <c r="A64" s="13">
        <f t="shared" si="0"/>
        <v>57</v>
      </c>
      <c r="B64" s="84">
        <v>393</v>
      </c>
      <c r="C64" s="53" t="s">
        <v>368</v>
      </c>
      <c r="D64" s="70" t="s">
        <v>147</v>
      </c>
      <c r="E64" s="53">
        <v>618669</v>
      </c>
      <c r="F64" s="53">
        <v>356740.35823927494</v>
      </c>
      <c r="G64" s="53">
        <v>74580.365767263022</v>
      </c>
      <c r="H64" s="53">
        <v>72098.293233558288</v>
      </c>
      <c r="I64" s="53">
        <v>43439.617735699459</v>
      </c>
      <c r="J64" s="53">
        <v>33689.252450265383</v>
      </c>
      <c r="K64" s="53">
        <v>14263.063220002867</v>
      </c>
      <c r="L64" s="53">
        <v>9903.6809242986092</v>
      </c>
      <c r="M64" s="53">
        <v>5897.9511851782172</v>
      </c>
      <c r="N64" s="53">
        <v>7237.8455329814988</v>
      </c>
      <c r="O64" s="53">
        <v>818.57171147770077</v>
      </c>
    </row>
    <row r="65" spans="1:15">
      <c r="A65" s="13">
        <f t="shared" si="0"/>
        <v>58</v>
      </c>
      <c r="B65" s="84">
        <v>394</v>
      </c>
      <c r="C65" s="53" t="s">
        <v>369</v>
      </c>
      <c r="D65" s="70" t="s">
        <v>370</v>
      </c>
      <c r="E65" s="53">
        <v>6254753</v>
      </c>
      <c r="F65" s="53">
        <v>3592393.4232398798</v>
      </c>
      <c r="G65" s="53">
        <v>753859.9130674405</v>
      </c>
      <c r="H65" s="53">
        <v>733965.72383445478</v>
      </c>
      <c r="I65" s="53">
        <v>445432.73677754099</v>
      </c>
      <c r="J65" s="53">
        <v>342881.93090958206</v>
      </c>
      <c r="K65" s="53">
        <v>146491.62884538097</v>
      </c>
      <c r="L65" s="53">
        <v>102589.38100710778</v>
      </c>
      <c r="M65" s="53">
        <v>58290.947097150347</v>
      </c>
      <c r="N65" s="53">
        <v>70752.492356403352</v>
      </c>
      <c r="O65" s="53">
        <v>8094.8228650585397</v>
      </c>
    </row>
    <row r="66" spans="1:15">
      <c r="A66" s="13">
        <f t="shared" si="0"/>
        <v>59</v>
      </c>
      <c r="B66" s="84">
        <v>395</v>
      </c>
      <c r="C66" s="53" t="s">
        <v>371</v>
      </c>
      <c r="D66" s="70" t="s">
        <v>370</v>
      </c>
      <c r="E66" s="53">
        <v>10399480</v>
      </c>
      <c r="F66" s="53">
        <v>5972901.4970079018</v>
      </c>
      <c r="G66" s="53">
        <v>1253406.9832568266</v>
      </c>
      <c r="H66" s="53">
        <v>1220329.8620588116</v>
      </c>
      <c r="I66" s="53">
        <v>740599.80265620421</v>
      </c>
      <c r="J66" s="53">
        <v>570093.46058198949</v>
      </c>
      <c r="K66" s="53">
        <v>243564.65624541254</v>
      </c>
      <c r="L66" s="53">
        <v>170570.47912136535</v>
      </c>
      <c r="M66" s="53">
        <v>96917.582279887472</v>
      </c>
      <c r="N66" s="53">
        <v>117636.80023984474</v>
      </c>
      <c r="O66" s="53">
        <v>13458.876551754958</v>
      </c>
    </row>
    <row r="67" spans="1:15">
      <c r="A67" s="13">
        <f t="shared" si="0"/>
        <v>60</v>
      </c>
      <c r="B67" s="84">
        <v>396</v>
      </c>
      <c r="C67" s="53" t="s">
        <v>372</v>
      </c>
      <c r="D67" s="70" t="s">
        <v>370</v>
      </c>
      <c r="E67" s="53">
        <v>5795732</v>
      </c>
      <c r="F67" s="53">
        <v>3328756.4704251173</v>
      </c>
      <c r="G67" s="53">
        <v>698535.9808264504</v>
      </c>
      <c r="H67" s="53">
        <v>680101.77740520099</v>
      </c>
      <c r="I67" s="53">
        <v>412743.51943061076</v>
      </c>
      <c r="J67" s="53">
        <v>317718.66598000814</v>
      </c>
      <c r="K67" s="53">
        <v>135740.96707436687</v>
      </c>
      <c r="L67" s="53">
        <v>95060.597654789366</v>
      </c>
      <c r="M67" s="53">
        <v>54013.117288766043</v>
      </c>
      <c r="N67" s="53">
        <v>65560.140269289986</v>
      </c>
      <c r="O67" s="53">
        <v>7500.7636453991809</v>
      </c>
    </row>
    <row r="68" spans="1:15">
      <c r="A68" s="13">
        <f t="shared" si="0"/>
        <v>61</v>
      </c>
      <c r="B68" s="84">
        <v>397</v>
      </c>
      <c r="C68" s="53" t="s">
        <v>373</v>
      </c>
      <c r="D68" s="70" t="s">
        <v>244</v>
      </c>
      <c r="E68" s="53">
        <v>58817546</v>
      </c>
      <c r="F68" s="53">
        <v>36343817.8426366</v>
      </c>
      <c r="G68" s="53">
        <v>7012011.9636336342</v>
      </c>
      <c r="H68" s="53">
        <v>5925150.6742910091</v>
      </c>
      <c r="I68" s="53">
        <v>3527461.2806307026</v>
      </c>
      <c r="J68" s="53">
        <v>2720126.9880378828</v>
      </c>
      <c r="K68" s="53">
        <v>1246663.2574171065</v>
      </c>
      <c r="L68" s="53">
        <v>839470.52251372579</v>
      </c>
      <c r="M68" s="53">
        <v>477132.12456855655</v>
      </c>
      <c r="N68" s="53">
        <v>656853.17176395818</v>
      </c>
      <c r="O68" s="53">
        <v>68858.174506829528</v>
      </c>
    </row>
    <row r="69" spans="1:15">
      <c r="A69" s="13">
        <f t="shared" si="0"/>
        <v>62</v>
      </c>
      <c r="B69" s="84">
        <v>398</v>
      </c>
      <c r="C69" s="53" t="s">
        <v>374</v>
      </c>
      <c r="D69" s="70" t="s">
        <v>244</v>
      </c>
      <c r="E69" s="53">
        <v>815052</v>
      </c>
      <c r="F69" s="53">
        <v>503626.95207101374</v>
      </c>
      <c r="G69" s="53">
        <v>97167.508059304615</v>
      </c>
      <c r="H69" s="53">
        <v>82106.552139768566</v>
      </c>
      <c r="I69" s="53">
        <v>48881.066403222852</v>
      </c>
      <c r="J69" s="53">
        <v>37693.598128936763</v>
      </c>
      <c r="K69" s="53">
        <v>17275.378698804052</v>
      </c>
      <c r="L69" s="53">
        <v>11632.789445446384</v>
      </c>
      <c r="M69" s="53">
        <v>6611.7599056895569</v>
      </c>
      <c r="N69" s="53">
        <v>9102.2072113065988</v>
      </c>
      <c r="O69" s="53">
        <v>954.18793650691282</v>
      </c>
    </row>
    <row r="70" spans="1:15">
      <c r="A70" s="13">
        <f t="shared" si="0"/>
        <v>63</v>
      </c>
      <c r="B70" s="84">
        <v>399</v>
      </c>
      <c r="C70" s="53" t="s">
        <v>375</v>
      </c>
      <c r="D70" s="70" t="s">
        <v>244</v>
      </c>
      <c r="E70" s="53">
        <v>41998</v>
      </c>
      <c r="F70" s="53">
        <v>25950.889922457016</v>
      </c>
      <c r="G70" s="53">
        <v>5006.8474201335321</v>
      </c>
      <c r="H70" s="53">
        <v>4230.7864734593622</v>
      </c>
      <c r="I70" s="53">
        <v>2518.7436222505476</v>
      </c>
      <c r="J70" s="53">
        <v>1942.2757495461472</v>
      </c>
      <c r="K70" s="53">
        <v>890.16572512228993</v>
      </c>
      <c r="L70" s="53">
        <v>599.41438230917458</v>
      </c>
      <c r="M70" s="53">
        <v>340.69076883333815</v>
      </c>
      <c r="N70" s="53">
        <v>469.01853925940259</v>
      </c>
      <c r="O70" s="53">
        <v>49.167396629193384</v>
      </c>
    </row>
    <row r="71" spans="1:15">
      <c r="A71" s="71">
        <f t="shared" si="0"/>
        <v>64</v>
      </c>
      <c r="B71" s="87"/>
      <c r="C71" s="81" t="s">
        <v>180</v>
      </c>
      <c r="D71" s="74"/>
      <c r="E71" s="81">
        <f>SUM(E60:E70)</f>
        <v>299479149</v>
      </c>
      <c r="F71" s="81">
        <f t="shared" ref="F71:O71" si="5">SUM(F60:F70)</f>
        <v>184046992.71502134</v>
      </c>
      <c r="G71" s="81">
        <f t="shared" si="5"/>
        <v>35733030.367198445</v>
      </c>
      <c r="H71" s="81">
        <f t="shared" si="5"/>
        <v>30551485.131838854</v>
      </c>
      <c r="I71" s="81">
        <f t="shared" si="5"/>
        <v>18219367.488096774</v>
      </c>
      <c r="J71" s="81">
        <f t="shared" si="5"/>
        <v>14047502.510932881</v>
      </c>
      <c r="K71" s="81">
        <f t="shared" si="5"/>
        <v>6398700.4057799578</v>
      </c>
      <c r="L71" s="81">
        <f t="shared" si="5"/>
        <v>4323179.5725969318</v>
      </c>
      <c r="M71" s="81">
        <f t="shared" si="5"/>
        <v>2457381.3929119124</v>
      </c>
      <c r="N71" s="81">
        <f t="shared" si="5"/>
        <v>3348040.366194109</v>
      </c>
      <c r="O71" s="81">
        <f t="shared" si="5"/>
        <v>353469.04942878359</v>
      </c>
    </row>
    <row r="72" spans="1:15">
      <c r="A72" s="13">
        <f t="shared" si="0"/>
        <v>65</v>
      </c>
      <c r="B72" s="84"/>
      <c r="C72" s="53"/>
      <c r="D72" s="70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</row>
    <row r="73" spans="1:15">
      <c r="A73" s="71">
        <f t="shared" ref="A73:A136" si="6">+A72+1</f>
        <v>66</v>
      </c>
      <c r="B73" s="88"/>
      <c r="C73" s="100" t="s">
        <v>376</v>
      </c>
      <c r="D73" s="38"/>
      <c r="E73" s="100">
        <f t="shared" ref="E73:O73" si="7">SUM(E71,E57,E26,E20,E14)</f>
        <v>7632223899</v>
      </c>
      <c r="F73" s="100">
        <f t="shared" si="7"/>
        <v>4415153757.6927185</v>
      </c>
      <c r="G73" s="100">
        <f t="shared" si="7"/>
        <v>919534116.87168241</v>
      </c>
      <c r="H73" s="100">
        <f t="shared" si="7"/>
        <v>884025595.66979468</v>
      </c>
      <c r="I73" s="100">
        <f t="shared" si="7"/>
        <v>532919109.80583727</v>
      </c>
      <c r="J73" s="100">
        <f t="shared" si="7"/>
        <v>412731433.74967289</v>
      </c>
      <c r="K73" s="100">
        <f t="shared" si="7"/>
        <v>175628163.65013546</v>
      </c>
      <c r="L73" s="100">
        <f t="shared" si="7"/>
        <v>121927004.8166071</v>
      </c>
      <c r="M73" s="100">
        <f t="shared" si="7"/>
        <v>71677705.999374807</v>
      </c>
      <c r="N73" s="100">
        <f t="shared" si="7"/>
        <v>88642630.765421137</v>
      </c>
      <c r="O73" s="100">
        <f t="shared" si="7"/>
        <v>9984379.9787564147</v>
      </c>
    </row>
    <row r="74" spans="1:15">
      <c r="A74" s="13">
        <f t="shared" si="6"/>
        <v>67</v>
      </c>
      <c r="B74" s="84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 ht="15.75">
      <c r="A75" s="13">
        <f t="shared" si="6"/>
        <v>68</v>
      </c>
      <c r="B75" s="84"/>
      <c r="C75" s="69" t="s">
        <v>377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</row>
    <row r="76" spans="1:15">
      <c r="A76" s="13">
        <f t="shared" si="6"/>
        <v>69</v>
      </c>
      <c r="B76" s="84"/>
      <c r="C76" s="5" t="s">
        <v>306</v>
      </c>
      <c r="D76" s="9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</row>
    <row r="77" spans="1:15">
      <c r="A77" s="13">
        <f t="shared" si="6"/>
        <v>70</v>
      </c>
      <c r="B77" s="84">
        <v>111</v>
      </c>
      <c r="C77" s="53" t="s">
        <v>378</v>
      </c>
      <c r="D77" s="70" t="s">
        <v>142</v>
      </c>
      <c r="E77" s="53">
        <v>-3373943</v>
      </c>
      <c r="F77" s="53">
        <v>-1796659.5850368694</v>
      </c>
      <c r="G77" s="53">
        <v>-407329.83488335664</v>
      </c>
      <c r="H77" s="53">
        <v>-451904.19156226621</v>
      </c>
      <c r="I77" s="53">
        <v>-308243.41384563793</v>
      </c>
      <c r="J77" s="53">
        <v>-210310.45827535738</v>
      </c>
      <c r="K77" s="53">
        <v>-103865.9905593438</v>
      </c>
      <c r="L77" s="53">
        <v>-81873.357361034839</v>
      </c>
      <c r="M77" s="53">
        <v>0</v>
      </c>
      <c r="N77" s="53">
        <v>-12592.198268378965</v>
      </c>
      <c r="O77" s="53">
        <v>-1163.9702077549614</v>
      </c>
    </row>
    <row r="78" spans="1:15">
      <c r="A78" s="13">
        <f t="shared" si="6"/>
        <v>71</v>
      </c>
      <c r="B78" s="84">
        <v>111.01</v>
      </c>
      <c r="C78" s="53" t="s">
        <v>379</v>
      </c>
      <c r="D78" s="70" t="s">
        <v>158</v>
      </c>
      <c r="E78" s="53">
        <v>-92452881</v>
      </c>
      <c r="F78" s="53">
        <v>-56817560.663930349</v>
      </c>
      <c r="G78" s="53">
        <v>-11031224.094696438</v>
      </c>
      <c r="H78" s="53">
        <v>-9431617.6224581394</v>
      </c>
      <c r="I78" s="53">
        <v>-5624541.8751082402</v>
      </c>
      <c r="J78" s="53">
        <v>-4336636.0640702881</v>
      </c>
      <c r="K78" s="53">
        <v>-1975357.1797755649</v>
      </c>
      <c r="L78" s="53">
        <v>-1334618.4797891725</v>
      </c>
      <c r="M78" s="53">
        <v>-758623.73139874043</v>
      </c>
      <c r="N78" s="53">
        <v>-1033581.0642995398</v>
      </c>
      <c r="O78" s="53">
        <v>-109120.22447353241</v>
      </c>
    </row>
    <row r="79" spans="1:15">
      <c r="A79" s="71">
        <f>+A78+1</f>
        <v>72</v>
      </c>
      <c r="B79" s="87"/>
      <c r="C79" s="81" t="s">
        <v>180</v>
      </c>
      <c r="D79" s="74"/>
      <c r="E79" s="81">
        <f t="shared" ref="E79:O79" si="8">SUM(E77:E78)</f>
        <v>-95826824</v>
      </c>
      <c r="F79" s="81">
        <f t="shared" si="8"/>
        <v>-58614220.248967215</v>
      </c>
      <c r="G79" s="81">
        <f t="shared" si="8"/>
        <v>-11438553.929579794</v>
      </c>
      <c r="H79" s="81">
        <f t="shared" si="8"/>
        <v>-9883521.8140204065</v>
      </c>
      <c r="I79" s="81">
        <f t="shared" si="8"/>
        <v>-5932785.288953878</v>
      </c>
      <c r="J79" s="81">
        <f t="shared" si="8"/>
        <v>-4546946.5223456454</v>
      </c>
      <c r="K79" s="81">
        <f t="shared" si="8"/>
        <v>-2079223.1703349086</v>
      </c>
      <c r="L79" s="81">
        <f t="shared" si="8"/>
        <v>-1416491.8371502073</v>
      </c>
      <c r="M79" s="81">
        <f t="shared" si="8"/>
        <v>-758623.73139874043</v>
      </c>
      <c r="N79" s="81">
        <f t="shared" si="8"/>
        <v>-1046173.2625679187</v>
      </c>
      <c r="O79" s="81">
        <f t="shared" si="8"/>
        <v>-110284.19468128736</v>
      </c>
    </row>
    <row r="80" spans="1:15">
      <c r="A80" s="13">
        <f t="shared" si="6"/>
        <v>73</v>
      </c>
      <c r="B80" s="84"/>
      <c r="C80" s="53"/>
      <c r="D80" s="9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</row>
    <row r="81" spans="1:15">
      <c r="A81" s="13">
        <f t="shared" si="6"/>
        <v>74</v>
      </c>
      <c r="B81" s="84"/>
      <c r="C81" s="5" t="s">
        <v>307</v>
      </c>
      <c r="D81" s="9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</row>
    <row r="82" spans="1:15">
      <c r="A82" s="13">
        <f t="shared" si="6"/>
        <v>75</v>
      </c>
      <c r="B82" s="84">
        <v>108.01</v>
      </c>
      <c r="C82" s="53" t="s">
        <v>380</v>
      </c>
      <c r="D82" s="70" t="s">
        <v>142</v>
      </c>
      <c r="E82" s="53">
        <v>-645044035</v>
      </c>
      <c r="F82" s="53">
        <v>-343492628.13675505</v>
      </c>
      <c r="G82" s="53">
        <v>-77874961.215718269</v>
      </c>
      <c r="H82" s="53">
        <v>-86396866.561983168</v>
      </c>
      <c r="I82" s="53">
        <v>-58931219.475007482</v>
      </c>
      <c r="J82" s="53">
        <v>-40208001.916047692</v>
      </c>
      <c r="K82" s="53">
        <v>-19857519.125151504</v>
      </c>
      <c r="L82" s="53">
        <v>-15652878.78045328</v>
      </c>
      <c r="M82" s="53">
        <v>0</v>
      </c>
      <c r="N82" s="53">
        <v>-2407427.2684971802</v>
      </c>
      <c r="O82" s="53">
        <v>-222532.52038639909</v>
      </c>
    </row>
    <row r="83" spans="1:15">
      <c r="A83" s="13">
        <f t="shared" si="6"/>
        <v>76</v>
      </c>
      <c r="B83" s="84">
        <v>108.02</v>
      </c>
      <c r="C83" s="53" t="s">
        <v>381</v>
      </c>
      <c r="D83" s="70" t="s">
        <v>142</v>
      </c>
      <c r="E83" s="53">
        <v>-144523279</v>
      </c>
      <c r="F83" s="53">
        <v>-76960142.621350661</v>
      </c>
      <c r="G83" s="53">
        <v>-17448025.462158456</v>
      </c>
      <c r="H83" s="53">
        <v>-19357373.719242692</v>
      </c>
      <c r="I83" s="53">
        <v>-13203645.971234724</v>
      </c>
      <c r="J83" s="53">
        <v>-9008675.3208182063</v>
      </c>
      <c r="K83" s="53">
        <v>-4449112.9613687638</v>
      </c>
      <c r="L83" s="53">
        <v>-3507055.7115385602</v>
      </c>
      <c r="M83" s="53">
        <v>0</v>
      </c>
      <c r="N83" s="53">
        <v>-539388.41988861398</v>
      </c>
      <c r="O83" s="53">
        <v>-49858.812399337585</v>
      </c>
    </row>
    <row r="84" spans="1:15">
      <c r="A84" s="13">
        <f t="shared" si="6"/>
        <v>77</v>
      </c>
      <c r="B84" s="84">
        <v>108.03</v>
      </c>
      <c r="C84" s="53" t="s">
        <v>382</v>
      </c>
      <c r="D84" s="70" t="s">
        <v>142</v>
      </c>
      <c r="E84" s="53">
        <v>-376267555</v>
      </c>
      <c r="F84" s="53">
        <v>-200366369.32785687</v>
      </c>
      <c r="G84" s="53">
        <v>-45426078.937941246</v>
      </c>
      <c r="H84" s="53">
        <v>-50397082.954094231</v>
      </c>
      <c r="I84" s="53">
        <v>-34375801.746665947</v>
      </c>
      <c r="J84" s="53">
        <v>-23454160.881259181</v>
      </c>
      <c r="K84" s="53">
        <v>-11583302.478855563</v>
      </c>
      <c r="L84" s="53">
        <v>-9130648.6191016957</v>
      </c>
      <c r="M84" s="53">
        <v>0</v>
      </c>
      <c r="N84" s="53">
        <v>-1404302.2228052421</v>
      </c>
      <c r="O84" s="53">
        <v>-129807.83142003327</v>
      </c>
    </row>
    <row r="85" spans="1:15">
      <c r="A85" s="71">
        <f t="shared" si="6"/>
        <v>78</v>
      </c>
      <c r="B85" s="87"/>
      <c r="C85" s="81" t="s">
        <v>180</v>
      </c>
      <c r="D85" s="74"/>
      <c r="E85" s="81">
        <f>SUM(E82:E84)</f>
        <v>-1165834869</v>
      </c>
      <c r="F85" s="81">
        <f t="shared" ref="F85:O85" si="9">SUM(F82:F84)</f>
        <v>-620819140.08596253</v>
      </c>
      <c r="G85" s="81">
        <f t="shared" si="9"/>
        <v>-140749065.61581796</v>
      </c>
      <c r="H85" s="81">
        <f t="shared" si="9"/>
        <v>-156151323.23532009</v>
      </c>
      <c r="I85" s="81">
        <f t="shared" si="9"/>
        <v>-106510667.19290817</v>
      </c>
      <c r="J85" s="81">
        <f t="shared" si="9"/>
        <v>-72670838.118125081</v>
      </c>
      <c r="K85" s="81">
        <f t="shared" si="9"/>
        <v>-35889934.565375835</v>
      </c>
      <c r="L85" s="81">
        <f t="shared" si="9"/>
        <v>-28290583.111093536</v>
      </c>
      <c r="M85" s="81">
        <f t="shared" si="9"/>
        <v>0</v>
      </c>
      <c r="N85" s="81">
        <f t="shared" si="9"/>
        <v>-4351117.911191036</v>
      </c>
      <c r="O85" s="81">
        <f t="shared" si="9"/>
        <v>-402199.16420576989</v>
      </c>
    </row>
    <row r="86" spans="1:15">
      <c r="A86" s="13">
        <f t="shared" si="6"/>
        <v>79</v>
      </c>
      <c r="B86" s="84"/>
      <c r="C86" s="53"/>
      <c r="D86" s="9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</row>
    <row r="87" spans="1:15">
      <c r="A87" s="13">
        <f t="shared" si="6"/>
        <v>80</v>
      </c>
      <c r="B87" s="84"/>
      <c r="C87" s="5" t="s">
        <v>383</v>
      </c>
      <c r="D87" s="9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</row>
    <row r="88" spans="1:15">
      <c r="A88" s="13">
        <f t="shared" si="6"/>
        <v>81</v>
      </c>
      <c r="B88" s="84" t="s">
        <v>384</v>
      </c>
      <c r="C88" s="53" t="s">
        <v>385</v>
      </c>
      <c r="D88" s="53" t="s">
        <v>120</v>
      </c>
      <c r="E88" s="53">
        <v>-95119778</v>
      </c>
      <c r="F88" s="53">
        <v>-50652266.760368846</v>
      </c>
      <c r="G88" s="53">
        <v>-11483633.086534521</v>
      </c>
      <c r="H88" s="53">
        <v>-12740294.183592385</v>
      </c>
      <c r="I88" s="53">
        <v>-8690142.3927313555</v>
      </c>
      <c r="J88" s="53">
        <v>-5929170.736503331</v>
      </c>
      <c r="K88" s="53">
        <v>-2928238.5516752596</v>
      </c>
      <c r="L88" s="53">
        <v>-2308211.957432684</v>
      </c>
      <c r="M88" s="53">
        <v>0</v>
      </c>
      <c r="N88" s="53">
        <v>-355005.1390376754</v>
      </c>
      <c r="O88" s="53">
        <v>-32815.192123952838</v>
      </c>
    </row>
    <row r="89" spans="1:15">
      <c r="A89" s="13">
        <f t="shared" si="6"/>
        <v>82</v>
      </c>
      <c r="B89" s="84" t="s">
        <v>386</v>
      </c>
      <c r="C89" s="53" t="s">
        <v>387</v>
      </c>
      <c r="D89" s="53" t="s">
        <v>279</v>
      </c>
      <c r="E89" s="53">
        <v>-52064525</v>
      </c>
      <c r="F89" s="53">
        <v>-25480297.807512522</v>
      </c>
      <c r="G89" s="53">
        <v>-5767958.5095464401</v>
      </c>
      <c r="H89" s="53">
        <v>-6396473.930756513</v>
      </c>
      <c r="I89" s="53">
        <v>-4361914.1073922366</v>
      </c>
      <c r="J89" s="53">
        <v>-2974123.3271938027</v>
      </c>
      <c r="K89" s="53">
        <v>-1469250.3157002022</v>
      </c>
      <c r="L89" s="53">
        <v>-1158098.0204850424</v>
      </c>
      <c r="M89" s="53">
        <v>-3965100.3058844828</v>
      </c>
      <c r="N89" s="53">
        <v>-178132.41488160181</v>
      </c>
      <c r="O89" s="53">
        <v>-313176.26064715692</v>
      </c>
    </row>
    <row r="90" spans="1:15">
      <c r="A90" s="13">
        <f t="shared" si="6"/>
        <v>83</v>
      </c>
      <c r="B90" s="84" t="s">
        <v>388</v>
      </c>
      <c r="C90" s="53" t="s">
        <v>389</v>
      </c>
      <c r="D90" s="53" t="s">
        <v>279</v>
      </c>
      <c r="E90" s="53">
        <v>-3100548</v>
      </c>
      <c r="F90" s="53">
        <v>-1517403.3837144841</v>
      </c>
      <c r="G90" s="53">
        <v>-343493.62105689425</v>
      </c>
      <c r="H90" s="53">
        <v>-380922.98840831162</v>
      </c>
      <c r="I90" s="53">
        <v>-259760.82681723856</v>
      </c>
      <c r="J90" s="53">
        <v>-177115.07276565165</v>
      </c>
      <c r="K90" s="53">
        <v>-87496.834511476496</v>
      </c>
      <c r="L90" s="53">
        <v>-68967.084616998953</v>
      </c>
      <c r="M90" s="53">
        <v>-236129.76058476517</v>
      </c>
      <c r="N90" s="53">
        <v>-10608.146385592125</v>
      </c>
      <c r="O90" s="53">
        <v>-18650.281138587576</v>
      </c>
    </row>
    <row r="91" spans="1:15">
      <c r="A91" s="71">
        <f t="shared" si="6"/>
        <v>84</v>
      </c>
      <c r="B91" s="87"/>
      <c r="C91" s="81" t="s">
        <v>180</v>
      </c>
      <c r="D91" s="74"/>
      <c r="E91" s="81">
        <f>SUM(E88:E90)</f>
        <v>-150284851</v>
      </c>
      <c r="F91" s="81">
        <f t="shared" ref="F91:O91" si="10">SUM(F88:F90)</f>
        <v>-77649967.951595858</v>
      </c>
      <c r="G91" s="81">
        <f t="shared" si="10"/>
        <v>-17595085.217137855</v>
      </c>
      <c r="H91" s="81">
        <f t="shared" si="10"/>
        <v>-19517691.102757208</v>
      </c>
      <c r="I91" s="81">
        <f t="shared" si="10"/>
        <v>-13311817.326940831</v>
      </c>
      <c r="J91" s="81">
        <f t="shared" si="10"/>
        <v>-9080409.1364627853</v>
      </c>
      <c r="K91" s="81">
        <f t="shared" si="10"/>
        <v>-4484985.701886938</v>
      </c>
      <c r="L91" s="81">
        <f t="shared" si="10"/>
        <v>-3535277.0625347253</v>
      </c>
      <c r="M91" s="81">
        <f t="shared" si="10"/>
        <v>-4201230.0664692484</v>
      </c>
      <c r="N91" s="81">
        <f t="shared" si="10"/>
        <v>-543745.70030486933</v>
      </c>
      <c r="O91" s="81">
        <f t="shared" si="10"/>
        <v>-364641.73390969733</v>
      </c>
    </row>
    <row r="92" spans="1:15">
      <c r="A92" s="13">
        <f t="shared" si="6"/>
        <v>85</v>
      </c>
      <c r="B92" s="84"/>
      <c r="C92" s="53"/>
      <c r="D92" s="9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</row>
    <row r="93" spans="1:15">
      <c r="A93" s="13">
        <f t="shared" si="6"/>
        <v>86</v>
      </c>
      <c r="B93" s="84"/>
      <c r="C93" s="5" t="s">
        <v>316</v>
      </c>
      <c r="D93" s="9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</row>
    <row r="94" spans="1:15">
      <c r="A94" s="13">
        <f t="shared" si="6"/>
        <v>87</v>
      </c>
      <c r="B94" s="84" t="s">
        <v>390</v>
      </c>
      <c r="C94" s="53" t="s">
        <v>391</v>
      </c>
      <c r="D94" s="70" t="s">
        <v>392</v>
      </c>
      <c r="E94" s="53">
        <v>-116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-116</v>
      </c>
      <c r="L94" s="53">
        <v>0</v>
      </c>
      <c r="M94" s="53">
        <v>0</v>
      </c>
      <c r="N94" s="53">
        <v>0</v>
      </c>
      <c r="O94" s="53">
        <v>0</v>
      </c>
    </row>
    <row r="95" spans="1:15">
      <c r="A95" s="13">
        <f t="shared" si="6"/>
        <v>88</v>
      </c>
      <c r="B95" s="84" t="s">
        <v>393</v>
      </c>
      <c r="C95" s="53" t="s">
        <v>394</v>
      </c>
      <c r="D95" s="70" t="s">
        <v>320</v>
      </c>
      <c r="E95" s="53">
        <v>-2653200</v>
      </c>
      <c r="F95" s="53">
        <v>-1217049.9437977646</v>
      </c>
      <c r="G95" s="53">
        <v>-365200.0222995106</v>
      </c>
      <c r="H95" s="53">
        <v>-427486.81929276831</v>
      </c>
      <c r="I95" s="53">
        <v>-321001.59820272349</v>
      </c>
      <c r="J95" s="53">
        <v>-273378.25306914351</v>
      </c>
      <c r="K95" s="53">
        <v>0</v>
      </c>
      <c r="L95" s="53">
        <v>0</v>
      </c>
      <c r="M95" s="53">
        <v>-22503.530225919651</v>
      </c>
      <c r="N95" s="53">
        <v>-26319.676693373087</v>
      </c>
      <c r="O95" s="53">
        <v>-260.15641879675894</v>
      </c>
    </row>
    <row r="96" spans="1:15">
      <c r="A96" s="13">
        <f t="shared" si="6"/>
        <v>89</v>
      </c>
      <c r="B96" s="84" t="s">
        <v>395</v>
      </c>
      <c r="C96" s="53" t="s">
        <v>396</v>
      </c>
      <c r="D96" s="70" t="s">
        <v>342</v>
      </c>
      <c r="E96" s="53">
        <v>-7126614</v>
      </c>
      <c r="F96" s="53">
        <v>-3487753.841587685</v>
      </c>
      <c r="G96" s="53">
        <v>-789520.57788970135</v>
      </c>
      <c r="H96" s="53">
        <v>-875552.03212867887</v>
      </c>
      <c r="I96" s="53">
        <v>-597060.63091018354</v>
      </c>
      <c r="J96" s="53">
        <v>-407099.24735327822</v>
      </c>
      <c r="K96" s="53">
        <v>-201111.59891257013</v>
      </c>
      <c r="L96" s="53">
        <v>-158520.94235299353</v>
      </c>
      <c r="M96" s="53">
        <v>-542744.59147222876</v>
      </c>
      <c r="N96" s="53">
        <v>-24382.839596616544</v>
      </c>
      <c r="O96" s="53">
        <v>-42867.697796065127</v>
      </c>
    </row>
    <row r="97" spans="1:15">
      <c r="A97" s="13">
        <f t="shared" si="6"/>
        <v>90</v>
      </c>
      <c r="B97" s="84" t="s">
        <v>397</v>
      </c>
      <c r="C97" s="53" t="s">
        <v>322</v>
      </c>
      <c r="D97" s="70" t="s">
        <v>398</v>
      </c>
      <c r="E97" s="53">
        <v>-133467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-39263.705817124704</v>
      </c>
      <c r="L97" s="53">
        <v>-54898.588672940336</v>
      </c>
      <c r="M97" s="53">
        <v>-36536.726248988518</v>
      </c>
      <c r="N97" s="53">
        <v>0</v>
      </c>
      <c r="O97" s="53">
        <v>-2767.9792609464439</v>
      </c>
    </row>
    <row r="98" spans="1:15">
      <c r="A98" s="13">
        <f t="shared" si="6"/>
        <v>91</v>
      </c>
      <c r="B98" s="84" t="s">
        <v>399</v>
      </c>
      <c r="C98" s="53" t="s">
        <v>324</v>
      </c>
      <c r="D98" s="70" t="s">
        <v>325</v>
      </c>
      <c r="E98" s="53">
        <v>-1118346</v>
      </c>
      <c r="F98" s="53">
        <v>-558051.08901742671</v>
      </c>
      <c r="G98" s="53">
        <v>-154403.79758385016</v>
      </c>
      <c r="H98" s="53">
        <v>-178757.66334665465</v>
      </c>
      <c r="I98" s="53">
        <v>-124576.47336519939</v>
      </c>
      <c r="J98" s="53">
        <v>-88084.881164031496</v>
      </c>
      <c r="K98" s="53">
        <v>0</v>
      </c>
      <c r="L98" s="53">
        <v>0</v>
      </c>
      <c r="M98" s="53">
        <v>-4834.6646160411892</v>
      </c>
      <c r="N98" s="53">
        <v>-9576.2081844895474</v>
      </c>
      <c r="O98" s="53">
        <v>-61.222722306836118</v>
      </c>
    </row>
    <row r="99" spans="1:15">
      <c r="A99" s="13">
        <f t="shared" si="6"/>
        <v>92</v>
      </c>
      <c r="B99" s="84" t="s">
        <v>400</v>
      </c>
      <c r="C99" s="53" t="s">
        <v>401</v>
      </c>
      <c r="D99" s="70" t="s">
        <v>342</v>
      </c>
      <c r="E99" s="53">
        <v>-1142919</v>
      </c>
      <c r="F99" s="53">
        <v>-559342.78647244745</v>
      </c>
      <c r="G99" s="53">
        <v>-126618.06425339149</v>
      </c>
      <c r="H99" s="53">
        <v>-140415.21724180339</v>
      </c>
      <c r="I99" s="53">
        <v>-95752.616771335728</v>
      </c>
      <c r="J99" s="53">
        <v>-65287.872289106905</v>
      </c>
      <c r="K99" s="53">
        <v>-32252.941932530055</v>
      </c>
      <c r="L99" s="53">
        <v>-25422.535430309683</v>
      </c>
      <c r="M99" s="53">
        <v>-87041.771273264996</v>
      </c>
      <c r="N99" s="53">
        <v>-3910.3578009031194</v>
      </c>
      <c r="O99" s="53">
        <v>-6874.8365349071737</v>
      </c>
    </row>
    <row r="100" spans="1:15">
      <c r="A100" s="13">
        <f t="shared" si="6"/>
        <v>93</v>
      </c>
      <c r="B100" s="84" t="s">
        <v>402</v>
      </c>
      <c r="C100" s="53" t="s">
        <v>327</v>
      </c>
      <c r="D100" s="70" t="s">
        <v>403</v>
      </c>
      <c r="E100" s="53">
        <v>-9995572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-2657513.7341308999</v>
      </c>
      <c r="L100" s="53">
        <v>-3406309.6592181358</v>
      </c>
      <c r="M100" s="53">
        <v>-3289404.6709138136</v>
      </c>
      <c r="N100" s="53">
        <v>0</v>
      </c>
      <c r="O100" s="53">
        <v>-642343.93573715084</v>
      </c>
    </row>
    <row r="101" spans="1:15">
      <c r="A101" s="13">
        <f t="shared" si="6"/>
        <v>94</v>
      </c>
      <c r="B101" s="84" t="s">
        <v>404</v>
      </c>
      <c r="C101" s="53" t="s">
        <v>329</v>
      </c>
      <c r="D101" s="70" t="s">
        <v>330</v>
      </c>
      <c r="E101" s="53">
        <v>-94485104</v>
      </c>
      <c r="F101" s="53">
        <v>-50635521.910669103</v>
      </c>
      <c r="G101" s="53">
        <v>-13368487.994135622</v>
      </c>
      <c r="H101" s="53">
        <v>-13258919.496448075</v>
      </c>
      <c r="I101" s="53">
        <v>-8491976.2575103436</v>
      </c>
      <c r="J101" s="53">
        <v>-7508152.8206198029</v>
      </c>
      <c r="K101" s="53">
        <v>0</v>
      </c>
      <c r="L101" s="53">
        <v>0</v>
      </c>
      <c r="M101" s="53">
        <v>-429588.72360842553</v>
      </c>
      <c r="N101" s="53">
        <v>-772061.46552676766</v>
      </c>
      <c r="O101" s="53">
        <v>-20395.331481855417</v>
      </c>
    </row>
    <row r="102" spans="1:15">
      <c r="A102" s="13">
        <f t="shared" si="6"/>
        <v>95</v>
      </c>
      <c r="B102" s="84" t="s">
        <v>405</v>
      </c>
      <c r="C102" s="53" t="s">
        <v>406</v>
      </c>
      <c r="D102" s="70" t="s">
        <v>342</v>
      </c>
      <c r="E102" s="53">
        <v>-70157724</v>
      </c>
      <c r="F102" s="53">
        <v>-34335081.34410654</v>
      </c>
      <c r="G102" s="53">
        <v>-7772410.1229428407</v>
      </c>
      <c r="H102" s="53">
        <v>-8619344.0275736805</v>
      </c>
      <c r="I102" s="53">
        <v>-5877744.3193447161</v>
      </c>
      <c r="J102" s="53">
        <v>-4007675.5435918123</v>
      </c>
      <c r="K102" s="53">
        <v>-1979836.7148419707</v>
      </c>
      <c r="L102" s="53">
        <v>-1560554.356082879</v>
      </c>
      <c r="M102" s="53">
        <v>-5343031.8031818997</v>
      </c>
      <c r="N102" s="53">
        <v>-240036.08596672906</v>
      </c>
      <c r="O102" s="53">
        <v>-422009.68236693408</v>
      </c>
    </row>
    <row r="103" spans="1:15">
      <c r="A103" s="13">
        <f t="shared" si="6"/>
        <v>96</v>
      </c>
      <c r="B103" s="84" t="s">
        <v>407</v>
      </c>
      <c r="C103" s="53" t="s">
        <v>332</v>
      </c>
      <c r="D103" s="70" t="s">
        <v>333</v>
      </c>
      <c r="E103" s="53">
        <v>-81822775</v>
      </c>
      <c r="F103" s="53">
        <v>-56668226.204580747</v>
      </c>
      <c r="G103" s="53">
        <v>-9730891.3887478393</v>
      </c>
      <c r="H103" s="53">
        <v>-7673157.300892517</v>
      </c>
      <c r="I103" s="53">
        <v>-3108413.7203511479</v>
      </c>
      <c r="J103" s="53">
        <v>-4175552.6687628776</v>
      </c>
      <c r="K103" s="53">
        <v>0</v>
      </c>
      <c r="L103" s="53">
        <v>0</v>
      </c>
      <c r="M103" s="53">
        <v>-159.7991836495552</v>
      </c>
      <c r="N103" s="53">
        <v>-432017.09299657249</v>
      </c>
      <c r="O103" s="53">
        <v>-34356.82448465436</v>
      </c>
    </row>
    <row r="104" spans="1:15">
      <c r="A104" s="13">
        <f t="shared" si="6"/>
        <v>97</v>
      </c>
      <c r="B104" s="84" t="s">
        <v>408</v>
      </c>
      <c r="C104" s="53" t="s">
        <v>334</v>
      </c>
      <c r="D104" s="70" t="s">
        <v>342</v>
      </c>
      <c r="E104" s="53">
        <v>-33613605</v>
      </c>
      <c r="F104" s="53">
        <v>-16450446.168174816</v>
      </c>
      <c r="G104" s="53">
        <v>-3723876.8431342221</v>
      </c>
      <c r="H104" s="53">
        <v>-4129655.4247109103</v>
      </c>
      <c r="I104" s="53">
        <v>-2816114.3859434086</v>
      </c>
      <c r="J104" s="53">
        <v>-1920136.729213956</v>
      </c>
      <c r="K104" s="53">
        <v>-948569.10262932186</v>
      </c>
      <c r="L104" s="53">
        <v>-747684.71261124779</v>
      </c>
      <c r="M104" s="53">
        <v>-2559925.6973415236</v>
      </c>
      <c r="N104" s="53">
        <v>-115004.84507495815</v>
      </c>
      <c r="O104" s="53">
        <v>-202191.09116563678</v>
      </c>
    </row>
    <row r="105" spans="1:15">
      <c r="A105" s="13">
        <f t="shared" si="6"/>
        <v>98</v>
      </c>
      <c r="B105" s="84" t="s">
        <v>409</v>
      </c>
      <c r="C105" s="53" t="s">
        <v>410</v>
      </c>
      <c r="D105" s="70" t="s">
        <v>411</v>
      </c>
      <c r="E105" s="53">
        <v>-2042294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-1336937</v>
      </c>
      <c r="L105" s="53">
        <v>0</v>
      </c>
      <c r="M105" s="53">
        <v>0</v>
      </c>
      <c r="N105" s="53">
        <v>0</v>
      </c>
      <c r="O105" s="53">
        <v>-705357</v>
      </c>
    </row>
    <row r="106" spans="1:15">
      <c r="A106" s="13">
        <f t="shared" si="6"/>
        <v>99</v>
      </c>
      <c r="B106" s="84" t="s">
        <v>412</v>
      </c>
      <c r="C106" s="53" t="s">
        <v>337</v>
      </c>
      <c r="D106" s="70" t="s">
        <v>333</v>
      </c>
      <c r="E106" s="53">
        <v>-117118051</v>
      </c>
      <c r="F106" s="53">
        <v>-81112773.389898151</v>
      </c>
      <c r="G106" s="53">
        <v>-13928432.932552462</v>
      </c>
      <c r="H106" s="53">
        <v>-10983069.543864189</v>
      </c>
      <c r="I106" s="53">
        <v>-4449266.8041286236</v>
      </c>
      <c r="J106" s="53">
        <v>-5976729.466989561</v>
      </c>
      <c r="K106" s="53">
        <v>0</v>
      </c>
      <c r="L106" s="53">
        <v>0</v>
      </c>
      <c r="M106" s="53">
        <v>-228.73055748142218</v>
      </c>
      <c r="N106" s="53">
        <v>-618373.06215102482</v>
      </c>
      <c r="O106" s="53">
        <v>-49177.069858505762</v>
      </c>
    </row>
    <row r="107" spans="1:15">
      <c r="A107" s="13">
        <f t="shared" si="6"/>
        <v>100</v>
      </c>
      <c r="B107" s="84" t="s">
        <v>413</v>
      </c>
      <c r="C107" s="53" t="s">
        <v>414</v>
      </c>
      <c r="D107" s="70" t="s">
        <v>342</v>
      </c>
      <c r="E107" s="53">
        <v>-57157053</v>
      </c>
      <c r="F107" s="53">
        <v>-27972573.114606865</v>
      </c>
      <c r="G107" s="53">
        <v>-6332133.2564149369</v>
      </c>
      <c r="H107" s="53">
        <v>-7022124.9396468773</v>
      </c>
      <c r="I107" s="53">
        <v>-4788561.0368608143</v>
      </c>
      <c r="J107" s="53">
        <v>-3265027.8599670795</v>
      </c>
      <c r="K107" s="53">
        <v>-1612960.4210303116</v>
      </c>
      <c r="L107" s="53">
        <v>-1271373.7412577693</v>
      </c>
      <c r="M107" s="53">
        <v>-4352934.1395845944</v>
      </c>
      <c r="N107" s="53">
        <v>-195555.87760390982</v>
      </c>
      <c r="O107" s="53">
        <v>-343808.61302684242</v>
      </c>
    </row>
    <row r="108" spans="1:15">
      <c r="A108" s="13">
        <f t="shared" si="6"/>
        <v>101</v>
      </c>
      <c r="B108" s="84" t="s">
        <v>415</v>
      </c>
      <c r="C108" s="53" t="s">
        <v>416</v>
      </c>
      <c r="D108" s="70" t="s">
        <v>340</v>
      </c>
      <c r="E108" s="53">
        <v>-179359389.96320614</v>
      </c>
      <c r="F108" s="53">
        <v>-121758304.61928388</v>
      </c>
      <c r="G108" s="53">
        <v>-20914792.288393348</v>
      </c>
      <c r="H108" s="53">
        <v>-18636436.257672247</v>
      </c>
      <c r="I108" s="53">
        <v>-8426355.6787819546</v>
      </c>
      <c r="J108" s="53">
        <v>-8465061.200758636</v>
      </c>
      <c r="K108" s="53">
        <v>0</v>
      </c>
      <c r="L108" s="53">
        <v>0</v>
      </c>
      <c r="M108" s="53">
        <v>-27439.125908349517</v>
      </c>
      <c r="N108" s="53">
        <v>-1099563.9130557808</v>
      </c>
      <c r="O108" s="53">
        <v>-31436.879351950101</v>
      </c>
    </row>
    <row r="109" spans="1:15">
      <c r="A109" s="13">
        <f t="shared" si="6"/>
        <v>102</v>
      </c>
      <c r="B109" s="84" t="s">
        <v>417</v>
      </c>
      <c r="C109" s="53" t="s">
        <v>418</v>
      </c>
      <c r="D109" s="70" t="s">
        <v>342</v>
      </c>
      <c r="E109" s="53">
        <v>-284426.74</v>
      </c>
      <c r="F109" s="53">
        <v>-139198.00554446495</v>
      </c>
      <c r="G109" s="53">
        <v>-31510.162348077756</v>
      </c>
      <c r="H109" s="53">
        <v>-34943.720846777353</v>
      </c>
      <c r="I109" s="53">
        <v>-23828.989311351324</v>
      </c>
      <c r="J109" s="53">
        <v>-16247.535194293745</v>
      </c>
      <c r="K109" s="53">
        <v>-8026.4648057113609</v>
      </c>
      <c r="L109" s="53">
        <v>-6326.6503356558769</v>
      </c>
      <c r="M109" s="53">
        <v>-21661.208928262116</v>
      </c>
      <c r="N109" s="53">
        <v>-973.13136061649448</v>
      </c>
      <c r="O109" s="53">
        <v>-1710.8713247890214</v>
      </c>
    </row>
    <row r="110" spans="1:15">
      <c r="A110" s="13">
        <f t="shared" si="6"/>
        <v>103</v>
      </c>
      <c r="B110" s="84" t="s">
        <v>419</v>
      </c>
      <c r="C110" s="53" t="s">
        <v>420</v>
      </c>
      <c r="D110" s="70" t="s">
        <v>421</v>
      </c>
      <c r="E110" s="53">
        <v>-8737586.510543853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-7481814.5808888264</v>
      </c>
      <c r="L110" s="53">
        <v>-613007.96566093888</v>
      </c>
      <c r="M110" s="53">
        <v>-247746.9861218787</v>
      </c>
      <c r="N110" s="53">
        <v>0</v>
      </c>
      <c r="O110" s="53">
        <v>-395016.97787220898</v>
      </c>
    </row>
    <row r="111" spans="1:15">
      <c r="A111" s="13">
        <f t="shared" si="6"/>
        <v>104</v>
      </c>
      <c r="B111" s="84" t="s">
        <v>422</v>
      </c>
      <c r="C111" s="53" t="s">
        <v>423</v>
      </c>
      <c r="D111" s="70" t="s">
        <v>340</v>
      </c>
      <c r="E111" s="53">
        <v>-235499958.58750001</v>
      </c>
      <c r="F111" s="53">
        <v>-159869386.82947004</v>
      </c>
      <c r="G111" s="53">
        <v>-27461248.16098674</v>
      </c>
      <c r="H111" s="53">
        <v>-24469752.979204122</v>
      </c>
      <c r="I111" s="53">
        <v>-11063855.724552687</v>
      </c>
      <c r="J111" s="53">
        <v>-11114676.307876958</v>
      </c>
      <c r="K111" s="53">
        <v>0</v>
      </c>
      <c r="L111" s="53">
        <v>0</v>
      </c>
      <c r="M111" s="53">
        <v>-36027.737474012982</v>
      </c>
      <c r="N111" s="53">
        <v>-1443734.0361275</v>
      </c>
      <c r="O111" s="53">
        <v>-41276.811807975129</v>
      </c>
    </row>
    <row r="112" spans="1:15">
      <c r="A112" s="13">
        <f t="shared" si="6"/>
        <v>105</v>
      </c>
      <c r="B112" s="84" t="s">
        <v>424</v>
      </c>
      <c r="C112" s="53" t="s">
        <v>425</v>
      </c>
      <c r="D112" s="70" t="s">
        <v>342</v>
      </c>
      <c r="E112" s="53">
        <v>-1922520.53</v>
      </c>
      <c r="F112" s="53">
        <v>-940878.56646069104</v>
      </c>
      <c r="G112" s="53">
        <v>-212986.07162537705</v>
      </c>
      <c r="H112" s="53">
        <v>-236194.4616125701</v>
      </c>
      <c r="I112" s="53">
        <v>-161066.85735744637</v>
      </c>
      <c r="J112" s="53">
        <v>-109821.67138338422</v>
      </c>
      <c r="K112" s="53">
        <v>-54253.138689781961</v>
      </c>
      <c r="L112" s="53">
        <v>-42763.613422668408</v>
      </c>
      <c r="M112" s="53">
        <v>-146414.21854078566</v>
      </c>
      <c r="N112" s="53">
        <v>-6577.6692415489633</v>
      </c>
      <c r="O112" s="53">
        <v>-11564.261665746308</v>
      </c>
    </row>
    <row r="113" spans="1:15">
      <c r="A113" s="13">
        <f t="shared" si="6"/>
        <v>106</v>
      </c>
      <c r="B113" s="84" t="s">
        <v>426</v>
      </c>
      <c r="C113" s="53" t="s">
        <v>427</v>
      </c>
      <c r="D113" s="70" t="s">
        <v>254</v>
      </c>
      <c r="E113" s="53">
        <v>-140230941</v>
      </c>
      <c r="F113" s="53">
        <v>-99277198.825351834</v>
      </c>
      <c r="G113" s="53">
        <v>-24065177.664613441</v>
      </c>
      <c r="H113" s="53">
        <v>-12498149.283622544</v>
      </c>
      <c r="I113" s="53">
        <v>-3008720.3647013525</v>
      </c>
      <c r="J113" s="53">
        <v>-360762.43450075184</v>
      </c>
      <c r="K113" s="53">
        <v>-939235.93574209756</v>
      </c>
      <c r="L113" s="53">
        <v>0</v>
      </c>
      <c r="M113" s="53">
        <v>0</v>
      </c>
      <c r="N113" s="53">
        <v>-74947.991145860171</v>
      </c>
      <c r="O113" s="53">
        <v>-6748.5003221159859</v>
      </c>
    </row>
    <row r="114" spans="1:15">
      <c r="A114" s="13">
        <f t="shared" si="6"/>
        <v>107</v>
      </c>
      <c r="B114" s="84" t="s">
        <v>428</v>
      </c>
      <c r="C114" s="53" t="s">
        <v>429</v>
      </c>
      <c r="D114" s="70" t="s">
        <v>430</v>
      </c>
      <c r="E114" s="53">
        <v>-102504204</v>
      </c>
      <c r="F114" s="53">
        <v>-99300360.132563516</v>
      </c>
      <c r="G114" s="53">
        <v>-3080661.5045669484</v>
      </c>
      <c r="H114" s="53">
        <v>-121847.83891947474</v>
      </c>
      <c r="I114" s="53">
        <v>-1334.5239500704376</v>
      </c>
      <c r="J114" s="53">
        <v>0</v>
      </c>
      <c r="K114" s="53">
        <v>0</v>
      </c>
      <c r="L114" s="53">
        <v>0</v>
      </c>
      <c r="M114" s="53">
        <v>0</v>
      </c>
      <c r="N114" s="53">
        <v>0</v>
      </c>
      <c r="O114" s="53">
        <v>0</v>
      </c>
    </row>
    <row r="115" spans="1:15">
      <c r="A115" s="13">
        <f t="shared" si="6"/>
        <v>108</v>
      </c>
      <c r="B115" s="84" t="s">
        <v>431</v>
      </c>
      <c r="C115" s="53" t="s">
        <v>358</v>
      </c>
      <c r="D115" s="70" t="s">
        <v>208</v>
      </c>
      <c r="E115" s="53">
        <v>-39554358</v>
      </c>
      <c r="F115" s="53">
        <v>-21039608.043531455</v>
      </c>
      <c r="G115" s="53">
        <v>-9179283.4970377851</v>
      </c>
      <c r="H115" s="53">
        <v>-3605159.1891709161</v>
      </c>
      <c r="I115" s="53">
        <v>-397644.72385481099</v>
      </c>
      <c r="J115" s="53">
        <v>-4752099.1536729168</v>
      </c>
      <c r="K115" s="53">
        <v>-230427.64298991009</v>
      </c>
      <c r="L115" s="53">
        <v>-173050.90742424747</v>
      </c>
      <c r="M115" s="53">
        <v>-90130.680950128881</v>
      </c>
      <c r="N115" s="53">
        <v>0</v>
      </c>
      <c r="O115" s="53">
        <v>-86954.161367832159</v>
      </c>
    </row>
    <row r="116" spans="1:15">
      <c r="A116" s="13">
        <f t="shared" si="6"/>
        <v>109</v>
      </c>
      <c r="B116" s="84" t="s">
        <v>432</v>
      </c>
      <c r="C116" s="53" t="s">
        <v>360</v>
      </c>
      <c r="D116" s="70" t="s">
        <v>361</v>
      </c>
      <c r="E116" s="53">
        <v>-737043</v>
      </c>
      <c r="F116" s="53">
        <v>-730598.2230829855</v>
      </c>
      <c r="G116" s="53">
        <v>-6444.776917014553</v>
      </c>
      <c r="H116" s="53">
        <v>0</v>
      </c>
      <c r="I116" s="53">
        <v>0</v>
      </c>
      <c r="J116" s="53">
        <v>0</v>
      </c>
      <c r="K116" s="53">
        <v>0</v>
      </c>
      <c r="L116" s="53">
        <v>0</v>
      </c>
      <c r="M116" s="53">
        <v>0</v>
      </c>
      <c r="N116" s="53">
        <v>0</v>
      </c>
      <c r="O116" s="53">
        <v>0</v>
      </c>
    </row>
    <row r="117" spans="1:15">
      <c r="A117" s="13">
        <f t="shared" si="6"/>
        <v>110</v>
      </c>
      <c r="B117" s="84" t="s">
        <v>433</v>
      </c>
      <c r="C117" s="53" t="s">
        <v>362</v>
      </c>
      <c r="D117" s="70" t="s">
        <v>151</v>
      </c>
      <c r="E117" s="53">
        <v>-24008418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3">
        <v>0</v>
      </c>
      <c r="M117" s="53">
        <v>0</v>
      </c>
      <c r="N117" s="53">
        <v>-24008418</v>
      </c>
      <c r="O117" s="53">
        <v>0</v>
      </c>
    </row>
    <row r="118" spans="1:15">
      <c r="A118" s="13">
        <f t="shared" si="6"/>
        <v>111</v>
      </c>
      <c r="B118" s="84" t="s">
        <v>434</v>
      </c>
      <c r="C118" s="53" t="s">
        <v>363</v>
      </c>
      <c r="D118" s="70" t="s">
        <v>156</v>
      </c>
      <c r="E118" s="53">
        <v>-3565319</v>
      </c>
      <c r="F118" s="53">
        <v>-2299994.8178656716</v>
      </c>
      <c r="G118" s="53">
        <v>-409302.65560256055</v>
      </c>
      <c r="H118" s="53">
        <v>-366691.41201968788</v>
      </c>
      <c r="I118" s="53">
        <v>-176917.72819316312</v>
      </c>
      <c r="J118" s="53">
        <v>-174809.60045712782</v>
      </c>
      <c r="K118" s="53">
        <v>-54785.653488112082</v>
      </c>
      <c r="L118" s="53">
        <v>-15009.767066352688</v>
      </c>
      <c r="M118" s="53">
        <v>-42142.573692221449</v>
      </c>
      <c r="N118" s="53">
        <v>-19366.064448003279</v>
      </c>
      <c r="O118" s="53">
        <v>-6298.7271670994432</v>
      </c>
    </row>
    <row r="119" spans="1:15">
      <c r="A119" s="71">
        <f>+A118+1</f>
        <v>112</v>
      </c>
      <c r="B119" s="87"/>
      <c r="C119" s="81" t="s">
        <v>180</v>
      </c>
      <c r="D119" s="74"/>
      <c r="E119" s="81">
        <f t="shared" ref="E119:O119" si="11">SUM(E94:E118)</f>
        <v>-1214971005.33125</v>
      </c>
      <c r="F119" s="81">
        <f t="shared" si="11"/>
        <v>-778352347.85606623</v>
      </c>
      <c r="G119" s="81">
        <f t="shared" si="11"/>
        <v>-141653381.78204569</v>
      </c>
      <c r="H119" s="81">
        <f t="shared" si="11"/>
        <v>-113277657.60821448</v>
      </c>
      <c r="I119" s="81">
        <f t="shared" si="11"/>
        <v>-53930192.434091344</v>
      </c>
      <c r="J119" s="81">
        <f t="shared" si="11"/>
        <v>-52680603.246864714</v>
      </c>
      <c r="K119" s="81">
        <f t="shared" si="11"/>
        <v>-17577104.635899168</v>
      </c>
      <c r="L119" s="81">
        <f t="shared" si="11"/>
        <v>-8074923.4395361394</v>
      </c>
      <c r="M119" s="81">
        <f t="shared" si="11"/>
        <v>-17280497.379823469</v>
      </c>
      <c r="N119" s="81">
        <f t="shared" si="11"/>
        <v>-29090818.316974651</v>
      </c>
      <c r="O119" s="81">
        <f t="shared" si="11"/>
        <v>-3053478.6317343195</v>
      </c>
    </row>
    <row r="120" spans="1:15">
      <c r="A120" s="13">
        <f t="shared" si="6"/>
        <v>113</v>
      </c>
      <c r="B120" s="84"/>
      <c r="C120" s="53"/>
      <c r="D120" s="9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</row>
    <row r="121" spans="1:15">
      <c r="A121" s="13">
        <f t="shared" si="6"/>
        <v>114</v>
      </c>
      <c r="B121" s="84"/>
      <c r="C121" s="5" t="s">
        <v>308</v>
      </c>
      <c r="D121" s="9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</row>
    <row r="122" spans="1:15">
      <c r="A122" s="13">
        <f t="shared" si="6"/>
        <v>115</v>
      </c>
      <c r="B122" s="84">
        <v>108.06</v>
      </c>
      <c r="C122" s="53" t="s">
        <v>435</v>
      </c>
      <c r="D122" s="70" t="s">
        <v>158</v>
      </c>
      <c r="E122" s="53">
        <v>-75827762</v>
      </c>
      <c r="F122" s="53">
        <v>-46600478.220306329</v>
      </c>
      <c r="G122" s="53">
        <v>-9047560.5105405729</v>
      </c>
      <c r="H122" s="53">
        <v>-7735599.4601267381</v>
      </c>
      <c r="I122" s="53">
        <v>-4613122.0363456439</v>
      </c>
      <c r="J122" s="53">
        <v>-3556810.8185502463</v>
      </c>
      <c r="K122" s="53">
        <v>-1620143.2824252683</v>
      </c>
      <c r="L122" s="53">
        <v>-1094623.8922100782</v>
      </c>
      <c r="M122" s="53">
        <v>-622206.02678737103</v>
      </c>
      <c r="N122" s="53">
        <v>-847719.81255416153</v>
      </c>
      <c r="O122" s="53">
        <v>-89497.940153596632</v>
      </c>
    </row>
    <row r="123" spans="1:15">
      <c r="A123" s="13">
        <f t="shared" si="6"/>
        <v>116</v>
      </c>
      <c r="B123" s="84">
        <v>108.07</v>
      </c>
      <c r="C123" s="53" t="s">
        <v>436</v>
      </c>
      <c r="D123" s="70" t="s">
        <v>242</v>
      </c>
      <c r="E123" s="53">
        <v>7210608</v>
      </c>
      <c r="F123" s="53">
        <v>4168826.3387051509</v>
      </c>
      <c r="G123" s="53">
        <v>868879.08651121776</v>
      </c>
      <c r="H123" s="53">
        <v>836094.49733874202</v>
      </c>
      <c r="I123" s="53">
        <v>503569.32151271688</v>
      </c>
      <c r="J123" s="53">
        <v>390459.39481099282</v>
      </c>
      <c r="K123" s="53">
        <v>165746.62508529297</v>
      </c>
      <c r="L123" s="53">
        <v>114971.52076230838</v>
      </c>
      <c r="M123" s="53">
        <v>68355.577547010034</v>
      </c>
      <c r="N123" s="53">
        <v>84206.60013468322</v>
      </c>
      <c r="O123" s="53">
        <v>9499.0375918842983</v>
      </c>
    </row>
    <row r="124" spans="1:15">
      <c r="A124" s="71">
        <f t="shared" si="6"/>
        <v>117</v>
      </c>
      <c r="B124" s="87"/>
      <c r="C124" s="81" t="s">
        <v>180</v>
      </c>
      <c r="D124" s="74"/>
      <c r="E124" s="81">
        <f>SUM(E122:E123)</f>
        <v>-68617154</v>
      </c>
      <c r="F124" s="81">
        <f t="shared" ref="F124:O124" si="12">SUM(F122:F123)</f>
        <v>-42431651.881601177</v>
      </c>
      <c r="G124" s="81">
        <f t="shared" si="12"/>
        <v>-8178681.4240293549</v>
      </c>
      <c r="H124" s="81">
        <f t="shared" si="12"/>
        <v>-6899504.962787996</v>
      </c>
      <c r="I124" s="81">
        <f t="shared" si="12"/>
        <v>-4109552.7148329271</v>
      </c>
      <c r="J124" s="81">
        <f t="shared" si="12"/>
        <v>-3166351.4237392535</v>
      </c>
      <c r="K124" s="81">
        <f t="shared" si="12"/>
        <v>-1454396.6573399752</v>
      </c>
      <c r="L124" s="81">
        <f t="shared" si="12"/>
        <v>-979652.37144776981</v>
      </c>
      <c r="M124" s="81">
        <f t="shared" si="12"/>
        <v>-553850.44924036099</v>
      </c>
      <c r="N124" s="81">
        <f t="shared" si="12"/>
        <v>-763513.21241947834</v>
      </c>
      <c r="O124" s="81">
        <f t="shared" si="12"/>
        <v>-79998.902561712341</v>
      </c>
    </row>
    <row r="125" spans="1:15">
      <c r="A125" s="13">
        <f t="shared" si="6"/>
        <v>118</v>
      </c>
      <c r="B125" s="85"/>
      <c r="C125" s="86"/>
      <c r="D125" s="9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</row>
    <row r="126" spans="1:15">
      <c r="A126" s="71">
        <f t="shared" si="6"/>
        <v>119</v>
      </c>
      <c r="B126" s="88"/>
      <c r="C126" s="73" t="s">
        <v>437</v>
      </c>
      <c r="D126" s="38"/>
      <c r="E126" s="73">
        <v>-2695534703.3312502</v>
      </c>
      <c r="F126" s="73">
        <v>-1577867328.024193</v>
      </c>
      <c r="G126" s="73">
        <v>-319614767.96861064</v>
      </c>
      <c r="H126" s="73">
        <v>-305729698.72310019</v>
      </c>
      <c r="I126" s="73">
        <v>-183795014.95772713</v>
      </c>
      <c r="J126" s="73">
        <v>-142145148.44753748</v>
      </c>
      <c r="K126" s="73">
        <v>-61485644.730836824</v>
      </c>
      <c r="L126" s="73">
        <v>-42296927.821762376</v>
      </c>
      <c r="M126" s="73">
        <v>-22794201.62693182</v>
      </c>
      <c r="N126" s="73">
        <v>-35795368.403457955</v>
      </c>
      <c r="O126" s="73">
        <v>-4010602.6270927852</v>
      </c>
    </row>
    <row r="127" spans="1:15">
      <c r="A127" s="13">
        <f t="shared" si="6"/>
        <v>120</v>
      </c>
      <c r="B127" s="84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</row>
    <row r="128" spans="1:15" ht="15.75">
      <c r="A128" s="13">
        <f t="shared" si="6"/>
        <v>121</v>
      </c>
      <c r="B128" s="84"/>
      <c r="C128" s="69" t="s">
        <v>438</v>
      </c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</row>
    <row r="129" spans="1:15">
      <c r="A129" s="13">
        <f t="shared" si="6"/>
        <v>122</v>
      </c>
      <c r="B129" s="84"/>
      <c r="C129" s="5" t="s">
        <v>97</v>
      </c>
      <c r="D129" s="9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</row>
    <row r="130" spans="1:15">
      <c r="A130" s="13">
        <f t="shared" si="6"/>
        <v>123</v>
      </c>
      <c r="B130" s="84" t="s">
        <v>439</v>
      </c>
      <c r="C130" s="53" t="s">
        <v>440</v>
      </c>
      <c r="D130" s="70" t="s">
        <v>441</v>
      </c>
      <c r="E130" s="53">
        <v>204952589</v>
      </c>
      <c r="F130" s="53">
        <v>118562715.85412531</v>
      </c>
      <c r="G130" s="53">
        <v>24692789.470100928</v>
      </c>
      <c r="H130" s="53">
        <v>23739258.304323439</v>
      </c>
      <c r="I130" s="53">
        <v>14310789.715772413</v>
      </c>
      <c r="J130" s="53">
        <v>11083319.492207343</v>
      </c>
      <c r="K130" s="53">
        <v>4716246.1843037913</v>
      </c>
      <c r="L130" s="53">
        <v>3274177.4398748023</v>
      </c>
      <c r="M130" s="53">
        <v>1924803.5189425594</v>
      </c>
      <c r="N130" s="53">
        <v>2380372.6032623975</v>
      </c>
      <c r="O130" s="53">
        <v>268116.41708703135</v>
      </c>
    </row>
    <row r="131" spans="1:15">
      <c r="A131" s="71">
        <f t="shared" si="6"/>
        <v>124</v>
      </c>
      <c r="B131" s="87"/>
      <c r="C131" s="81" t="s">
        <v>180</v>
      </c>
      <c r="D131" s="38"/>
      <c r="E131" s="81">
        <f>SUM(E130)</f>
        <v>204952589</v>
      </c>
      <c r="F131" s="81">
        <f t="shared" ref="F131:O131" si="13">SUM(F130)</f>
        <v>118562715.85412531</v>
      </c>
      <c r="G131" s="81">
        <f t="shared" si="13"/>
        <v>24692789.470100928</v>
      </c>
      <c r="H131" s="81">
        <f t="shared" si="13"/>
        <v>23739258.304323439</v>
      </c>
      <c r="I131" s="81">
        <f t="shared" si="13"/>
        <v>14310789.715772413</v>
      </c>
      <c r="J131" s="81">
        <f t="shared" si="13"/>
        <v>11083319.492207343</v>
      </c>
      <c r="K131" s="81">
        <f t="shared" si="13"/>
        <v>4716246.1843037913</v>
      </c>
      <c r="L131" s="81">
        <f t="shared" si="13"/>
        <v>3274177.4398748023</v>
      </c>
      <c r="M131" s="81">
        <f t="shared" si="13"/>
        <v>1924803.5189425594</v>
      </c>
      <c r="N131" s="81">
        <f t="shared" si="13"/>
        <v>2380372.6032623975</v>
      </c>
      <c r="O131" s="81">
        <f t="shared" si="13"/>
        <v>268116.41708703135</v>
      </c>
    </row>
    <row r="132" spans="1:15">
      <c r="A132" s="13">
        <f t="shared" si="6"/>
        <v>125</v>
      </c>
      <c r="B132" s="84"/>
      <c r="C132" s="53"/>
      <c r="D132" s="9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</row>
    <row r="133" spans="1:15">
      <c r="A133" s="13">
        <f t="shared" si="6"/>
        <v>126</v>
      </c>
      <c r="B133" s="84"/>
      <c r="C133" s="5" t="s">
        <v>98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</row>
    <row r="134" spans="1:15">
      <c r="A134" s="13">
        <f t="shared" si="6"/>
        <v>127</v>
      </c>
      <c r="B134" s="84">
        <v>182.01</v>
      </c>
      <c r="C134" s="53" t="s">
        <v>442</v>
      </c>
      <c r="D134" s="70" t="s">
        <v>120</v>
      </c>
      <c r="E134" s="53">
        <v>231757425.87124994</v>
      </c>
      <c r="F134" s="53">
        <v>123413229.14911513</v>
      </c>
      <c r="G134" s="53">
        <v>27979641.035171017</v>
      </c>
      <c r="H134" s="53">
        <v>31041470.521849081</v>
      </c>
      <c r="I134" s="53">
        <v>21173357.14759599</v>
      </c>
      <c r="J134" s="53">
        <v>14446305.240989475</v>
      </c>
      <c r="K134" s="53">
        <v>7134594.3329810463</v>
      </c>
      <c r="L134" s="53">
        <v>5623912.0072361594</v>
      </c>
      <c r="M134" s="53">
        <v>0</v>
      </c>
      <c r="N134" s="53">
        <v>864962.88074218202</v>
      </c>
      <c r="O134" s="53">
        <v>79953.555569881835</v>
      </c>
    </row>
    <row r="135" spans="1:15">
      <c r="A135" s="13">
        <f t="shared" si="6"/>
        <v>128</v>
      </c>
      <c r="B135" s="84">
        <v>182.02</v>
      </c>
      <c r="C135" s="53" t="s">
        <v>443</v>
      </c>
      <c r="D135" s="70" t="s">
        <v>120</v>
      </c>
      <c r="E135" s="53">
        <v>125685035</v>
      </c>
      <c r="F135" s="53">
        <v>66928582.619340166</v>
      </c>
      <c r="G135" s="53">
        <v>15173719.45935628</v>
      </c>
      <c r="H135" s="53">
        <v>16834188.998791665</v>
      </c>
      <c r="I135" s="53">
        <v>11482584.103438763</v>
      </c>
      <c r="J135" s="53">
        <v>7834417.2705953652</v>
      </c>
      <c r="K135" s="53">
        <v>3869182.3361452152</v>
      </c>
      <c r="L135" s="53">
        <v>3049919.8669002922</v>
      </c>
      <c r="M135" s="53">
        <v>0</v>
      </c>
      <c r="N135" s="53">
        <v>469080.50316444284</v>
      </c>
      <c r="O135" s="53">
        <v>43359.84226782716</v>
      </c>
    </row>
    <row r="136" spans="1:15">
      <c r="A136" s="13">
        <f t="shared" si="6"/>
        <v>129</v>
      </c>
      <c r="B136" s="84">
        <v>282</v>
      </c>
      <c r="C136" s="53" t="s">
        <v>444</v>
      </c>
      <c r="D136" s="70" t="s">
        <v>142</v>
      </c>
      <c r="E136" s="53">
        <v>-50554166</v>
      </c>
      <c r="F136" s="53">
        <v>-26920616.888739675</v>
      </c>
      <c r="G136" s="53">
        <v>-6103310.0112971086</v>
      </c>
      <c r="H136" s="53">
        <v>-6771199.0144275129</v>
      </c>
      <c r="I136" s="53">
        <v>-4618628.3265482197</v>
      </c>
      <c r="J136" s="53">
        <v>-3151229.82788639</v>
      </c>
      <c r="K136" s="53">
        <v>-1556297.3436396229</v>
      </c>
      <c r="L136" s="53">
        <v>-1226766.2195262569</v>
      </c>
      <c r="M136" s="53">
        <v>0</v>
      </c>
      <c r="N136" s="53">
        <v>-188677.78192000955</v>
      </c>
      <c r="O136" s="53">
        <v>-17440.586015205001</v>
      </c>
    </row>
    <row r="137" spans="1:15">
      <c r="A137" s="13">
        <f t="shared" ref="A137:A156" si="14">+A136+1</f>
        <v>130</v>
      </c>
      <c r="B137" s="84">
        <v>282.01</v>
      </c>
      <c r="C137" s="53" t="s">
        <v>445</v>
      </c>
      <c r="D137" s="70" t="s">
        <v>147</v>
      </c>
      <c r="E137" s="53">
        <v>-619618722</v>
      </c>
      <c r="F137" s="53">
        <v>-357287992.21884674</v>
      </c>
      <c r="G137" s="53">
        <v>-74694854.474693358</v>
      </c>
      <c r="H137" s="53">
        <v>-72208971.69853127</v>
      </c>
      <c r="I137" s="53">
        <v>-43506302.118843243</v>
      </c>
      <c r="J137" s="53">
        <v>-33740968.996941507</v>
      </c>
      <c r="K137" s="53">
        <v>-14284958.522543363</v>
      </c>
      <c r="L137" s="53">
        <v>-9918884.1164009888</v>
      </c>
      <c r="M137" s="53">
        <v>-5907005.1607216652</v>
      </c>
      <c r="N137" s="53">
        <v>-7248956.3873079214</v>
      </c>
      <c r="O137" s="53">
        <v>-819828.30516991438</v>
      </c>
    </row>
    <row r="138" spans="1:15">
      <c r="A138" s="13">
        <f t="shared" si="14"/>
        <v>131</v>
      </c>
      <c r="B138" s="84">
        <v>235</v>
      </c>
      <c r="C138" s="53" t="s">
        <v>446</v>
      </c>
      <c r="D138" s="70" t="s">
        <v>447</v>
      </c>
      <c r="E138" s="53">
        <v>-18134171</v>
      </c>
      <c r="F138" s="53">
        <v>-15711034.070734575</v>
      </c>
      <c r="G138" s="53">
        <v>-1827024.2539756706</v>
      </c>
      <c r="H138" s="53">
        <v>-578393.19580594811</v>
      </c>
      <c r="I138" s="53">
        <v>0</v>
      </c>
      <c r="J138" s="53">
        <v>-17719.479483805786</v>
      </c>
      <c r="K138" s="53">
        <v>0</v>
      </c>
      <c r="L138" s="53">
        <v>0</v>
      </c>
      <c r="M138" s="53">
        <v>0</v>
      </c>
      <c r="N138" s="53">
        <v>0</v>
      </c>
      <c r="O138" s="53">
        <v>0</v>
      </c>
    </row>
    <row r="139" spans="1:15">
      <c r="A139" s="13">
        <f t="shared" si="14"/>
        <v>132</v>
      </c>
      <c r="B139" s="84">
        <v>235.01</v>
      </c>
      <c r="C139" s="53" t="s">
        <v>448</v>
      </c>
      <c r="D139" s="70" t="s">
        <v>447</v>
      </c>
      <c r="E139" s="53">
        <v>-2472594</v>
      </c>
      <c r="F139" s="53">
        <v>-2142199.3085371195</v>
      </c>
      <c r="G139" s="53">
        <v>-249114.7352826175</v>
      </c>
      <c r="H139" s="53">
        <v>-78863.905363559898</v>
      </c>
      <c r="I139" s="53">
        <v>0</v>
      </c>
      <c r="J139" s="53">
        <v>-2416.0508167029684</v>
      </c>
      <c r="K139" s="53">
        <v>0</v>
      </c>
      <c r="L139" s="53">
        <v>0</v>
      </c>
      <c r="M139" s="53">
        <v>0</v>
      </c>
      <c r="N139" s="53">
        <v>0</v>
      </c>
      <c r="O139" s="53">
        <v>0</v>
      </c>
    </row>
    <row r="140" spans="1:15">
      <c r="A140" s="13">
        <f t="shared" si="14"/>
        <v>133</v>
      </c>
      <c r="B140" s="84">
        <v>252</v>
      </c>
      <c r="C140" s="53" t="s">
        <v>449</v>
      </c>
      <c r="D140" s="9" t="s">
        <v>139</v>
      </c>
      <c r="E140" s="53">
        <v>-67513639</v>
      </c>
      <c r="F140" s="53">
        <v>-46070241.682384215</v>
      </c>
      <c r="G140" s="53">
        <v>-19865157.294239171</v>
      </c>
      <c r="H140" s="53">
        <v>-1429889.0211792616</v>
      </c>
      <c r="I140" s="53">
        <v>-148351.00219734863</v>
      </c>
      <c r="J140" s="53">
        <v>0</v>
      </c>
      <c r="K140" s="53">
        <v>0</v>
      </c>
      <c r="L140" s="53">
        <v>0</v>
      </c>
      <c r="M140" s="53">
        <v>0</v>
      </c>
      <c r="N140" s="53">
        <v>0</v>
      </c>
      <c r="O140" s="53">
        <v>0</v>
      </c>
    </row>
    <row r="141" spans="1:15">
      <c r="A141" s="13">
        <f t="shared" si="14"/>
        <v>134</v>
      </c>
      <c r="B141" s="84">
        <v>253</v>
      </c>
      <c r="C141" s="5" t="s">
        <v>450</v>
      </c>
      <c r="D141" s="9" t="s">
        <v>244</v>
      </c>
      <c r="E141" s="53">
        <v>-6715753</v>
      </c>
      <c r="F141" s="53">
        <v>-4149715.8638366219</v>
      </c>
      <c r="G141" s="53">
        <v>-800627.42469412903</v>
      </c>
      <c r="H141" s="53">
        <v>-676530.23838025925</v>
      </c>
      <c r="I141" s="53">
        <v>-402763.46581646701</v>
      </c>
      <c r="J141" s="53">
        <v>-310582.50849663763</v>
      </c>
      <c r="K141" s="53">
        <v>-142343.28156072178</v>
      </c>
      <c r="L141" s="53">
        <v>-95850.253255773758</v>
      </c>
      <c r="M141" s="53">
        <v>-54478.666909490872</v>
      </c>
      <c r="N141" s="53">
        <v>-74999.110959735001</v>
      </c>
      <c r="O141" s="53">
        <v>-7862.1860901637065</v>
      </c>
    </row>
    <row r="142" spans="1:15">
      <c r="A142" s="13">
        <f t="shared" si="14"/>
        <v>135</v>
      </c>
      <c r="B142" s="84">
        <v>114.01</v>
      </c>
      <c r="C142" s="53" t="s">
        <v>451</v>
      </c>
      <c r="D142" s="70" t="s">
        <v>142</v>
      </c>
      <c r="E142" s="53">
        <v>245239102</v>
      </c>
      <c r="F142" s="53">
        <v>130592361.29185778</v>
      </c>
      <c r="G142" s="53">
        <v>29607258.606503624</v>
      </c>
      <c r="H142" s="53">
        <v>32847199.29434675</v>
      </c>
      <c r="I142" s="53">
        <v>22405043.004258998</v>
      </c>
      <c r="J142" s="53">
        <v>15286668.425832067</v>
      </c>
      <c r="K142" s="53">
        <v>7549624.3573510144</v>
      </c>
      <c r="L142" s="53">
        <v>5951063.3810189674</v>
      </c>
      <c r="M142" s="53">
        <v>0</v>
      </c>
      <c r="N142" s="53">
        <v>915279.06533785909</v>
      </c>
      <c r="O142" s="53">
        <v>84604.573492966578</v>
      </c>
    </row>
    <row r="143" spans="1:15">
      <c r="A143" s="13">
        <f t="shared" si="14"/>
        <v>136</v>
      </c>
      <c r="B143" s="84">
        <v>114.02</v>
      </c>
      <c r="C143" s="53" t="s">
        <v>452</v>
      </c>
      <c r="D143" s="70" t="s">
        <v>120</v>
      </c>
      <c r="E143" s="53">
        <v>946172</v>
      </c>
      <c r="F143" s="53">
        <v>503846.38771120459</v>
      </c>
      <c r="G143" s="53">
        <v>114229.5778355637</v>
      </c>
      <c r="H143" s="53">
        <v>126729.79144545495</v>
      </c>
      <c r="I143" s="53">
        <v>86442.268694271057</v>
      </c>
      <c r="J143" s="53">
        <v>58978.431742122346</v>
      </c>
      <c r="K143" s="53">
        <v>29127.668137699853</v>
      </c>
      <c r="L143" s="53">
        <v>22960.162125147068</v>
      </c>
      <c r="M143" s="53">
        <v>0</v>
      </c>
      <c r="N143" s="53">
        <v>3531.2942216239762</v>
      </c>
      <c r="O143" s="53">
        <v>326.41808691253152</v>
      </c>
    </row>
    <row r="144" spans="1:15">
      <c r="A144" s="13">
        <f t="shared" si="14"/>
        <v>137</v>
      </c>
      <c r="B144" s="84">
        <v>114.03</v>
      </c>
      <c r="C144" s="53" t="s">
        <v>453</v>
      </c>
      <c r="D144" s="70" t="s">
        <v>154</v>
      </c>
      <c r="E144" s="53">
        <v>302358</v>
      </c>
      <c r="F144" s="53">
        <v>189304.56054653067</v>
      </c>
      <c r="G144" s="53">
        <v>36559.878921413656</v>
      </c>
      <c r="H144" s="53">
        <v>29811.386113979366</v>
      </c>
      <c r="I144" s="53">
        <v>14538.600996520601</v>
      </c>
      <c r="J144" s="53">
        <v>14011.705742440881</v>
      </c>
      <c r="K144" s="53">
        <v>4520.9736624389498</v>
      </c>
      <c r="L144" s="53">
        <v>2210.9784198573379</v>
      </c>
      <c r="M144" s="53">
        <v>4668.3731129124626</v>
      </c>
      <c r="N144" s="53">
        <v>6111.9763280140178</v>
      </c>
      <c r="O144" s="53">
        <v>619.56615589209969</v>
      </c>
    </row>
    <row r="145" spans="1:15">
      <c r="A145" s="13">
        <f t="shared" si="14"/>
        <v>138</v>
      </c>
      <c r="B145" s="84">
        <v>115.01</v>
      </c>
      <c r="C145" s="53" t="s">
        <v>454</v>
      </c>
      <c r="D145" s="70" t="s">
        <v>142</v>
      </c>
      <c r="E145" s="53">
        <v>-54306612</v>
      </c>
      <c r="F145" s="53">
        <v>-28918833.240715172</v>
      </c>
      <c r="G145" s="53">
        <v>-6556335.8062167959</v>
      </c>
      <c r="H145" s="53">
        <v>-7273799.7032983862</v>
      </c>
      <c r="I145" s="53">
        <v>-4961451.772383377</v>
      </c>
      <c r="J145" s="53">
        <v>-3385133.7906722268</v>
      </c>
      <c r="K145" s="53">
        <v>-1671815.4542924843</v>
      </c>
      <c r="L145" s="53">
        <v>-1317824.4716472875</v>
      </c>
      <c r="M145" s="53">
        <v>0</v>
      </c>
      <c r="N145" s="53">
        <v>-202682.62551795581</v>
      </c>
      <c r="O145" s="53">
        <v>-18735.135256318223</v>
      </c>
    </row>
    <row r="146" spans="1:15">
      <c r="A146" s="13">
        <f t="shared" si="14"/>
        <v>139</v>
      </c>
      <c r="B146" s="84">
        <v>115.02</v>
      </c>
      <c r="C146" s="53" t="s">
        <v>455</v>
      </c>
      <c r="D146" s="70" t="s">
        <v>120</v>
      </c>
      <c r="E146" s="53">
        <v>-731889</v>
      </c>
      <c r="F146" s="53">
        <v>-389738.47128805949</v>
      </c>
      <c r="G146" s="53">
        <v>-88359.591588519746</v>
      </c>
      <c r="H146" s="53">
        <v>-98028.836544753576</v>
      </c>
      <c r="I146" s="53">
        <v>-66865.374997760809</v>
      </c>
      <c r="J146" s="53">
        <v>-45621.372677811414</v>
      </c>
      <c r="K146" s="53">
        <v>-22531.019630292387</v>
      </c>
      <c r="L146" s="53">
        <v>-17760.29104392411</v>
      </c>
      <c r="M146" s="53">
        <v>0</v>
      </c>
      <c r="N146" s="53">
        <v>-2731.54922843854</v>
      </c>
      <c r="O146" s="53">
        <v>-252.49300044001066</v>
      </c>
    </row>
    <row r="147" spans="1:15">
      <c r="A147" s="13">
        <f t="shared" si="14"/>
        <v>140</v>
      </c>
      <c r="B147" s="84">
        <v>115.03</v>
      </c>
      <c r="C147" s="53" t="s">
        <v>456</v>
      </c>
      <c r="D147" s="70" t="s">
        <v>154</v>
      </c>
      <c r="E147" s="53">
        <v>-288399</v>
      </c>
      <c r="F147" s="53">
        <v>-180564.91297421898</v>
      </c>
      <c r="G147" s="53">
        <v>-34872.014370569908</v>
      </c>
      <c r="H147" s="53">
        <v>-28435.080083495512</v>
      </c>
      <c r="I147" s="53">
        <v>-13867.395566829869</v>
      </c>
      <c r="J147" s="53">
        <v>-13364.825552537746</v>
      </c>
      <c r="K147" s="53">
        <v>-4312.2532999746354</v>
      </c>
      <c r="L147" s="53">
        <v>-2108.9038997097368</v>
      </c>
      <c r="M147" s="53">
        <v>-4452.8477413888222</v>
      </c>
      <c r="N147" s="53">
        <v>-5829.8039444066799</v>
      </c>
      <c r="O147" s="53">
        <v>-590.96256686816844</v>
      </c>
    </row>
    <row r="148" spans="1:15">
      <c r="A148" s="13">
        <f t="shared" si="14"/>
        <v>141</v>
      </c>
      <c r="B148" s="84">
        <v>230</v>
      </c>
      <c r="C148" s="53" t="s">
        <v>457</v>
      </c>
      <c r="D148" s="70" t="s">
        <v>142</v>
      </c>
      <c r="E148" s="53">
        <v>-5526317</v>
      </c>
      <c r="F148" s="53">
        <v>-2942821.0280974507</v>
      </c>
      <c r="G148" s="53">
        <v>-667181.9266428292</v>
      </c>
      <c r="H148" s="53">
        <v>-740192.05902465107</v>
      </c>
      <c r="I148" s="53">
        <v>-504884.29059802857</v>
      </c>
      <c r="J148" s="53">
        <v>-344475.96205534547</v>
      </c>
      <c r="K148" s="53">
        <v>-170126.285283996</v>
      </c>
      <c r="L148" s="53">
        <v>-134103.66643163862</v>
      </c>
      <c r="M148" s="53">
        <v>0</v>
      </c>
      <c r="N148" s="53">
        <v>-20625.268227090157</v>
      </c>
      <c r="O148" s="53">
        <v>-1906.5136389707161</v>
      </c>
    </row>
    <row r="149" spans="1:15">
      <c r="A149" s="13">
        <f t="shared" si="14"/>
        <v>142</v>
      </c>
      <c r="B149" s="84">
        <v>230.01</v>
      </c>
      <c r="C149" s="53" t="s">
        <v>458</v>
      </c>
      <c r="D149" s="70" t="s">
        <v>120</v>
      </c>
      <c r="E149" s="53">
        <v>-4248884</v>
      </c>
      <c r="F149" s="53">
        <v>-2262574.7276435294</v>
      </c>
      <c r="G149" s="53">
        <v>-512959.82716914179</v>
      </c>
      <c r="H149" s="53">
        <v>-569093.33947308769</v>
      </c>
      <c r="I149" s="53">
        <v>-388178.01877331937</v>
      </c>
      <c r="J149" s="53">
        <v>-264848.79596330872</v>
      </c>
      <c r="K149" s="53">
        <v>-130800.8301953373</v>
      </c>
      <c r="L149" s="53">
        <v>-103105.00151235015</v>
      </c>
      <c r="M149" s="53">
        <v>0</v>
      </c>
      <c r="N149" s="53">
        <v>-15857.644823087732</v>
      </c>
      <c r="O149" s="53">
        <v>-1465.8144468376408</v>
      </c>
    </row>
    <row r="150" spans="1:15">
      <c r="A150" s="13">
        <f t="shared" si="14"/>
        <v>143</v>
      </c>
      <c r="B150" s="84">
        <v>230.02</v>
      </c>
      <c r="C150" s="53" t="s">
        <v>459</v>
      </c>
      <c r="D150" s="70" t="s">
        <v>154</v>
      </c>
      <c r="E150" s="53">
        <v>-10072669</v>
      </c>
      <c r="F150" s="53">
        <v>-6306438.6540976688</v>
      </c>
      <c r="G150" s="53">
        <v>-1217945.4787221663</v>
      </c>
      <c r="H150" s="53">
        <v>-993128.09569222713</v>
      </c>
      <c r="I150" s="53">
        <v>-484334.84664213343</v>
      </c>
      <c r="J150" s="53">
        <v>-466782.00698842516</v>
      </c>
      <c r="K150" s="53">
        <v>-150610.43947725967</v>
      </c>
      <c r="L150" s="53">
        <v>-73655.91050796074</v>
      </c>
      <c r="M150" s="53">
        <v>-155520.86313200532</v>
      </c>
      <c r="N150" s="53">
        <v>-203612.65284173278</v>
      </c>
      <c r="O150" s="53">
        <v>-20640.051898423455</v>
      </c>
    </row>
    <row r="151" spans="1:15">
      <c r="A151" s="13">
        <f t="shared" si="14"/>
        <v>144</v>
      </c>
      <c r="B151" s="84">
        <v>230.03</v>
      </c>
      <c r="C151" s="53" t="s">
        <v>460</v>
      </c>
      <c r="D151" s="70" t="s">
        <v>158</v>
      </c>
      <c r="E151" s="53">
        <v>-631117</v>
      </c>
      <c r="F151" s="53">
        <v>-387857.33928116027</v>
      </c>
      <c r="G151" s="53">
        <v>-75303.148822074363</v>
      </c>
      <c r="H151" s="53">
        <v>-64383.653106850325</v>
      </c>
      <c r="I151" s="53">
        <v>-38395.169043922906</v>
      </c>
      <c r="J151" s="53">
        <v>-29603.455438536817</v>
      </c>
      <c r="K151" s="53">
        <v>-13484.506742720276</v>
      </c>
      <c r="L151" s="53">
        <v>-9110.5912763184006</v>
      </c>
      <c r="M151" s="53">
        <v>-5178.6415773152466</v>
      </c>
      <c r="N151" s="53">
        <v>-7055.600360983156</v>
      </c>
      <c r="O151" s="53">
        <v>-744.89435011833052</v>
      </c>
    </row>
    <row r="152" spans="1:15">
      <c r="A152" s="71">
        <f>+A151+1</f>
        <v>145</v>
      </c>
      <c r="B152" s="87"/>
      <c r="C152" s="81" t="s">
        <v>180</v>
      </c>
      <c r="D152" s="38"/>
      <c r="E152" s="81">
        <f t="shared" ref="E152:O152" si="15">SUM(E134:E151)</f>
        <v>-236884839.12875009</v>
      </c>
      <c r="F152" s="81">
        <f t="shared" si="15"/>
        <v>-172043304.39860538</v>
      </c>
      <c r="G152" s="81">
        <f t="shared" si="15"/>
        <v>-39781637.429926254</v>
      </c>
      <c r="H152" s="81">
        <f t="shared" si="15"/>
        <v>-10631507.848364335</v>
      </c>
      <c r="I152" s="81">
        <f t="shared" si="15"/>
        <v>27943.343573892031</v>
      </c>
      <c r="J152" s="81">
        <f t="shared" si="15"/>
        <v>-4132365.9980717674</v>
      </c>
      <c r="K152" s="81">
        <f t="shared" si="15"/>
        <v>439769.73161164101</v>
      </c>
      <c r="L152" s="81">
        <f t="shared" si="15"/>
        <v>1750896.9701982145</v>
      </c>
      <c r="M152" s="81">
        <f t="shared" si="15"/>
        <v>-6121967.8069689535</v>
      </c>
      <c r="N152" s="81">
        <f t="shared" si="15"/>
        <v>-5712062.7053372385</v>
      </c>
      <c r="O152" s="81">
        <f t="shared" si="15"/>
        <v>-680602.98685977946</v>
      </c>
    </row>
    <row r="153" spans="1:15">
      <c r="A153" s="13">
        <f>+A152+1</f>
        <v>146</v>
      </c>
      <c r="B153" s="84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</row>
    <row r="154" spans="1:15">
      <c r="A154" s="71">
        <f t="shared" si="14"/>
        <v>147</v>
      </c>
      <c r="B154" s="88"/>
      <c r="C154" s="73" t="s">
        <v>461</v>
      </c>
      <c r="D154" s="38"/>
      <c r="E154" s="73">
        <f t="shared" ref="E154:O154" si="16">SUM(E152,E131)</f>
        <v>-31932250.128750086</v>
      </c>
      <c r="F154" s="73">
        <f t="shared" si="16"/>
        <v>-53480588.54448007</v>
      </c>
      <c r="G154" s="73">
        <f t="shared" si="16"/>
        <v>-15088847.959825326</v>
      </c>
      <c r="H154" s="73">
        <f t="shared" si="16"/>
        <v>13107750.455959104</v>
      </c>
      <c r="I154" s="73">
        <f t="shared" si="16"/>
        <v>14338733.059346305</v>
      </c>
      <c r="J154" s="73">
        <f t="shared" si="16"/>
        <v>6950953.4941355754</v>
      </c>
      <c r="K154" s="73">
        <f t="shared" si="16"/>
        <v>5156015.9159154324</v>
      </c>
      <c r="L154" s="73">
        <f t="shared" si="16"/>
        <v>5025074.4100730168</v>
      </c>
      <c r="M154" s="73">
        <f t="shared" si="16"/>
        <v>-4197164.2880263943</v>
      </c>
      <c r="N154" s="73">
        <f t="shared" si="16"/>
        <v>-3331690.102074841</v>
      </c>
      <c r="O154" s="73">
        <f t="shared" si="16"/>
        <v>-412486.5697727481</v>
      </c>
    </row>
    <row r="155" spans="1:15">
      <c r="A155" s="13">
        <f t="shared" si="14"/>
        <v>148</v>
      </c>
      <c r="B155" s="90"/>
      <c r="C155" s="14"/>
      <c r="D155" s="9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</row>
    <row r="156" spans="1:15" ht="16.5" thickBot="1">
      <c r="A156" s="93">
        <f t="shared" si="14"/>
        <v>149</v>
      </c>
      <c r="B156" s="101"/>
      <c r="C156" s="102" t="s">
        <v>32</v>
      </c>
      <c r="D156" s="103"/>
      <c r="E156" s="95">
        <f t="shared" ref="E156:O156" si="17">SUM(E154,E126,E73)</f>
        <v>4904756945.54</v>
      </c>
      <c r="F156" s="95">
        <f t="shared" si="17"/>
        <v>2783805841.1240454</v>
      </c>
      <c r="G156" s="95">
        <f t="shared" si="17"/>
        <v>584830500.94324636</v>
      </c>
      <c r="H156" s="95">
        <f t="shared" si="17"/>
        <v>591403647.40265357</v>
      </c>
      <c r="I156" s="95">
        <f t="shared" si="17"/>
        <v>363462827.90745646</v>
      </c>
      <c r="J156" s="95">
        <f t="shared" si="17"/>
        <v>277537238.79627097</v>
      </c>
      <c r="K156" s="95">
        <f t="shared" si="17"/>
        <v>119298534.83521406</v>
      </c>
      <c r="L156" s="95">
        <f t="shared" si="17"/>
        <v>84655151.404917747</v>
      </c>
      <c r="M156" s="95">
        <f t="shared" si="17"/>
        <v>44686340.084416591</v>
      </c>
      <c r="N156" s="95">
        <f t="shared" si="17"/>
        <v>49515572.259888344</v>
      </c>
      <c r="O156" s="95">
        <f t="shared" si="17"/>
        <v>5561290.7818908812</v>
      </c>
    </row>
    <row r="157" spans="1:15" ht="15.75" thickTop="1"/>
  </sheetData>
  <printOptions horizontalCentered="1"/>
  <pageMargins left="0.5" right="0.5" top="0.75" bottom="0.75" header="0.3" footer="0.3"/>
  <pageSetup scale="53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63"/>
  <sheetViews>
    <sheetView showGridLines="0" view="pageLayout" topLeftCell="A66" zoomScaleNormal="100" workbookViewId="0">
      <selection sqref="A1:E1"/>
    </sheetView>
  </sheetViews>
  <sheetFormatPr defaultRowHeight="15"/>
  <cols>
    <col min="1" max="1" width="7.5703125" bestFit="1" customWidth="1"/>
    <col min="2" max="2" width="41.5703125" bestFit="1" customWidth="1"/>
    <col min="3" max="3" width="14.42578125" customWidth="1"/>
    <col min="4" max="4" width="13.7109375" customWidth="1"/>
    <col min="5" max="5" width="12" bestFit="1" customWidth="1"/>
    <col min="6" max="6" width="16" bestFit="1" customWidth="1"/>
    <col min="7" max="8" width="12" bestFit="1" customWidth="1"/>
    <col min="9" max="9" width="12.7109375" bestFit="1" customWidth="1"/>
    <col min="10" max="10" width="12" bestFit="1" customWidth="1"/>
    <col min="11" max="11" width="14" bestFit="1" customWidth="1"/>
    <col min="12" max="13" width="12" bestFit="1" customWidth="1"/>
  </cols>
  <sheetData>
    <row r="1" spans="1:13" ht="15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5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5.75">
      <c r="A4" s="3" t="s">
        <v>462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s="5" customFormat="1" ht="38.25">
      <c r="A6" s="97" t="s">
        <v>3</v>
      </c>
      <c r="B6" s="97" t="s">
        <v>4</v>
      </c>
      <c r="C6" s="97" t="s">
        <v>79</v>
      </c>
      <c r="D6" s="98" t="str">
        <f>+'JAP-4, p1-4 ECOS Summary'!E6</f>
        <v>Residential
Sch 7</v>
      </c>
      <c r="E6" s="98" t="str">
        <f>+'JAP-4, p1-4 ECOS Summary'!F6</f>
        <v>Sec Volt
Sch 24
(kW&lt; 50)</v>
      </c>
      <c r="F6" s="98" t="str">
        <f>+'JAP-4, p1-4 ECOS Summary'!G6</f>
        <v>Sec Volt
Sch 25
(kW &gt; 50 &amp; &lt; 350)</v>
      </c>
      <c r="G6" s="98" t="str">
        <f>+'JAP-4, p1-4 ECOS Summary'!H6</f>
        <v>Sec Volt
Sch 26
(kW &gt; 350)</v>
      </c>
      <c r="H6" s="98" t="str">
        <f>+'JAP-4, p1-4 ECOS Summary'!I6</f>
        <v>Pri Volt
Sch 31/35/43</v>
      </c>
      <c r="I6" s="98" t="str">
        <f>+'JAP-4, p1-4 ECOS Summary'!J6</f>
        <v>Campus
Sch 40</v>
      </c>
      <c r="J6" s="98" t="str">
        <f>+'JAP-4, p1-4 ECOS Summary'!K6</f>
        <v>High Volt
Sch 46/49</v>
      </c>
      <c r="K6" s="98" t="str">
        <f>+'JAP-4, p1-4 ECOS Summary'!L6</f>
        <v>Choice /
Retail Wheeling
Sch 448/449</v>
      </c>
      <c r="L6" s="98" t="str">
        <f>+'JAP-4, p1-4 ECOS Summary'!M6</f>
        <v>Lighting
Sch 50-59</v>
      </c>
      <c r="M6" s="98" t="str">
        <f>+'JAP-4, p1-4 ECOS Summary'!N6</f>
        <v>Firm Resale /
Special Contract</v>
      </c>
    </row>
    <row r="7" spans="1:13" s="9" customFormat="1" ht="12.75">
      <c r="B7" s="10" t="s">
        <v>16</v>
      </c>
      <c r="C7" s="9" t="s">
        <v>17</v>
      </c>
      <c r="D7" s="10" t="s">
        <v>18</v>
      </c>
      <c r="E7" s="10" t="s">
        <v>19</v>
      </c>
      <c r="F7" s="10" t="s">
        <v>20</v>
      </c>
      <c r="G7" s="11" t="s">
        <v>89</v>
      </c>
      <c r="H7" s="11" t="s">
        <v>21</v>
      </c>
      <c r="I7" s="10" t="s">
        <v>22</v>
      </c>
      <c r="J7" s="11" t="s">
        <v>90</v>
      </c>
      <c r="K7" s="11" t="s">
        <v>91</v>
      </c>
      <c r="L7" s="11" t="s">
        <v>23</v>
      </c>
      <c r="M7" s="11" t="s">
        <v>24</v>
      </c>
    </row>
    <row r="8" spans="1:13">
      <c r="A8" s="13">
        <v>1</v>
      </c>
      <c r="B8" s="14" t="s">
        <v>463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</row>
    <row r="9" spans="1:13">
      <c r="A9" s="13">
        <f t="shared" ref="A9:A62" si="0">+A8+1</f>
        <v>2</v>
      </c>
      <c r="B9" s="15" t="s">
        <v>464</v>
      </c>
      <c r="C9" s="153">
        <f>SUM(D9:M9)</f>
        <v>127180593</v>
      </c>
      <c r="D9" s="153">
        <v>67649431.384119555</v>
      </c>
      <c r="E9" s="153">
        <v>29514490.374698512</v>
      </c>
      <c r="F9" s="153">
        <v>11591801.933383834</v>
      </c>
      <c r="G9" s="153">
        <v>1278561.8156961645</v>
      </c>
      <c r="H9" s="153">
        <v>15279600.50214744</v>
      </c>
      <c r="I9" s="153">
        <v>740902.53921069985</v>
      </c>
      <c r="J9" s="153">
        <v>556416.99519946438</v>
      </c>
      <c r="K9" s="153">
        <v>289800.51833305432</v>
      </c>
      <c r="L9" s="153">
        <v>0</v>
      </c>
      <c r="M9" s="153">
        <v>279586.93721128238</v>
      </c>
    </row>
    <row r="10" spans="1:13">
      <c r="A10" s="13">
        <f t="shared" si="0"/>
        <v>3</v>
      </c>
      <c r="B10" s="15" t="s">
        <v>465</v>
      </c>
      <c r="C10" s="153">
        <f>SUM(D10:M10)</f>
        <v>136280318</v>
      </c>
      <c r="D10" s="153">
        <v>136280318</v>
      </c>
      <c r="E10" s="153">
        <v>0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</row>
    <row r="11" spans="1:13">
      <c r="A11" s="13">
        <f t="shared" si="0"/>
        <v>4</v>
      </c>
      <c r="B11" s="16" t="s">
        <v>466</v>
      </c>
      <c r="C11" s="153">
        <f>SUM(D11:M11)</f>
        <v>41858524</v>
      </c>
      <c r="D11" s="153">
        <v>36290664.202816084</v>
      </c>
      <c r="E11" s="153">
        <v>5353785.0312708523</v>
      </c>
      <c r="F11" s="153">
        <v>211755.53858569314</v>
      </c>
      <c r="G11" s="153">
        <v>2319.2273273671153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</row>
    <row r="12" spans="1:13">
      <c r="A12" s="13">
        <f t="shared" si="0"/>
        <v>5</v>
      </c>
      <c r="B12" s="16" t="s">
        <v>467</v>
      </c>
      <c r="C12" s="153">
        <f>SUM(D12:M12)</f>
        <v>399305396</v>
      </c>
      <c r="D12" s="153">
        <v>285349297.42902559</v>
      </c>
      <c r="E12" s="153">
        <v>69169775.33967793</v>
      </c>
      <c r="F12" s="153">
        <v>35923033.278957278</v>
      </c>
      <c r="G12" s="153">
        <v>8647869.3233303949</v>
      </c>
      <c r="H12" s="153">
        <v>0</v>
      </c>
      <c r="I12" s="153">
        <v>0</v>
      </c>
      <c r="J12" s="153">
        <v>0</v>
      </c>
      <c r="K12" s="153">
        <v>0</v>
      </c>
      <c r="L12" s="153">
        <v>215420.62900879033</v>
      </c>
      <c r="M12" s="153">
        <v>0</v>
      </c>
    </row>
    <row r="13" spans="1:13">
      <c r="A13" s="13">
        <f t="shared" si="0"/>
        <v>6</v>
      </c>
      <c r="B13" s="105" t="s">
        <v>468</v>
      </c>
      <c r="C13" s="158">
        <f>SUM(C9:C12)</f>
        <v>704624831</v>
      </c>
      <c r="D13" s="158">
        <f t="shared" ref="D13:M13" si="1">SUM(D9:D12)</f>
        <v>525569711.01596123</v>
      </c>
      <c r="E13" s="158">
        <f t="shared" si="1"/>
        <v>104038050.7456473</v>
      </c>
      <c r="F13" s="158">
        <f t="shared" si="1"/>
        <v>47726590.750926808</v>
      </c>
      <c r="G13" s="158">
        <f t="shared" si="1"/>
        <v>9928750.3663539272</v>
      </c>
      <c r="H13" s="158">
        <f t="shared" si="1"/>
        <v>15279600.50214744</v>
      </c>
      <c r="I13" s="158">
        <f t="shared" si="1"/>
        <v>740902.53921069985</v>
      </c>
      <c r="J13" s="158">
        <f t="shared" si="1"/>
        <v>556416.99519946438</v>
      </c>
      <c r="K13" s="158">
        <f t="shared" si="1"/>
        <v>289800.51833305432</v>
      </c>
      <c r="L13" s="158">
        <f t="shared" si="1"/>
        <v>215420.62900879033</v>
      </c>
      <c r="M13" s="158">
        <f t="shared" si="1"/>
        <v>279586.93721128238</v>
      </c>
    </row>
    <row r="14" spans="1:13">
      <c r="A14" s="13">
        <f t="shared" si="0"/>
        <v>7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</row>
    <row r="15" spans="1:13">
      <c r="A15" s="13">
        <f t="shared" si="0"/>
        <v>8</v>
      </c>
      <c r="B15" s="34" t="s">
        <v>308</v>
      </c>
      <c r="C15" s="34">
        <f>SUM(D15:M15)</f>
        <v>73048587.086866885</v>
      </c>
      <c r="D15" s="34">
        <v>56817881.986879632</v>
      </c>
      <c r="E15" s="34">
        <v>8849751.1713302229</v>
      </c>
      <c r="F15" s="34">
        <v>2610092.6657011202</v>
      </c>
      <c r="G15" s="34">
        <v>649884.64945941686</v>
      </c>
      <c r="H15" s="34">
        <v>789306.49327989761</v>
      </c>
      <c r="I15" s="34">
        <v>629265.31742162618</v>
      </c>
      <c r="J15" s="34">
        <v>229617.58163721717</v>
      </c>
      <c r="K15" s="34">
        <v>98402.102537077284</v>
      </c>
      <c r="L15" s="34">
        <v>2339618.2001570417</v>
      </c>
      <c r="M15" s="34">
        <v>34766.918463615031</v>
      </c>
    </row>
    <row r="16" spans="1:13">
      <c r="A16" s="13">
        <f t="shared" si="0"/>
        <v>9</v>
      </c>
      <c r="B16" s="34" t="s">
        <v>469</v>
      </c>
      <c r="C16" s="34">
        <f>SUM(D16:M16)</f>
        <v>763774834.99999988</v>
      </c>
      <c r="D16" s="34">
        <v>526204883.01596123</v>
      </c>
      <c r="E16" s="34">
        <v>104043653.74564728</v>
      </c>
      <c r="F16" s="34">
        <v>47726590.750926808</v>
      </c>
      <c r="G16" s="34">
        <v>9928750.3663539272</v>
      </c>
      <c r="H16" s="34">
        <v>16316528.50214744</v>
      </c>
      <c r="I16" s="34">
        <v>3440518.5392107</v>
      </c>
      <c r="J16" s="34">
        <v>556416.99519946438</v>
      </c>
      <c r="K16" s="34">
        <v>289800.51833305432</v>
      </c>
      <c r="L16" s="34">
        <v>54968708.629008792</v>
      </c>
      <c r="M16" s="34">
        <v>298983.93721128238</v>
      </c>
    </row>
    <row r="17" spans="1:13">
      <c r="A17" s="13">
        <f t="shared" si="0"/>
        <v>10</v>
      </c>
      <c r="B17" s="105" t="s">
        <v>470</v>
      </c>
      <c r="C17" s="105">
        <f>+SUM(D17:M17)</f>
        <v>70103836.145575255</v>
      </c>
      <c r="D17" s="105">
        <v>56749298.192045718</v>
      </c>
      <c r="E17" s="105">
        <v>8849274.5910292845</v>
      </c>
      <c r="F17" s="105">
        <v>2610092.6657011202</v>
      </c>
      <c r="G17" s="105">
        <v>649884.64945941686</v>
      </c>
      <c r="H17" s="105">
        <v>738704.55663168873</v>
      </c>
      <c r="I17" s="105">
        <v>135509.88497852065</v>
      </c>
      <c r="J17" s="105">
        <v>229617.58163721717</v>
      </c>
      <c r="K17" s="105">
        <v>98402.102537077284</v>
      </c>
      <c r="L17" s="105">
        <v>9168.8896626591923</v>
      </c>
      <c r="M17" s="105">
        <v>33883.031892555126</v>
      </c>
    </row>
    <row r="18" spans="1:13">
      <c r="A18" s="13">
        <f t="shared" si="0"/>
        <v>11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</row>
    <row r="19" spans="1:13">
      <c r="A19" s="13">
        <f t="shared" si="0"/>
        <v>12</v>
      </c>
      <c r="B19" s="105" t="s">
        <v>471</v>
      </c>
      <c r="C19" s="105">
        <f>+SUM(D19:M19)</f>
        <v>-282289503</v>
      </c>
      <c r="D19" s="105">
        <v>-219617167.00144681</v>
      </c>
      <c r="E19" s="105">
        <v>-36325122.666218176</v>
      </c>
      <c r="F19" s="105">
        <v>-16225156.311712936</v>
      </c>
      <c r="G19" s="105">
        <v>-3407699.6125062341</v>
      </c>
      <c r="H19" s="105">
        <v>-5112861.5881736688</v>
      </c>
      <c r="I19" s="105">
        <v>-1169663.5787320076</v>
      </c>
      <c r="J19" s="105">
        <v>-173050.90742424747</v>
      </c>
      <c r="K19" s="105">
        <v>-90130.680950128881</v>
      </c>
      <c r="L19" s="105">
        <v>-74947.991145860171</v>
      </c>
      <c r="M19" s="105">
        <v>-93702.66168994816</v>
      </c>
    </row>
    <row r="20" spans="1:13">
      <c r="A20" s="13">
        <f t="shared" si="0"/>
        <v>13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</row>
    <row r="21" spans="1:13">
      <c r="A21" s="13">
        <f t="shared" si="0"/>
        <v>14</v>
      </c>
      <c r="B21" s="34" t="s">
        <v>472</v>
      </c>
      <c r="C21" s="34">
        <f>SUM(D21:M21)</f>
        <v>-17685083.525406323</v>
      </c>
      <c r="D21" s="34">
        <v>-13821375.579317903</v>
      </c>
      <c r="E21" s="34">
        <v>-2131373.0126114716</v>
      </c>
      <c r="F21" s="34">
        <v>-612105.15226093563</v>
      </c>
      <c r="G21" s="34">
        <v>-154301.22197299195</v>
      </c>
      <c r="H21" s="34">
        <v>-183278.98398762505</v>
      </c>
      <c r="I21" s="34">
        <v>-155386.3370108532</v>
      </c>
      <c r="J21" s="34">
        <v>-57377.37075559947</v>
      </c>
      <c r="K21" s="34">
        <v>-24539.196092722592</v>
      </c>
      <c r="L21" s="34">
        <v>-536867.07376937615</v>
      </c>
      <c r="M21" s="34">
        <v>-8479.5976268493869</v>
      </c>
    </row>
    <row r="22" spans="1:13">
      <c r="A22" s="13">
        <f t="shared" si="0"/>
        <v>15</v>
      </c>
      <c r="B22" s="105" t="s">
        <v>473</v>
      </c>
      <c r="C22" s="105">
        <f>+SUM(D22:M22)</f>
        <v>-16999634.753343794</v>
      </c>
      <c r="D22" s="105">
        <v>-13804692.057266284</v>
      </c>
      <c r="E22" s="105">
        <v>-2131258.2330688499</v>
      </c>
      <c r="F22" s="105">
        <v>-612105.15226093563</v>
      </c>
      <c r="G22" s="105">
        <v>-154301.22197299195</v>
      </c>
      <c r="H22" s="105">
        <v>-171520.25496804967</v>
      </c>
      <c r="I22" s="105">
        <v>-33461.854757626774</v>
      </c>
      <c r="J22" s="105">
        <v>-57377.37075559947</v>
      </c>
      <c r="K22" s="105">
        <v>-24539.196092722592</v>
      </c>
      <c r="L22" s="105">
        <v>-2103.9650668539475</v>
      </c>
      <c r="M22" s="105">
        <v>-8275.4471338855401</v>
      </c>
    </row>
    <row r="23" spans="1:13">
      <c r="A23" s="13">
        <f t="shared" si="0"/>
        <v>16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3">
      <c r="A24" s="13">
        <f t="shared" si="0"/>
        <v>17</v>
      </c>
      <c r="B24" s="36" t="s">
        <v>474</v>
      </c>
      <c r="C24" s="36">
        <f>SUM(C22,C19,C17,C13)</f>
        <v>475439529.39223146</v>
      </c>
      <c r="D24" s="36">
        <f t="shared" ref="D24:M24" si="2">SUM(D22,D19,D17,D13)</f>
        <v>348897150.14929384</v>
      </c>
      <c r="E24" s="36">
        <f t="shared" si="2"/>
        <v>74430944.437389553</v>
      </c>
      <c r="F24" s="36">
        <f t="shared" si="2"/>
        <v>33499421.952654056</v>
      </c>
      <c r="G24" s="36">
        <f t="shared" si="2"/>
        <v>7016634.1813341184</v>
      </c>
      <c r="H24" s="36">
        <f t="shared" si="2"/>
        <v>10733923.21563741</v>
      </c>
      <c r="I24" s="36">
        <f t="shared" si="2"/>
        <v>-326713.00930041389</v>
      </c>
      <c r="J24" s="36">
        <f t="shared" si="2"/>
        <v>555606.29865683464</v>
      </c>
      <c r="K24" s="36">
        <f t="shared" si="2"/>
        <v>273532.74382728012</v>
      </c>
      <c r="L24" s="36">
        <f t="shared" si="2"/>
        <v>147537.5624587354</v>
      </c>
      <c r="M24" s="36">
        <f t="shared" si="2"/>
        <v>211491.86028000381</v>
      </c>
    </row>
    <row r="25" spans="1:13">
      <c r="A25" s="13">
        <f t="shared" si="0"/>
        <v>18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</row>
    <row r="26" spans="1:13">
      <c r="A26" s="13">
        <f t="shared" si="0"/>
        <v>19</v>
      </c>
      <c r="B26" s="14" t="s">
        <v>475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</row>
    <row r="27" spans="1:13">
      <c r="A27" s="13">
        <f t="shared" si="0"/>
        <v>20</v>
      </c>
      <c r="B27" s="107" t="s">
        <v>476</v>
      </c>
      <c r="C27" s="34">
        <f t="shared" ref="C27:C34" si="3">SUM(D27:M27)</f>
        <v>1121604.433845324</v>
      </c>
      <c r="D27" s="34">
        <v>485770.08650020033</v>
      </c>
      <c r="E27" s="34">
        <v>211934.62012885811</v>
      </c>
      <c r="F27" s="34">
        <v>83237.220367751666</v>
      </c>
      <c r="G27" s="34">
        <v>9180.9653251923246</v>
      </c>
      <c r="H27" s="34">
        <v>109718.18544152673</v>
      </c>
      <c r="I27" s="34">
        <v>5320.1968323578085</v>
      </c>
      <c r="J27" s="34">
        <v>3995.4619921857188</v>
      </c>
      <c r="K27" s="34">
        <v>2080.9697875967281</v>
      </c>
      <c r="L27" s="34">
        <v>208359.09831602155</v>
      </c>
      <c r="M27" s="34">
        <v>2007.629153632957</v>
      </c>
    </row>
    <row r="28" spans="1:13">
      <c r="A28" s="13">
        <f t="shared" si="0"/>
        <v>21</v>
      </c>
      <c r="B28" s="107" t="s">
        <v>477</v>
      </c>
      <c r="C28" s="34">
        <f t="shared" si="3"/>
        <v>1657562</v>
      </c>
      <c r="D28" s="34">
        <v>881684.2581000072</v>
      </c>
      <c r="E28" s="34">
        <v>384666.37511641433</v>
      </c>
      <c r="F28" s="34">
        <v>151077.5342610926</v>
      </c>
      <c r="G28" s="34">
        <v>16663.670378930892</v>
      </c>
      <c r="H28" s="34">
        <v>199141.115559514</v>
      </c>
      <c r="I28" s="34">
        <v>9656.2837594189077</v>
      </c>
      <c r="J28" s="34">
        <v>7251.8585237042771</v>
      </c>
      <c r="K28" s="34">
        <v>3777.0096477626439</v>
      </c>
      <c r="L28" s="34">
        <v>0</v>
      </c>
      <c r="M28" s="34">
        <v>3643.8946531552001</v>
      </c>
    </row>
    <row r="29" spans="1:13">
      <c r="A29" s="13">
        <f t="shared" si="0"/>
        <v>22</v>
      </c>
      <c r="B29" s="107" t="s">
        <v>478</v>
      </c>
      <c r="C29" s="34">
        <f t="shared" si="3"/>
        <v>3941538</v>
      </c>
      <c r="D29" s="34">
        <v>2096568.3378980611</v>
      </c>
      <c r="E29" s="34">
        <v>914703.12111619441</v>
      </c>
      <c r="F29" s="34">
        <v>359249.21193680743</v>
      </c>
      <c r="G29" s="34">
        <v>39624.756128597612</v>
      </c>
      <c r="H29" s="34">
        <v>473540.22011859325</v>
      </c>
      <c r="I29" s="34">
        <v>22961.801354358078</v>
      </c>
      <c r="J29" s="34">
        <v>17244.287659710051</v>
      </c>
      <c r="K29" s="34">
        <v>8981.3998227656502</v>
      </c>
      <c r="L29" s="34">
        <v>0</v>
      </c>
      <c r="M29" s="34">
        <v>8664.863964912347</v>
      </c>
    </row>
    <row r="30" spans="1:13">
      <c r="A30" s="13">
        <f t="shared" si="0"/>
        <v>23</v>
      </c>
      <c r="B30" s="107" t="s">
        <v>479</v>
      </c>
      <c r="C30" s="34">
        <f t="shared" si="3"/>
        <v>251626</v>
      </c>
      <c r="D30" s="34">
        <v>178139.89019461817</v>
      </c>
      <c r="E30" s="34">
        <v>43181.799621782629</v>
      </c>
      <c r="F30" s="34">
        <v>22426.286875168345</v>
      </c>
      <c r="G30" s="34">
        <v>5398.753406984144</v>
      </c>
      <c r="H30" s="34">
        <v>647.34079152821334</v>
      </c>
      <c r="I30" s="34">
        <v>1685.3354893128833</v>
      </c>
      <c r="J30" s="34">
        <v>0</v>
      </c>
      <c r="K30" s="34">
        <v>0</v>
      </c>
      <c r="L30" s="34">
        <v>134.4843233995571</v>
      </c>
      <c r="M30" s="34">
        <v>12.109297206047822</v>
      </c>
    </row>
    <row r="31" spans="1:13">
      <c r="A31" s="13">
        <f t="shared" si="0"/>
        <v>24</v>
      </c>
      <c r="B31" s="107" t="s">
        <v>480</v>
      </c>
      <c r="C31" s="34">
        <f t="shared" si="3"/>
        <v>516791</v>
      </c>
      <c r="D31" s="34">
        <v>274889.56034691964</v>
      </c>
      <c r="E31" s="34">
        <v>119930.4283416167</v>
      </c>
      <c r="F31" s="34">
        <v>47102.618187629967</v>
      </c>
      <c r="G31" s="34">
        <v>5195.3621516408284</v>
      </c>
      <c r="H31" s="34">
        <v>62087.77484710484</v>
      </c>
      <c r="I31" s="34">
        <v>3010.6147102273439</v>
      </c>
      <c r="J31" s="34">
        <v>2260.9683488905134</v>
      </c>
      <c r="K31" s="34">
        <v>1177.5876817138089</v>
      </c>
      <c r="L31" s="34">
        <v>0</v>
      </c>
      <c r="M31" s="34">
        <v>1136.0853842563529</v>
      </c>
    </row>
    <row r="32" spans="1:13">
      <c r="A32" s="13">
        <f t="shared" si="0"/>
        <v>25</v>
      </c>
      <c r="B32" s="107" t="s">
        <v>481</v>
      </c>
      <c r="C32" s="34">
        <f t="shared" si="3"/>
        <v>247044</v>
      </c>
      <c r="D32" s="34">
        <v>204864.76053066159</v>
      </c>
      <c r="E32" s="34">
        <v>28283.85019692131</v>
      </c>
      <c r="F32" s="34">
        <v>5493.9906460154698</v>
      </c>
      <c r="G32" s="34">
        <v>1776.4188436610423</v>
      </c>
      <c r="H32" s="34">
        <v>1326.6649464552063</v>
      </c>
      <c r="I32" s="34">
        <v>2949.6730573864452</v>
      </c>
      <c r="J32" s="34">
        <v>1214.1740231913832</v>
      </c>
      <c r="K32" s="34">
        <v>510.07996675528938</v>
      </c>
      <c r="L32" s="34">
        <v>482.98706665377114</v>
      </c>
      <c r="M32" s="34">
        <v>141.40072229847402</v>
      </c>
    </row>
    <row r="33" spans="1:13">
      <c r="A33" s="13">
        <f t="shared" si="0"/>
        <v>26</v>
      </c>
      <c r="B33" s="107" t="s">
        <v>482</v>
      </c>
      <c r="C33" s="34">
        <f t="shared" si="3"/>
        <v>17337410</v>
      </c>
      <c r="D33" s="34">
        <v>14494531.761377951</v>
      </c>
      <c r="E33" s="34">
        <v>2156837.9957820745</v>
      </c>
      <c r="F33" s="34">
        <v>490962.47866241727</v>
      </c>
      <c r="G33" s="34">
        <v>59751.530709865707</v>
      </c>
      <c r="H33" s="34">
        <v>43464.206946756589</v>
      </c>
      <c r="I33" s="34">
        <v>12272.011296267201</v>
      </c>
      <c r="J33" s="34">
        <v>51290.765178089699</v>
      </c>
      <c r="K33" s="34">
        <v>22180.249956972017</v>
      </c>
      <c r="L33" s="34">
        <v>0</v>
      </c>
      <c r="M33" s="34">
        <v>6119.0000896043757</v>
      </c>
    </row>
    <row r="34" spans="1:13">
      <c r="A34" s="13">
        <f t="shared" si="0"/>
        <v>27</v>
      </c>
      <c r="B34" s="34" t="s">
        <v>483</v>
      </c>
      <c r="C34" s="34">
        <f t="shared" si="3"/>
        <v>21548977</v>
      </c>
      <c r="D34" s="34">
        <v>17342978.119558576</v>
      </c>
      <c r="E34" s="34">
        <v>2623203.2671599756</v>
      </c>
      <c r="F34" s="34">
        <v>281600.95372627425</v>
      </c>
      <c r="G34" s="34">
        <v>220354.8326847982</v>
      </c>
      <c r="H34" s="34">
        <v>173772.64357397688</v>
      </c>
      <c r="I34" s="34">
        <v>554465.57898095611</v>
      </c>
      <c r="J34" s="34">
        <v>175343.81557517417</v>
      </c>
      <c r="K34" s="34">
        <v>75824.352681156393</v>
      </c>
      <c r="L34" s="34">
        <v>80383.812209306125</v>
      </c>
      <c r="M34" s="34">
        <v>21049.623849806496</v>
      </c>
    </row>
    <row r="35" spans="1:13">
      <c r="A35" s="13">
        <f t="shared" si="0"/>
        <v>28</v>
      </c>
      <c r="B35" s="108" t="s">
        <v>484</v>
      </c>
      <c r="C35" s="105">
        <f>SUM(C27:C34)</f>
        <v>46622552.433845326</v>
      </c>
      <c r="D35" s="105">
        <f t="shared" ref="D35:M35" si="4">SUM(D27:D34)</f>
        <v>35959426.774507001</v>
      </c>
      <c r="E35" s="105">
        <f t="shared" si="4"/>
        <v>6482741.4574638382</v>
      </c>
      <c r="F35" s="105">
        <f t="shared" si="4"/>
        <v>1441150.2946631571</v>
      </c>
      <c r="G35" s="105">
        <f t="shared" si="4"/>
        <v>357946.28962967079</v>
      </c>
      <c r="H35" s="105">
        <f t="shared" si="4"/>
        <v>1063698.1522254555</v>
      </c>
      <c r="I35" s="105">
        <f t="shared" si="4"/>
        <v>612321.49548028479</v>
      </c>
      <c r="J35" s="105">
        <f t="shared" si="4"/>
        <v>258601.33130094584</v>
      </c>
      <c r="K35" s="105">
        <f t="shared" si="4"/>
        <v>114531.64954472253</v>
      </c>
      <c r="L35" s="105">
        <f t="shared" si="4"/>
        <v>289360.381915381</v>
      </c>
      <c r="M35" s="105">
        <f t="shared" si="4"/>
        <v>42774.607114872255</v>
      </c>
    </row>
    <row r="36" spans="1:13">
      <c r="A36" s="13">
        <f t="shared" si="0"/>
        <v>29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</row>
    <row r="37" spans="1:13">
      <c r="A37" s="13">
        <f t="shared" si="0"/>
        <v>30</v>
      </c>
      <c r="B37" s="16" t="s">
        <v>485</v>
      </c>
      <c r="C37" s="15">
        <f>SUM(D37:M37)</f>
        <v>21116020.526156716</v>
      </c>
      <c r="D37" s="15">
        <v>15916354.946614595</v>
      </c>
      <c r="E37" s="15">
        <v>2601108.7220496675</v>
      </c>
      <c r="F37" s="15">
        <v>704891.22827975382</v>
      </c>
      <c r="G37" s="15">
        <v>167664.33911926148</v>
      </c>
      <c r="H37" s="15">
        <v>355704.17193014</v>
      </c>
      <c r="I37" s="15">
        <v>196216.92283546404</v>
      </c>
      <c r="J37" s="15">
        <v>79884.345067224407</v>
      </c>
      <c r="K37" s="15">
        <v>34569.577668040765</v>
      </c>
      <c r="L37" s="15">
        <v>1046373.120165369</v>
      </c>
      <c r="M37" s="15">
        <v>13253.152427192312</v>
      </c>
    </row>
    <row r="38" spans="1:13">
      <c r="A38" s="13">
        <f t="shared" si="0"/>
        <v>31</v>
      </c>
      <c r="B38" s="16" t="s">
        <v>486</v>
      </c>
      <c r="C38" s="15">
        <f>SUM(D38:M38)</f>
        <v>62986648.445830807</v>
      </c>
      <c r="D38" s="15">
        <v>46232252.480667651</v>
      </c>
      <c r="E38" s="15">
        <v>7857422.9010251239</v>
      </c>
      <c r="F38" s="15">
        <v>1950329.6617696641</v>
      </c>
      <c r="G38" s="15">
        <v>444013.25116188312</v>
      </c>
      <c r="H38" s="15">
        <v>1383717.7147281072</v>
      </c>
      <c r="I38" s="15">
        <v>626108.26586212998</v>
      </c>
      <c r="J38" s="15">
        <v>275531.02557268593</v>
      </c>
      <c r="K38" s="15">
        <v>119892.57809356671</v>
      </c>
      <c r="L38" s="15">
        <v>4049440.26430347</v>
      </c>
      <c r="M38" s="15">
        <v>47940.302646528682</v>
      </c>
    </row>
    <row r="39" spans="1:13">
      <c r="A39" s="13">
        <f t="shared" si="0"/>
        <v>32</v>
      </c>
      <c r="B39" s="108" t="s">
        <v>487</v>
      </c>
      <c r="C39" s="105">
        <f>+SUM(D39:M39)</f>
        <v>15841741.920838278</v>
      </c>
      <c r="D39" s="105">
        <v>12379734.265795922</v>
      </c>
      <c r="E39" s="105">
        <v>2146036.3735293169</v>
      </c>
      <c r="F39" s="105">
        <v>520862.81681174337</v>
      </c>
      <c r="G39" s="105">
        <v>135164.49775745469</v>
      </c>
      <c r="H39" s="105">
        <v>273400.41475981806</v>
      </c>
      <c r="I39" s="105">
        <v>191896.2680738793</v>
      </c>
      <c r="J39" s="105">
        <v>74975.941244913192</v>
      </c>
      <c r="K39" s="105">
        <v>33024.196331422194</v>
      </c>
      <c r="L39" s="105">
        <v>74770.562328351807</v>
      </c>
      <c r="M39" s="105">
        <v>11876.584205453672</v>
      </c>
    </row>
    <row r="40" spans="1:13">
      <c r="A40" s="13">
        <f t="shared" si="0"/>
        <v>33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</row>
    <row r="41" spans="1:13">
      <c r="A41" s="13">
        <f t="shared" si="0"/>
        <v>34</v>
      </c>
      <c r="B41" s="15" t="s">
        <v>488</v>
      </c>
      <c r="C41" s="15">
        <f>SUM(D41:M41)</f>
        <v>20782757.158163454</v>
      </c>
      <c r="D41" s="15">
        <v>14318340.691547571</v>
      </c>
      <c r="E41" s="15">
        <v>2831088.2874844018</v>
      </c>
      <c r="F41" s="15">
        <v>1298668.2725198218</v>
      </c>
      <c r="G41" s="15">
        <v>270167.06795263832</v>
      </c>
      <c r="H41" s="15">
        <v>443982.22353631584</v>
      </c>
      <c r="I41" s="15">
        <v>93618.509044717677</v>
      </c>
      <c r="J41" s="15">
        <v>15140.429823019071</v>
      </c>
      <c r="K41" s="15">
        <v>7885.6405328224309</v>
      </c>
      <c r="L41" s="15">
        <v>1495730.5090243435</v>
      </c>
      <c r="M41" s="15">
        <v>8135.5266978044292</v>
      </c>
    </row>
    <row r="42" spans="1:13">
      <c r="A42" s="13">
        <f t="shared" si="0"/>
        <v>35</v>
      </c>
      <c r="B42" s="108" t="s">
        <v>489</v>
      </c>
      <c r="C42" s="105">
        <f>SUM(D42:M42)</f>
        <v>19173251.171970025</v>
      </c>
      <c r="D42" s="105">
        <v>14301057.292272357</v>
      </c>
      <c r="E42" s="105">
        <v>2830935.8265979984</v>
      </c>
      <c r="F42" s="105">
        <v>1298668.2725198218</v>
      </c>
      <c r="G42" s="105">
        <v>270167.06795263832</v>
      </c>
      <c r="H42" s="105">
        <v>415766.81000478711</v>
      </c>
      <c r="I42" s="105">
        <v>20160.388696601472</v>
      </c>
      <c r="J42" s="105">
        <v>15140.429823019071</v>
      </c>
      <c r="K42" s="105">
        <v>7885.6405328224309</v>
      </c>
      <c r="L42" s="105">
        <v>5861.7205155083593</v>
      </c>
      <c r="M42" s="105">
        <v>7607.7230544742633</v>
      </c>
    </row>
    <row r="43" spans="1:13">
      <c r="A43" s="13">
        <f t="shared" si="0"/>
        <v>36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</row>
    <row r="44" spans="1:13">
      <c r="A44" s="13">
        <f t="shared" si="0"/>
        <v>37</v>
      </c>
      <c r="B44" s="16" t="s">
        <v>490</v>
      </c>
      <c r="C44" s="15">
        <f>SUM(D44:M44)</f>
        <v>26417029.809049256</v>
      </c>
      <c r="D44" s="15">
        <v>18644282.016123049</v>
      </c>
      <c r="E44" s="15">
        <v>3523250.2035643365</v>
      </c>
      <c r="F44" s="15">
        <v>1516984.2072427028</v>
      </c>
      <c r="G44" s="15">
        <v>322899.53831916238</v>
      </c>
      <c r="H44" s="15">
        <v>511569.01324273727</v>
      </c>
      <c r="I44" s="15">
        <v>139543.20543219266</v>
      </c>
      <c r="J44" s="15">
        <v>31316.829688782076</v>
      </c>
      <c r="K44" s="15">
        <v>14860.711386451956</v>
      </c>
      <c r="L44" s="15">
        <v>1701560.641389746</v>
      </c>
      <c r="M44" s="15">
        <v>10763.442660093144</v>
      </c>
    </row>
    <row r="45" spans="1:13">
      <c r="A45" s="13">
        <f t="shared" si="0"/>
        <v>38</v>
      </c>
      <c r="B45" s="15" t="s">
        <v>491</v>
      </c>
      <c r="C45" s="15">
        <f>SUM(D45:M45)</f>
        <v>4998987.7189556528</v>
      </c>
      <c r="D45" s="15">
        <v>3888259.9321424514</v>
      </c>
      <c r="E45" s="15">
        <v>605621.5347284507</v>
      </c>
      <c r="F45" s="15">
        <v>178618.39224433049</v>
      </c>
      <c r="G45" s="15">
        <v>44474.034487786936</v>
      </c>
      <c r="H45" s="15">
        <v>54015.192131040538</v>
      </c>
      <c r="I45" s="15">
        <v>43062.976564005199</v>
      </c>
      <c r="J45" s="15">
        <v>15713.588947254459</v>
      </c>
      <c r="K45" s="15">
        <v>6734.0235002396539</v>
      </c>
      <c r="L45" s="15">
        <v>160108.81409276309</v>
      </c>
      <c r="M45" s="15">
        <v>2379.2301173309188</v>
      </c>
    </row>
    <row r="46" spans="1:13">
      <c r="A46" s="13">
        <f t="shared" si="0"/>
        <v>39</v>
      </c>
      <c r="B46" s="15" t="s">
        <v>492</v>
      </c>
      <c r="C46" s="15">
        <f>SUM(D46:M46)</f>
        <v>21418042.090093601</v>
      </c>
      <c r="D46" s="15">
        <v>14756022.083980598</v>
      </c>
      <c r="E46" s="15">
        <v>2917628.6688358858</v>
      </c>
      <c r="F46" s="15">
        <v>1338365.8149983725</v>
      </c>
      <c r="G46" s="15">
        <v>278425.50383137545</v>
      </c>
      <c r="H46" s="15">
        <v>457553.82111169677</v>
      </c>
      <c r="I46" s="15">
        <v>96480.228868187463</v>
      </c>
      <c r="J46" s="15">
        <v>15603.240741527618</v>
      </c>
      <c r="K46" s="15">
        <v>8126.6878862123012</v>
      </c>
      <c r="L46" s="15">
        <v>1541451.827296983</v>
      </c>
      <c r="M46" s="15">
        <v>8384.2125427622232</v>
      </c>
    </row>
    <row r="47" spans="1:13">
      <c r="A47" s="13">
        <f t="shared" si="0"/>
        <v>40</v>
      </c>
      <c r="B47" s="108" t="s">
        <v>493</v>
      </c>
      <c r="C47" s="105">
        <f>+SUM(D47:M47)</f>
        <v>4655168.7474690964</v>
      </c>
      <c r="D47" s="105">
        <v>3768375.2260836847</v>
      </c>
      <c r="E47" s="105">
        <v>587626.42358669289</v>
      </c>
      <c r="F47" s="105">
        <v>173320.35553858994</v>
      </c>
      <c r="G47" s="105">
        <v>43154.881044471003</v>
      </c>
      <c r="H47" s="105">
        <v>49052.87006696708</v>
      </c>
      <c r="I47" s="105">
        <v>8998.3860542980747</v>
      </c>
      <c r="J47" s="105">
        <v>15247.504968021271</v>
      </c>
      <c r="K47" s="105">
        <v>6534.2842503600195</v>
      </c>
      <c r="L47" s="105">
        <v>608.85011367951449</v>
      </c>
      <c r="M47" s="105">
        <v>2249.9657623326343</v>
      </c>
    </row>
    <row r="48" spans="1:13">
      <c r="A48" s="13">
        <f t="shared" si="0"/>
        <v>41</v>
      </c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3">
      <c r="A49" s="13">
        <f t="shared" si="0"/>
        <v>42</v>
      </c>
      <c r="B49" s="15" t="s">
        <v>494</v>
      </c>
      <c r="C49" s="15">
        <f>SUM(D49:M49)</f>
        <v>870182406.44814193</v>
      </c>
      <c r="D49" s="15">
        <v>608969698.57442605</v>
      </c>
      <c r="E49" s="15">
        <v>116934806.98509029</v>
      </c>
      <c r="F49" s="15">
        <v>51528630.364391088</v>
      </c>
      <c r="G49" s="15">
        <v>10875416.825325537</v>
      </c>
      <c r="H49" s="15">
        <v>17466286.360958412</v>
      </c>
      <c r="I49" s="15">
        <v>4357149.4679342704</v>
      </c>
      <c r="J49" s="15">
        <v>890893.67980332684</v>
      </c>
      <c r="K49" s="15">
        <v>433139.75559865683</v>
      </c>
      <c r="L49" s="15">
        <v>58376756.624496192</v>
      </c>
      <c r="M49" s="15">
        <v>349627.8101180857</v>
      </c>
    </row>
    <row r="50" spans="1:13">
      <c r="A50" s="13">
        <f t="shared" si="0"/>
        <v>43</v>
      </c>
      <c r="B50" s="16" t="s">
        <v>495</v>
      </c>
      <c r="C50" s="15">
        <f>SUM(D50:M50)</f>
        <v>4241038.6827138737</v>
      </c>
      <c r="D50" s="15">
        <v>2954771.6208918174</v>
      </c>
      <c r="E50" s="15">
        <v>572146.14772874012</v>
      </c>
      <c r="F50" s="15">
        <v>255107.36900392422</v>
      </c>
      <c r="G50" s="15">
        <v>53612.744490938392</v>
      </c>
      <c r="H50" s="15">
        <v>86692.731107850486</v>
      </c>
      <c r="I50" s="15">
        <v>20625.750081443646</v>
      </c>
      <c r="J50" s="15">
        <v>3983.6397480386859</v>
      </c>
      <c r="K50" s="15">
        <v>1967.4190377408349</v>
      </c>
      <c r="L50" s="15">
        <v>290439.80427554518</v>
      </c>
      <c r="M50" s="15">
        <v>1691.4563478353064</v>
      </c>
    </row>
    <row r="51" spans="1:13">
      <c r="A51" s="13">
        <f t="shared" si="0"/>
        <v>44</v>
      </c>
      <c r="B51" s="108" t="s">
        <v>496</v>
      </c>
      <c r="C51" s="105">
        <f>+SUM(D51:M51)</f>
        <v>2314711.1944022207</v>
      </c>
      <c r="D51" s="105">
        <v>1692877.9876642262</v>
      </c>
      <c r="E51" s="105">
        <v>364180.51416542003</v>
      </c>
      <c r="F51" s="105">
        <v>165848.5649057648</v>
      </c>
      <c r="G51" s="105">
        <v>34590.031958521315</v>
      </c>
      <c r="H51" s="105">
        <v>53278.065612574923</v>
      </c>
      <c r="I51" s="105">
        <v>-1546.5847402709221</v>
      </c>
      <c r="J51" s="105">
        <v>2484.3989645079018</v>
      </c>
      <c r="K51" s="105">
        <v>1242.4941023904757</v>
      </c>
      <c r="L51" s="105">
        <v>734.03839544290452</v>
      </c>
      <c r="M51" s="105">
        <v>1021.6833736423924</v>
      </c>
    </row>
    <row r="52" spans="1:13">
      <c r="A52" s="13">
        <f t="shared" si="0"/>
        <v>45</v>
      </c>
      <c r="B52" s="16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3">
      <c r="A53" s="13">
        <f t="shared" si="0"/>
        <v>46</v>
      </c>
      <c r="B53" s="36" t="s">
        <v>497</v>
      </c>
      <c r="C53" s="36">
        <f>SUM(C51,C47,C42,C39,C35)</f>
        <v>88607425.468524948</v>
      </c>
      <c r="D53" s="36">
        <f t="shared" ref="D53:M53" si="5">SUM(D51,D47,D42,D39,D35)</f>
        <v>68101471.546323195</v>
      </c>
      <c r="E53" s="36">
        <f t="shared" si="5"/>
        <v>12411520.595343266</v>
      </c>
      <c r="F53" s="36">
        <f t="shared" si="5"/>
        <v>3599850.3044390772</v>
      </c>
      <c r="G53" s="36">
        <f t="shared" si="5"/>
        <v>841022.7683427562</v>
      </c>
      <c r="H53" s="36">
        <f t="shared" si="5"/>
        <v>1855196.3126696027</v>
      </c>
      <c r="I53" s="36">
        <f t="shared" si="5"/>
        <v>831829.95356479276</v>
      </c>
      <c r="J53" s="36">
        <f t="shared" si="5"/>
        <v>366449.60630140727</v>
      </c>
      <c r="K53" s="36">
        <f t="shared" si="5"/>
        <v>163218.26476171764</v>
      </c>
      <c r="L53" s="36">
        <f t="shared" si="5"/>
        <v>371335.55326836358</v>
      </c>
      <c r="M53" s="36">
        <f t="shared" si="5"/>
        <v>65530.563510775217</v>
      </c>
    </row>
    <row r="54" spans="1:13">
      <c r="A54" s="13">
        <f t="shared" si="0"/>
        <v>47</v>
      </c>
      <c r="B54" s="16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3">
      <c r="A55" s="13">
        <f t="shared" si="0"/>
        <v>48</v>
      </c>
      <c r="B55" s="34" t="s">
        <v>498</v>
      </c>
      <c r="C55" s="104">
        <f>SUM(D55:M55)</f>
        <v>12942060</v>
      </c>
      <c r="D55" s="104">
        <v>11433636</v>
      </c>
      <c r="E55" s="104">
        <v>1351380</v>
      </c>
      <c r="F55" s="104">
        <v>97272</v>
      </c>
      <c r="G55" s="104">
        <v>10104</v>
      </c>
      <c r="H55" s="104">
        <v>7968</v>
      </c>
      <c r="I55" s="104">
        <v>1164</v>
      </c>
      <c r="J55" s="104">
        <v>276</v>
      </c>
      <c r="K55" s="104">
        <v>204</v>
      </c>
      <c r="L55" s="104">
        <v>39912</v>
      </c>
      <c r="M55" s="104">
        <v>144</v>
      </c>
    </row>
    <row r="56" spans="1:13">
      <c r="A56" s="13">
        <f t="shared" si="0"/>
        <v>49</v>
      </c>
      <c r="B56" s="34" t="s">
        <v>499</v>
      </c>
      <c r="C56" s="28">
        <v>7.2859999999999994E-2</v>
      </c>
      <c r="D56" s="28">
        <v>7.2859999999999994E-2</v>
      </c>
      <c r="E56" s="28">
        <v>7.2859999999999994E-2</v>
      </c>
      <c r="F56" s="28">
        <v>7.2859999999999994E-2</v>
      </c>
      <c r="G56" s="28">
        <v>7.2859999999999994E-2</v>
      </c>
      <c r="H56" s="28">
        <v>7.2859999999999994E-2</v>
      </c>
      <c r="I56" s="28">
        <v>7.2859999999999994E-2</v>
      </c>
      <c r="J56" s="28">
        <v>7.2859999999999994E-2</v>
      </c>
      <c r="K56" s="28">
        <v>7.2859999999999994E-2</v>
      </c>
      <c r="L56" s="28">
        <v>7.2859999999999994E-2</v>
      </c>
      <c r="M56" s="28">
        <v>7.2859999999999994E-2</v>
      </c>
    </row>
    <row r="57" spans="1:13">
      <c r="A57" s="13">
        <f t="shared" si="0"/>
        <v>50</v>
      </c>
      <c r="B57" s="34" t="s">
        <v>500</v>
      </c>
      <c r="C57" s="28">
        <v>0.620749</v>
      </c>
      <c r="D57" s="28">
        <v>0.620749</v>
      </c>
      <c r="E57" s="28">
        <v>0.620749</v>
      </c>
      <c r="F57" s="28">
        <v>0.620749</v>
      </c>
      <c r="G57" s="28">
        <v>0.620749</v>
      </c>
      <c r="H57" s="28">
        <v>0.620749</v>
      </c>
      <c r="I57" s="28">
        <v>0.620749</v>
      </c>
      <c r="J57" s="28">
        <v>0.620749</v>
      </c>
      <c r="K57" s="28">
        <v>0.620749</v>
      </c>
      <c r="L57" s="28">
        <v>0.620749</v>
      </c>
      <c r="M57" s="28">
        <v>0.620749</v>
      </c>
    </row>
    <row r="58" spans="1:13">
      <c r="A58" s="13">
        <f t="shared" si="0"/>
        <v>51</v>
      </c>
      <c r="B58" s="34" t="s">
        <v>501</v>
      </c>
      <c r="C58" s="28">
        <v>0.65</v>
      </c>
      <c r="D58" s="28">
        <v>0.65</v>
      </c>
      <c r="E58" s="28">
        <v>0.65</v>
      </c>
      <c r="F58" s="28">
        <v>0.65</v>
      </c>
      <c r="G58" s="28">
        <v>0.65</v>
      </c>
      <c r="H58" s="28">
        <v>0.65</v>
      </c>
      <c r="I58" s="28">
        <v>0.65</v>
      </c>
      <c r="J58" s="28">
        <v>0.65</v>
      </c>
      <c r="K58" s="28">
        <v>0.65</v>
      </c>
      <c r="L58" s="28">
        <v>0.65</v>
      </c>
      <c r="M58" s="28">
        <v>0.65</v>
      </c>
    </row>
    <row r="59" spans="1:13">
      <c r="A59" s="13">
        <f t="shared" si="0"/>
        <v>52</v>
      </c>
      <c r="B59" s="34"/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</row>
    <row r="60" spans="1:13">
      <c r="A60" s="13">
        <f t="shared" si="0"/>
        <v>53</v>
      </c>
      <c r="B60" s="107" t="s">
        <v>502</v>
      </c>
      <c r="C60" s="110">
        <f>+(C24*C56)/C57/C55</f>
        <v>4.3118636268340023</v>
      </c>
      <c r="D60" s="110">
        <f>+($D$24*$D$56)/$D$57/$D$55</f>
        <v>3.5816751886171163</v>
      </c>
      <c r="E60" s="110">
        <f t="shared" ref="E60:M60" si="6">+(E24*E56)/E57/E55</f>
        <v>6.4647119815544052</v>
      </c>
      <c r="F60" s="110">
        <f t="shared" si="6"/>
        <v>40.422447533311072</v>
      </c>
      <c r="G60" s="110">
        <f t="shared" si="6"/>
        <v>81.509576286565377</v>
      </c>
      <c r="H60" s="110">
        <f t="shared" si="6"/>
        <v>158.11835852843964</v>
      </c>
      <c r="I60" s="110">
        <f t="shared" si="6"/>
        <v>-32.944778037527755</v>
      </c>
      <c r="J60" s="110">
        <f t="shared" si="6"/>
        <v>236.2823147201307</v>
      </c>
      <c r="K60" s="110">
        <f t="shared" si="6"/>
        <v>157.38099722014849</v>
      </c>
      <c r="L60" s="110">
        <f t="shared" si="6"/>
        <v>0.43388261738718803</v>
      </c>
      <c r="M60" s="110">
        <f t="shared" si="6"/>
        <v>172.38691730117205</v>
      </c>
    </row>
    <row r="61" spans="1:13">
      <c r="A61" s="13">
        <f t="shared" si="0"/>
        <v>54</v>
      </c>
      <c r="B61" s="107" t="s">
        <v>503</v>
      </c>
      <c r="C61" s="110">
        <f>+C53*C58/C57/C55</f>
        <v>7.1690900782810596</v>
      </c>
      <c r="D61" s="110">
        <f t="shared" ref="D61:M61" si="7">+D53*D58/D57/D55</f>
        <v>6.2369097886117224</v>
      </c>
      <c r="E61" s="110">
        <f t="shared" si="7"/>
        <v>9.6171155270252058</v>
      </c>
      <c r="F61" s="110">
        <f t="shared" si="7"/>
        <v>38.751982390001679</v>
      </c>
      <c r="G61" s="110">
        <f t="shared" si="7"/>
        <v>87.158900647335173</v>
      </c>
      <c r="H61" s="110">
        <f t="shared" si="7"/>
        <v>243.80234305168946</v>
      </c>
      <c r="I61" s="110">
        <f t="shared" si="7"/>
        <v>748.30544035475316</v>
      </c>
      <c r="J61" s="110">
        <f t="shared" si="7"/>
        <v>1390.2807369147777</v>
      </c>
      <c r="K61" s="110">
        <f>+K53*K58/K57/K55</f>
        <v>837.79143670741087</v>
      </c>
      <c r="L61" s="110">
        <f t="shared" si="7"/>
        <v>9.7422746658881039</v>
      </c>
      <c r="M61" s="110">
        <f t="shared" si="7"/>
        <v>476.51737258363039</v>
      </c>
    </row>
    <row r="62" spans="1:13" ht="15.75" thickBot="1">
      <c r="A62" s="13">
        <f t="shared" si="0"/>
        <v>55</v>
      </c>
      <c r="B62" s="111" t="s">
        <v>504</v>
      </c>
      <c r="C62" s="112">
        <f>SUM(C60:C61)</f>
        <v>11.480953705115063</v>
      </c>
      <c r="D62" s="112">
        <f t="shared" ref="D62:M62" si="8">SUM(D60:D61)</f>
        <v>9.8185849772288378</v>
      </c>
      <c r="E62" s="112">
        <f t="shared" si="8"/>
        <v>16.081827508579611</v>
      </c>
      <c r="F62" s="112">
        <f t="shared" si="8"/>
        <v>79.174429923312744</v>
      </c>
      <c r="G62" s="112">
        <f t="shared" si="8"/>
        <v>168.66847693390054</v>
      </c>
      <c r="H62" s="112">
        <f t="shared" si="8"/>
        <v>401.9207015801291</v>
      </c>
      <c r="I62" s="112">
        <f t="shared" si="8"/>
        <v>715.36066231722543</v>
      </c>
      <c r="J62" s="112">
        <f t="shared" si="8"/>
        <v>1626.5630516349083</v>
      </c>
      <c r="K62" s="112">
        <f t="shared" si="8"/>
        <v>995.17243392755938</v>
      </c>
      <c r="L62" s="112">
        <f t="shared" si="8"/>
        <v>10.176157283275291</v>
      </c>
      <c r="M62" s="112">
        <f t="shared" si="8"/>
        <v>648.90428988480244</v>
      </c>
    </row>
    <row r="63" spans="1:13" ht="15.75" thickTop="1"/>
  </sheetData>
  <printOptions horizontalCentered="1"/>
  <pageMargins left="0.5" right="0.5" top="0.75" bottom="0.75" header="0.3" footer="0.3"/>
  <pageSetup scale="53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36"/>
  <sheetViews>
    <sheetView showGridLines="0" tabSelected="1" zoomScaleNormal="100" workbookViewId="0">
      <selection sqref="A1:E1"/>
    </sheetView>
  </sheetViews>
  <sheetFormatPr defaultRowHeight="15"/>
  <cols>
    <col min="1" max="1" width="5" bestFit="1" customWidth="1"/>
    <col min="2" max="2" width="43.28515625" customWidth="1"/>
    <col min="3" max="5" width="16.42578125" customWidth="1"/>
  </cols>
  <sheetData>
    <row r="1" spans="1:15" s="23" customFormat="1" ht="15.75">
      <c r="A1" s="163" t="s">
        <v>0</v>
      </c>
      <c r="B1" s="163"/>
      <c r="C1" s="163"/>
      <c r="D1" s="163"/>
      <c r="E1" s="16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s="23" customFormat="1" ht="15.75">
      <c r="A2" s="163" t="s">
        <v>557</v>
      </c>
      <c r="B2" s="163"/>
      <c r="C2" s="163"/>
      <c r="D2" s="163"/>
      <c r="E2" s="16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s="23" customFormat="1" ht="15.75">
      <c r="A3" s="163" t="s">
        <v>561</v>
      </c>
      <c r="B3" s="163"/>
      <c r="C3" s="163"/>
      <c r="D3" s="163"/>
      <c r="E3" s="16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s="9" customFormat="1" ht="15.75">
      <c r="A4" s="164" t="s">
        <v>2</v>
      </c>
      <c r="B4" s="163"/>
      <c r="C4" s="163"/>
      <c r="D4" s="163"/>
      <c r="E4" s="16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s="9" customFormat="1" ht="15.75">
      <c r="A5" s="113"/>
      <c r="B5" s="113"/>
      <c r="C5" s="113"/>
      <c r="D5" s="113"/>
      <c r="E5" s="11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5">
      <c r="A6" s="2"/>
      <c r="B6" s="2"/>
      <c r="C6" s="2"/>
      <c r="D6" s="2"/>
      <c r="E6" s="2"/>
    </row>
    <row r="7" spans="1:15">
      <c r="A7" s="2"/>
      <c r="B7" s="1"/>
      <c r="C7" s="160"/>
      <c r="D7" s="160"/>
      <c r="E7" s="160"/>
    </row>
    <row r="8" spans="1:15" ht="15" customHeight="1">
      <c r="A8" s="114" t="s">
        <v>505</v>
      </c>
      <c r="B8" s="115"/>
      <c r="C8" s="115"/>
      <c r="D8" s="161" t="s">
        <v>506</v>
      </c>
      <c r="E8" s="162"/>
    </row>
    <row r="9" spans="1:15">
      <c r="A9" s="116" t="s">
        <v>507</v>
      </c>
      <c r="B9" s="117" t="s">
        <v>102</v>
      </c>
      <c r="C9" s="118" t="s">
        <v>79</v>
      </c>
      <c r="D9" s="119" t="s">
        <v>508</v>
      </c>
      <c r="E9" s="119" t="s">
        <v>509</v>
      </c>
    </row>
    <row r="10" spans="1:15">
      <c r="A10" s="120"/>
      <c r="B10" s="10" t="s">
        <v>16</v>
      </c>
      <c r="C10" s="10" t="s">
        <v>17</v>
      </c>
      <c r="D10" s="10" t="s">
        <v>18</v>
      </c>
      <c r="E10" s="10" t="s">
        <v>19</v>
      </c>
    </row>
    <row r="11" spans="1:15">
      <c r="A11" s="13">
        <v>1</v>
      </c>
      <c r="B11" s="121" t="s">
        <v>510</v>
      </c>
      <c r="C11" s="53"/>
      <c r="D11" s="53"/>
      <c r="E11" s="53"/>
    </row>
    <row r="12" spans="1:15">
      <c r="A12" s="13">
        <f t="shared" ref="A12:A35" si="0">+A11+1</f>
        <v>2</v>
      </c>
      <c r="B12" s="59" t="s">
        <v>511</v>
      </c>
      <c r="C12" s="122">
        <f>SUM('JAP-4, p12-14 Ratebase Detail'!E57)</f>
        <v>3456399345</v>
      </c>
      <c r="D12" s="28">
        <f>+E12/$C12</f>
        <v>0.35539357649079756</v>
      </c>
      <c r="E12" s="122">
        <f>SUM('JAP-4, p12-14 Ratebase Detail'!E43:E47)</f>
        <v>1228382125</v>
      </c>
    </row>
    <row r="13" spans="1:15">
      <c r="A13" s="13">
        <f t="shared" si="0"/>
        <v>3</v>
      </c>
      <c r="B13" s="61" t="s">
        <v>512</v>
      </c>
      <c r="C13" s="122">
        <f>SUM('JAP-4, p12-14 Ratebase Detail'!E119)</f>
        <v>-1214971005.33125</v>
      </c>
      <c r="D13" s="28">
        <f>+E13/$C13</f>
        <v>0.35046423368363322</v>
      </c>
      <c r="E13" s="122">
        <f>SUM('JAP-4, p12-14 Ratebase Detail'!E108:E112)</f>
        <v>-425803882.33124995</v>
      </c>
    </row>
    <row r="14" spans="1:15">
      <c r="A14" s="13">
        <f t="shared" si="0"/>
        <v>4</v>
      </c>
      <c r="B14" s="59" t="s">
        <v>513</v>
      </c>
      <c r="C14" s="122">
        <f>+C16-C12-C13</f>
        <v>-151719726.37914658</v>
      </c>
      <c r="D14" s="28">
        <f>SUM(E12:E13)/SUM(C12:C13)</f>
        <v>0.35806553725797868</v>
      </c>
      <c r="E14" s="122">
        <f>+C14*D14</f>
        <v>-54325605.338582642</v>
      </c>
    </row>
    <row r="15" spans="1:15">
      <c r="A15" s="13">
        <f t="shared" si="0"/>
        <v>5</v>
      </c>
      <c r="B15" s="59" t="s">
        <v>514</v>
      </c>
      <c r="C15" s="122">
        <v>0</v>
      </c>
      <c r="D15" s="28">
        <f>+D14</f>
        <v>0.35806553725797868</v>
      </c>
      <c r="E15" s="122">
        <f>+C15*D15</f>
        <v>0</v>
      </c>
    </row>
    <row r="16" spans="1:15">
      <c r="A16" s="13">
        <f t="shared" si="0"/>
        <v>6</v>
      </c>
      <c r="B16" s="123" t="s">
        <v>515</v>
      </c>
      <c r="C16" s="122">
        <f>+'JAP-4, p1-4 ECOS Summary'!D93</f>
        <v>2089708613.2896035</v>
      </c>
      <c r="D16" s="28"/>
      <c r="E16" s="122">
        <f>SUM(E12:E15)</f>
        <v>748252637.33016741</v>
      </c>
    </row>
    <row r="17" spans="1:5">
      <c r="A17" s="13">
        <f t="shared" si="0"/>
        <v>7</v>
      </c>
      <c r="B17" s="9"/>
      <c r="C17" s="41"/>
      <c r="D17" s="42"/>
      <c r="E17" s="42"/>
    </row>
    <row r="18" spans="1:5">
      <c r="A18" s="13">
        <f t="shared" si="0"/>
        <v>8</v>
      </c>
      <c r="B18" s="9" t="s">
        <v>516</v>
      </c>
      <c r="C18" s="28">
        <v>8.4199999999999997E-2</v>
      </c>
      <c r="D18" s="28"/>
      <c r="E18" s="28">
        <f>+C18</f>
        <v>8.4199999999999997E-2</v>
      </c>
    </row>
    <row r="19" spans="1:5">
      <c r="A19" s="71">
        <f t="shared" si="0"/>
        <v>9</v>
      </c>
      <c r="B19" s="124" t="s">
        <v>517</v>
      </c>
      <c r="C19" s="62">
        <f>+C18*C16</f>
        <v>175953465.23898461</v>
      </c>
      <c r="D19" s="125"/>
      <c r="E19" s="62">
        <f>+E18*E16</f>
        <v>63002872.063200094</v>
      </c>
    </row>
    <row r="20" spans="1:5">
      <c r="A20" s="13">
        <f t="shared" si="0"/>
        <v>10</v>
      </c>
      <c r="B20" s="9"/>
      <c r="C20" s="9"/>
      <c r="D20" s="9"/>
      <c r="E20" s="9"/>
    </row>
    <row r="21" spans="1:5">
      <c r="A21" s="13">
        <f t="shared" si="0"/>
        <v>11</v>
      </c>
      <c r="B21" s="9" t="s">
        <v>518</v>
      </c>
      <c r="C21" s="9"/>
      <c r="D21" s="9"/>
      <c r="E21" s="60"/>
    </row>
    <row r="22" spans="1:5">
      <c r="A22" s="13">
        <f t="shared" si="0"/>
        <v>12</v>
      </c>
      <c r="B22" s="61" t="s">
        <v>519</v>
      </c>
      <c r="C22" s="60">
        <v>398169632.82010341</v>
      </c>
      <c r="D22" s="9"/>
      <c r="E22" s="60"/>
    </row>
    <row r="23" spans="1:5">
      <c r="A23" s="13">
        <f t="shared" si="0"/>
        <v>13</v>
      </c>
      <c r="B23" s="123" t="s">
        <v>520</v>
      </c>
      <c r="C23" s="60"/>
      <c r="D23" s="9"/>
      <c r="E23" s="60"/>
    </row>
    <row r="24" spans="1:5">
      <c r="A24" s="13">
        <f t="shared" si="0"/>
        <v>14</v>
      </c>
      <c r="B24" s="126" t="s">
        <v>521</v>
      </c>
      <c r="C24" s="60">
        <v>-94050635.000000015</v>
      </c>
      <c r="D24" s="9"/>
      <c r="E24" s="60"/>
    </row>
    <row r="25" spans="1:5">
      <c r="A25" s="13">
        <f t="shared" si="0"/>
        <v>15</v>
      </c>
      <c r="B25" s="126" t="s">
        <v>522</v>
      </c>
      <c r="C25" s="60">
        <v>-18353105.286758244</v>
      </c>
      <c r="D25" s="9"/>
      <c r="E25" s="60"/>
    </row>
    <row r="26" spans="1:5">
      <c r="A26" s="13">
        <f t="shared" si="0"/>
        <v>16</v>
      </c>
      <c r="B26" s="126" t="s">
        <v>85</v>
      </c>
      <c r="C26" s="60">
        <v>-38484659.264126733</v>
      </c>
      <c r="D26" s="9"/>
      <c r="E26" s="60"/>
    </row>
    <row r="27" spans="1:5">
      <c r="A27" s="13">
        <f t="shared" si="0"/>
        <v>17</v>
      </c>
      <c r="B27" s="127" t="s">
        <v>523</v>
      </c>
      <c r="C27" s="60">
        <f>SUM(C22:C26)</f>
        <v>247281233.26921844</v>
      </c>
      <c r="D27" s="9"/>
      <c r="E27" s="60"/>
    </row>
    <row r="28" spans="1:5">
      <c r="A28" s="13">
        <f t="shared" si="0"/>
        <v>18</v>
      </c>
      <c r="B28" s="61"/>
      <c r="C28" s="60"/>
      <c r="D28" s="9"/>
      <c r="E28" s="60"/>
    </row>
    <row r="29" spans="1:5">
      <c r="A29" s="13">
        <f t="shared" si="0"/>
        <v>19</v>
      </c>
      <c r="B29" s="128" t="s">
        <v>524</v>
      </c>
      <c r="C29" s="60">
        <f>SUM('JAP-4, p9-11 Expense Detail'!E87:E92,'JAP-4, p9-11 Expense Detail'!E40:E49)</f>
        <v>81926022</v>
      </c>
      <c r="D29" s="28">
        <f>+E29/$C29</f>
        <v>0.17809038744734854</v>
      </c>
      <c r="E29" s="60">
        <f>SUM('JAP-4, p9-11 Expense Detail'!E43,'JAP-4, p9-11 Expense Detail'!E89)</f>
        <v>14590237</v>
      </c>
    </row>
    <row r="30" spans="1:5">
      <c r="A30" s="13">
        <f t="shared" si="0"/>
        <v>20</v>
      </c>
      <c r="B30" s="128" t="s">
        <v>525</v>
      </c>
      <c r="C30" s="60">
        <f>+C31-C29</f>
        <v>83429189.269218445</v>
      </c>
      <c r="D30" s="129">
        <f>+D29</f>
        <v>0.17809038744734854</v>
      </c>
      <c r="E30" s="122">
        <f>+C30*D30</f>
        <v>14857936.641373286</v>
      </c>
    </row>
    <row r="31" spans="1:5">
      <c r="A31" s="71">
        <f t="shared" si="0"/>
        <v>21</v>
      </c>
      <c r="B31" s="124" t="s">
        <v>519</v>
      </c>
      <c r="C31" s="62">
        <f>+C27-C29</f>
        <v>165355211.26921844</v>
      </c>
      <c r="D31" s="125"/>
      <c r="E31" s="62">
        <f>SUM(E29:E30)</f>
        <v>29448173.641373284</v>
      </c>
    </row>
    <row r="32" spans="1:5">
      <c r="A32" s="13">
        <f t="shared" si="0"/>
        <v>22</v>
      </c>
      <c r="B32" s="9"/>
      <c r="C32" s="60"/>
      <c r="D32" s="9"/>
      <c r="E32" s="60"/>
    </row>
    <row r="33" spans="1:5">
      <c r="A33" s="71">
        <f t="shared" si="0"/>
        <v>23</v>
      </c>
      <c r="B33" s="38" t="s">
        <v>526</v>
      </c>
      <c r="C33" s="62">
        <f>+C31+C19</f>
        <v>341308676.50820303</v>
      </c>
      <c r="D33" s="38"/>
      <c r="E33" s="62">
        <f>+E31+E19</f>
        <v>92451045.704573378</v>
      </c>
    </row>
    <row r="34" spans="1:5">
      <c r="A34" s="13">
        <f t="shared" si="0"/>
        <v>24</v>
      </c>
      <c r="B34" s="9"/>
      <c r="C34" s="9"/>
      <c r="D34" s="9"/>
      <c r="E34" s="9"/>
    </row>
    <row r="35" spans="1:5" ht="15.75" thickBot="1">
      <c r="A35" s="93">
        <f t="shared" si="0"/>
        <v>25</v>
      </c>
      <c r="B35" s="130" t="s">
        <v>527</v>
      </c>
      <c r="C35" s="25">
        <f>+C31/SUM(C16)</f>
        <v>7.9128358000552776E-2</v>
      </c>
      <c r="D35" s="103"/>
      <c r="E35" s="25">
        <f>ROUND(+E31/SUM(E16),4)</f>
        <v>3.9399999999999998E-2</v>
      </c>
    </row>
    <row r="36" spans="1:5" ht="15.75" thickTop="1"/>
  </sheetData>
  <mergeCells count="6">
    <mergeCell ref="C7:E7"/>
    <mergeCell ref="D8:E8"/>
    <mergeCell ref="A1:E1"/>
    <mergeCell ref="A2:E2"/>
    <mergeCell ref="A3:E3"/>
    <mergeCell ref="A4:E4"/>
  </mergeCells>
  <printOptions horizontalCentered="1"/>
  <pageMargins left="0.5" right="0.5" top="0.75" bottom="0.75" header="0.3" footer="0.3"/>
  <pageSetup scale="53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2011-06-13T07:00:00+00:00</OpenedDate>
    <Date1 xmlns="dc463f71-b30c-4ab2-9473-d307f9d35888">2011-06-13T07:00:00+00:00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3E78AF9F698B741A0260830D6A20E73" ma:contentTypeVersion="143" ma:contentTypeDescription="" ma:contentTypeScope="" ma:versionID="75c6594ee948b4a8cc019851416a83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BA0BC0F-BA39-45CA-A2D7-59870994C945}"/>
</file>

<file path=customXml/itemProps2.xml><?xml version="1.0" encoding="utf-8"?>
<ds:datastoreItem xmlns:ds="http://schemas.openxmlformats.org/officeDocument/2006/customXml" ds:itemID="{92C54183-8FCC-4E24-8969-2965EC8A383B}"/>
</file>

<file path=customXml/itemProps3.xml><?xml version="1.0" encoding="utf-8"?>
<ds:datastoreItem xmlns:ds="http://schemas.openxmlformats.org/officeDocument/2006/customXml" ds:itemID="{06B91484-710B-4C89-B7FC-4038A4CAD987}"/>
</file>

<file path=customXml/itemProps4.xml><?xml version="1.0" encoding="utf-8"?>
<ds:datastoreItem xmlns:ds="http://schemas.openxmlformats.org/officeDocument/2006/customXml" ds:itemID="{59A5DC11-0077-4CDF-90D9-98DB7B2858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JAP-4, p1-4 ECOS Summary</vt:lpstr>
      <vt:lpstr>JAP-4, p5 Energy Cost Summary</vt:lpstr>
      <vt:lpstr>JAP-4, p6 Demand Cost Summary</vt:lpstr>
      <vt:lpstr>JAP-4, p7 Customer Cost Summary</vt:lpstr>
      <vt:lpstr>JAP-4, p8 Revenue Detail</vt:lpstr>
      <vt:lpstr>JAP-4, p9-11 Expense Detail</vt:lpstr>
      <vt:lpstr>JAP-4, p12-14 Ratebase Detail</vt:lpstr>
      <vt:lpstr>JAP-4, p15 Basic Charge Detail</vt:lpstr>
      <vt:lpstr>JAP-4, p16 Sch 40 Feeder Detail</vt:lpstr>
      <vt:lpstr>JAP-4, p17 Sch 40 Sub OM Detail</vt:lpstr>
      <vt:lpstr>JAP-4, p18 Sch 40 Sub AG Detail</vt:lpstr>
      <vt:lpstr>'JAP-4, p12-14 Ratebase Detail'!Print_Area</vt:lpstr>
      <vt:lpstr>'JAP-4, p1-4 ECOS Summary'!Print_Area</vt:lpstr>
      <vt:lpstr>'JAP-4, p15 Basic Charge Detail'!Print_Area</vt:lpstr>
      <vt:lpstr>'JAP-4, p16 Sch 40 Feeder Detail'!Print_Area</vt:lpstr>
      <vt:lpstr>'JAP-4, p17 Sch 40 Sub OM Detail'!Print_Area</vt:lpstr>
      <vt:lpstr>'JAP-4, p18 Sch 40 Sub AG Detail'!Print_Area</vt:lpstr>
      <vt:lpstr>'JAP-4, p5 Energy Cost Summary'!Print_Area</vt:lpstr>
      <vt:lpstr>'JAP-4, p6 Demand Cost Summary'!Print_Area</vt:lpstr>
      <vt:lpstr>'JAP-4, p7 Customer Cost Summary'!Print_Area</vt:lpstr>
      <vt:lpstr>'JAP-4, p8 Revenue Detail'!Print_Area</vt:lpstr>
      <vt:lpstr>'JAP-4, p9-11 Expense Detail'!Print_Area</vt:lpstr>
      <vt:lpstr>'JAP-4, p12-14 Ratebase Detail'!Print_Titles</vt:lpstr>
      <vt:lpstr>'JAP-4, p9-11 Expense Detail'!Print_Titles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No Name</cp:lastModifiedBy>
  <cp:lastPrinted>2011-05-25T23:22:54Z</cp:lastPrinted>
  <dcterms:created xsi:type="dcterms:W3CDTF">2011-05-23T19:09:10Z</dcterms:created>
  <dcterms:modified xsi:type="dcterms:W3CDTF">2011-05-25T23:24:12Z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0x0101006E56B4D1795A2E4DB2F0B01679ED314A0053E78AF9F698B741A0260830D6A20E73</vt:lpwstr>
  </property>
  <property fmtid="{D5CDD505-2E9C-101B-9397-08002B2CF9AE}" pid="3" name="_docset_NoMedatataSyncRequired">
    <vt:lpwstr>False</vt:lpwstr>
  </property>
</Properties>
</file>