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3740" tabRatio="859"/>
  </bookViews>
  <sheets>
    <sheet name="Table for Testimony" sheetId="9" r:id="rId1"/>
    <sheet name="Change in Rate Base" sheetId="10" r:id="rId2"/>
    <sheet name="Depreciation" sheetId="11" r:id="rId3"/>
    <sheet name="Deferral Amortization" sheetId="12" r:id="rId4"/>
    <sheet name="Summary" sheetId="13" r:id="rId5"/>
    <sheet name="Amort of Gain Loss" sheetId="14" r:id="rId6"/>
    <sheet name="Causes Detail" sheetId="3" r:id="rId7"/>
    <sheet name="Rev Reqs" sheetId="4" r:id="rId8"/>
    <sheet name="Changes" sheetId="5" r:id="rId9"/>
    <sheet name="Links to Models" sheetId="1" r:id="rId10"/>
    <sheet name="P&amp;L Summary" sheetId="2" r:id="rId11"/>
    <sheet name="Other Schedules" sheetId="6" r:id="rId12"/>
    <sheet name="Remove PGA" sheetId="7" r:id="rId13"/>
    <sheet name="2017-Gas-GRC" sheetId="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'Amort of Gain Loss'!$B$4:$F$54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calcMode="autoNoTable"/>
</workbook>
</file>

<file path=xl/calcChain.xml><?xml version="1.0" encoding="utf-8"?>
<calcChain xmlns="http://schemas.openxmlformats.org/spreadsheetml/2006/main">
  <c r="C9" i="9" l="1"/>
  <c r="D9" i="9"/>
  <c r="C22" i="3"/>
  <c r="F22" i="3"/>
  <c r="B10" i="6" l="1"/>
  <c r="B9" i="6"/>
  <c r="B7" i="6"/>
  <c r="C8" i="6" l="1"/>
  <c r="C9" i="6" l="1"/>
  <c r="C10" i="6"/>
  <c r="C6" i="7" l="1"/>
  <c r="C4" i="7"/>
  <c r="D6" i="9" l="1"/>
  <c r="C6" i="9"/>
  <c r="E6" i="9" s="1"/>
  <c r="H12" i="12" l="1"/>
  <c r="H11" i="12"/>
  <c r="H10" i="12"/>
  <c r="D11" i="12"/>
  <c r="D10" i="12"/>
  <c r="B20" i="10"/>
  <c r="B19" i="10"/>
  <c r="B18" i="10"/>
  <c r="B17" i="10"/>
  <c r="B16" i="10"/>
  <c r="F6" i="11"/>
  <c r="F5" i="11"/>
  <c r="B12" i="13"/>
  <c r="B11" i="13"/>
  <c r="N51" i="1" l="1"/>
  <c r="N50" i="1"/>
  <c r="N49" i="1"/>
  <c r="N48" i="1"/>
  <c r="N47" i="1"/>
  <c r="F51" i="1"/>
  <c r="F50" i="1"/>
  <c r="F49" i="1"/>
  <c r="F48" i="1"/>
  <c r="F47" i="1"/>
  <c r="N37" i="1"/>
  <c r="N34" i="1"/>
  <c r="N33" i="1"/>
  <c r="N32" i="1"/>
  <c r="N31" i="1"/>
  <c r="N30" i="1"/>
  <c r="N28" i="1"/>
  <c r="N27" i="1"/>
  <c r="N25" i="1"/>
  <c r="N24" i="1"/>
  <c r="N23" i="1"/>
  <c r="F37" i="1"/>
  <c r="F34" i="1"/>
  <c r="F33" i="1"/>
  <c r="F32" i="1"/>
  <c r="F31" i="1"/>
  <c r="F30" i="1"/>
  <c r="F28" i="1"/>
  <c r="F27" i="1"/>
  <c r="F25" i="1"/>
  <c r="F24" i="1"/>
  <c r="F23" i="1"/>
  <c r="B9" i="7"/>
  <c r="B8" i="7"/>
  <c r="B7" i="7"/>
  <c r="J21" i="2"/>
  <c r="B21" i="2"/>
  <c r="B69" i="14" l="1"/>
  <c r="I69" i="14"/>
  <c r="B70" i="14"/>
  <c r="I70" i="14"/>
  <c r="C5" i="13" s="1"/>
  <c r="B71" i="14"/>
  <c r="I71" i="14"/>
  <c r="B72" i="14"/>
  <c r="I72" i="14"/>
  <c r="C7" i="13" s="1"/>
  <c r="D7" i="13" s="1"/>
  <c r="B73" i="14"/>
  <c r="B74" i="14"/>
  <c r="B4" i="13"/>
  <c r="C4" i="13"/>
  <c r="D4" i="13" s="1"/>
  <c r="B5" i="13"/>
  <c r="B8" i="13" s="1"/>
  <c r="B6" i="13"/>
  <c r="D6" i="13" s="1"/>
  <c r="C6" i="13"/>
  <c r="B7" i="13"/>
  <c r="B16" i="13"/>
  <c r="C16" i="13"/>
  <c r="B17" i="13"/>
  <c r="C13" i="13" l="1"/>
  <c r="D12" i="13"/>
  <c r="B18" i="13"/>
  <c r="C17" i="13"/>
  <c r="C18" i="13" s="1"/>
  <c r="C8" i="13"/>
  <c r="B13" i="13"/>
  <c r="D11" i="13"/>
  <c r="D5" i="13"/>
  <c r="I73" i="14"/>
  <c r="I74" i="14" s="1"/>
  <c r="D13" i="13" l="1"/>
  <c r="D16" i="13"/>
  <c r="D17" i="13"/>
  <c r="D8" i="13"/>
  <c r="D18" i="13" l="1"/>
  <c r="C8" i="9" s="1"/>
  <c r="E8" i="9" s="1"/>
  <c r="H6" i="12"/>
  <c r="H8" i="12" s="1"/>
  <c r="G6" i="12"/>
  <c r="F6" i="12"/>
  <c r="D6" i="12"/>
  <c r="D8" i="12" s="1"/>
  <c r="C6" i="12"/>
  <c r="H13" i="12" l="1"/>
  <c r="H14" i="12" s="1"/>
  <c r="D7" i="9" s="1"/>
  <c r="H7" i="11" l="1"/>
  <c r="G7" i="11"/>
  <c r="F7" i="11"/>
  <c r="D7" i="11"/>
  <c r="C7" i="11"/>
  <c r="E21" i="10"/>
  <c r="C13" i="10"/>
  <c r="D13" i="10"/>
  <c r="E13" i="10"/>
  <c r="D21" i="10"/>
  <c r="C21" i="10"/>
  <c r="B21" i="10"/>
  <c r="A6" i="9"/>
  <c r="A7" i="9" s="1"/>
  <c r="A8" i="9" s="1"/>
  <c r="A9" i="9" s="1"/>
  <c r="A10" i="9" s="1"/>
  <c r="A11" i="9" s="1"/>
  <c r="J20" i="3" l="1"/>
  <c r="J15" i="3"/>
  <c r="G20" i="3"/>
  <c r="F15" i="3"/>
  <c r="F20" i="3"/>
  <c r="E6" i="7" l="1"/>
  <c r="T12" i="8"/>
  <c r="AA12" i="8"/>
  <c r="AC12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9" i="8" s="1"/>
  <c r="T13" i="8"/>
  <c r="AC13" i="8" s="1"/>
  <c r="W13" i="8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9" i="8" s="1"/>
  <c r="W31" i="8" s="1"/>
  <c r="W32" i="8" s="1"/>
  <c r="W33" i="8" s="1"/>
  <c r="AA13" i="8"/>
  <c r="T14" i="8"/>
  <c r="AC14" i="8" s="1"/>
  <c r="AA14" i="8"/>
  <c r="T15" i="8"/>
  <c r="AC15" i="8" s="1"/>
  <c r="AA15" i="8"/>
  <c r="T16" i="8"/>
  <c r="AC16" i="8" s="1"/>
  <c r="AA16" i="8"/>
  <c r="T17" i="8"/>
  <c r="AC17" i="8" s="1"/>
  <c r="AA17" i="8"/>
  <c r="T18" i="8"/>
  <c r="AD18" i="8" s="1"/>
  <c r="AA18" i="8"/>
  <c r="O19" i="8"/>
  <c r="T19" i="8"/>
  <c r="T20" i="8"/>
  <c r="AC20" i="8" s="1"/>
  <c r="AA20" i="8"/>
  <c r="AD20" i="8"/>
  <c r="T21" i="8"/>
  <c r="AC21" i="8" s="1"/>
  <c r="AA21" i="8"/>
  <c r="T22" i="8"/>
  <c r="AC22" i="8" s="1"/>
  <c r="AA22" i="8"/>
  <c r="T23" i="8"/>
  <c r="AD23" i="8" s="1"/>
  <c r="AA23" i="8"/>
  <c r="T24" i="8"/>
  <c r="AD24" i="8" s="1"/>
  <c r="AA24" i="8"/>
  <c r="AA27" i="8" s="1"/>
  <c r="T25" i="8"/>
  <c r="AD25" i="8" s="1"/>
  <c r="AA25" i="8"/>
  <c r="AC25" i="8"/>
  <c r="T26" i="8"/>
  <c r="AD26" i="8" s="1"/>
  <c r="AA26" i="8"/>
  <c r="AC26" i="8"/>
  <c r="D27" i="8"/>
  <c r="D33" i="8" s="1"/>
  <c r="E27" i="8"/>
  <c r="F27" i="8"/>
  <c r="G27" i="8"/>
  <c r="H27" i="8"/>
  <c r="H33" i="8" s="1"/>
  <c r="I27" i="8"/>
  <c r="J27" i="8"/>
  <c r="K27" i="8"/>
  <c r="L27" i="8"/>
  <c r="M27" i="8"/>
  <c r="N27" i="8"/>
  <c r="P27" i="8"/>
  <c r="Q27" i="8"/>
  <c r="R27" i="8"/>
  <c r="S27" i="8"/>
  <c r="U27" i="8"/>
  <c r="U33" i="8" s="1"/>
  <c r="Y27" i="8"/>
  <c r="Z27" i="8"/>
  <c r="U35" i="8" s="1"/>
  <c r="T29" i="8"/>
  <c r="AD29" i="8" s="1"/>
  <c r="L30" i="8"/>
  <c r="L32" i="8" s="1"/>
  <c r="T30" i="8"/>
  <c r="B31" i="8"/>
  <c r="B32" i="8" s="1"/>
  <c r="B33" i="8" s="1"/>
  <c r="B35" i="8" s="1"/>
  <c r="B36" i="8" s="1"/>
  <c r="U31" i="8"/>
  <c r="T31" i="8" s="1"/>
  <c r="D32" i="8"/>
  <c r="E32" i="8"/>
  <c r="F32" i="8"/>
  <c r="G32" i="8"/>
  <c r="H32" i="8"/>
  <c r="I32" i="8"/>
  <c r="J32" i="8"/>
  <c r="K32" i="8"/>
  <c r="M32" i="8"/>
  <c r="N32" i="8"/>
  <c r="O32" i="8"/>
  <c r="P32" i="8"/>
  <c r="Q32" i="8"/>
  <c r="R32" i="8"/>
  <c r="S32" i="8"/>
  <c r="S33" i="8" s="1"/>
  <c r="U32" i="8"/>
  <c r="E33" i="8"/>
  <c r="F33" i="8"/>
  <c r="G33" i="8"/>
  <c r="I33" i="8"/>
  <c r="J33" i="8"/>
  <c r="K33" i="8"/>
  <c r="M33" i="8"/>
  <c r="N33" i="8"/>
  <c r="O33" i="8"/>
  <c r="R33" i="8"/>
  <c r="U36" i="8"/>
  <c r="E4" i="7" s="1"/>
  <c r="E9" i="7" s="1"/>
  <c r="T27" i="8" l="1"/>
  <c r="AD27" i="8" s="1"/>
  <c r="P33" i="8"/>
  <c r="AD22" i="8"/>
  <c r="AD21" i="8"/>
  <c r="AC23" i="8"/>
  <c r="AC18" i="8"/>
  <c r="Q33" i="8"/>
  <c r="L33" i="8"/>
  <c r="AC24" i="8"/>
  <c r="AD12" i="8"/>
  <c r="AC29" i="8"/>
  <c r="AC19" i="8"/>
  <c r="E7" i="7"/>
  <c r="E8" i="7"/>
  <c r="AC27" i="8"/>
  <c r="AC31" i="8"/>
  <c r="AD31" i="8"/>
  <c r="T35" i="8"/>
  <c r="AD19" i="8"/>
  <c r="AD17" i="8"/>
  <c r="AD16" i="8"/>
  <c r="AD15" i="8"/>
  <c r="AD14" i="8"/>
  <c r="AD13" i="8"/>
  <c r="T32" i="8"/>
  <c r="E10" i="7" l="1"/>
  <c r="AD32" i="8"/>
  <c r="T33" i="8"/>
  <c r="AC35" i="8"/>
  <c r="AD35" i="8"/>
  <c r="AC32" i="8"/>
  <c r="AD33" i="8" l="1"/>
  <c r="AC33" i="8"/>
  <c r="C7" i="7" l="1"/>
  <c r="C8" i="7"/>
  <c r="C9" i="7"/>
  <c r="C10" i="7" l="1"/>
  <c r="F6" i="7" l="1"/>
  <c r="E7" i="3" s="1"/>
  <c r="F7" i="7"/>
  <c r="E10" i="3" s="1"/>
  <c r="F8" i="7"/>
  <c r="E11" i="3" s="1"/>
  <c r="F9" i="7"/>
  <c r="E13" i="3" s="1"/>
  <c r="F4" i="7"/>
  <c r="E19" i="3" s="1"/>
  <c r="E21" i="3" l="1"/>
  <c r="F10" i="7"/>
  <c r="D16" i="3" l="1"/>
  <c r="F16" i="3" s="1"/>
  <c r="J16" i="3" s="1"/>
  <c r="A22" i="4"/>
  <c r="A21" i="4"/>
  <c r="A20" i="4"/>
  <c r="C12" i="6"/>
  <c r="C21" i="4" s="1"/>
  <c r="B12" i="6" l="1"/>
  <c r="C16" i="3"/>
  <c r="I16" i="3" s="1"/>
  <c r="I20" i="3"/>
  <c r="A11" i="3"/>
  <c r="A12" i="3" s="1"/>
  <c r="A13" i="3" s="1"/>
  <c r="A14" i="3" s="1"/>
  <c r="A15" i="3" s="1"/>
  <c r="A16" i="3" s="1"/>
  <c r="A17" i="3" s="1"/>
  <c r="A18" i="3" s="1"/>
  <c r="C13" i="4" l="1"/>
  <c r="G16" i="3"/>
  <c r="K16" i="3" s="1"/>
  <c r="K20" i="3"/>
  <c r="A6" i="3"/>
  <c r="A7" i="3" s="1"/>
  <c r="A8" i="3" s="1"/>
  <c r="A9" i="3" s="1"/>
  <c r="A10" i="3" s="1"/>
  <c r="A19" i="3" s="1"/>
  <c r="A20" i="3" s="1"/>
  <c r="I22" i="3" l="1"/>
  <c r="K9" i="2" l="1"/>
  <c r="O37" i="2"/>
  <c r="P34" i="1"/>
  <c r="O34" i="2"/>
  <c r="O30" i="2"/>
  <c r="O29" i="2"/>
  <c r="O28" i="2"/>
  <c r="O26" i="2"/>
  <c r="O25" i="2"/>
  <c r="O21" i="1"/>
  <c r="N33" i="2"/>
  <c r="K36" i="2"/>
  <c r="K35" i="2"/>
  <c r="K33" i="2"/>
  <c r="K53" i="2" s="1"/>
  <c r="K32" i="2"/>
  <c r="K31" i="2"/>
  <c r="K30" i="2"/>
  <c r="K29" i="2"/>
  <c r="K28" i="2"/>
  <c r="K27" i="2"/>
  <c r="K26" i="2"/>
  <c r="K25" i="2"/>
  <c r="K24" i="2"/>
  <c r="K50" i="2" s="1"/>
  <c r="K20" i="2"/>
  <c r="K10" i="2"/>
  <c r="P52" i="1"/>
  <c r="O27" i="2"/>
  <c r="P20" i="1"/>
  <c r="P19" i="1"/>
  <c r="P16" i="1"/>
  <c r="P9" i="1"/>
  <c r="P8" i="1"/>
  <c r="K37" i="2"/>
  <c r="O24" i="2"/>
  <c r="O50" i="2" s="1"/>
  <c r="O18" i="2"/>
  <c r="N18" i="2"/>
  <c r="O16" i="2"/>
  <c r="N16" i="2"/>
  <c r="K16" i="2"/>
  <c r="O11" i="2"/>
  <c r="O46" i="2" s="1"/>
  <c r="O10" i="2"/>
  <c r="N10" i="2"/>
  <c r="E10" i="5"/>
  <c r="E15" i="5"/>
  <c r="C20" i="5"/>
  <c r="D20" i="5"/>
  <c r="I20" i="5"/>
  <c r="K11" i="2" l="1"/>
  <c r="K46" i="2" s="1"/>
  <c r="O17" i="2"/>
  <c r="K34" i="2"/>
  <c r="K55" i="2" s="1"/>
  <c r="L21" i="2"/>
  <c r="K21" i="1"/>
  <c r="K38" i="1" s="1"/>
  <c r="K54" i="2"/>
  <c r="K53" i="1"/>
  <c r="K42" i="1" s="1"/>
  <c r="O35" i="2"/>
  <c r="O32" i="2"/>
  <c r="O38" i="1"/>
  <c r="O22" i="2"/>
  <c r="O49" i="2" s="1"/>
  <c r="O53" i="1"/>
  <c r="O42" i="1" s="1"/>
  <c r="P32" i="1"/>
  <c r="K45" i="2"/>
  <c r="K47" i="2" s="1"/>
  <c r="K17" i="2"/>
  <c r="O31" i="2"/>
  <c r="O33" i="2"/>
  <c r="O53" i="2" s="1"/>
  <c r="K18" i="2"/>
  <c r="O11" i="1"/>
  <c r="O9" i="2"/>
  <c r="O45" i="2" s="1"/>
  <c r="O47" i="2" s="1"/>
  <c r="O36" i="2"/>
  <c r="O54" i="2" s="1"/>
  <c r="K11" i="1"/>
  <c r="P16" i="2"/>
  <c r="P18" i="2"/>
  <c r="O55" i="2"/>
  <c r="P10" i="2"/>
  <c r="O51" i="2"/>
  <c r="K12" i="2"/>
  <c r="K51" i="2"/>
  <c r="K52" i="2"/>
  <c r="N53" i="2"/>
  <c r="E20" i="5"/>
  <c r="K22" i="2" l="1"/>
  <c r="K38" i="2" s="1"/>
  <c r="K40" i="2" s="1"/>
  <c r="O12" i="2"/>
  <c r="O40" i="1"/>
  <c r="K40" i="1"/>
  <c r="O52" i="2"/>
  <c r="O56" i="2" s="1"/>
  <c r="O58" i="2" s="1"/>
  <c r="P33" i="2"/>
  <c r="P53" i="2" s="1"/>
  <c r="O38" i="2"/>
  <c r="D14" i="5"/>
  <c r="D16" i="5" s="1"/>
  <c r="I14" i="5"/>
  <c r="I16" i="5" s="1"/>
  <c r="K41" i="2" l="1"/>
  <c r="K49" i="2"/>
  <c r="K56" i="2" s="1"/>
  <c r="K58" i="2" s="1"/>
  <c r="O44" i="1"/>
  <c r="O40" i="2"/>
  <c r="O41" i="2" s="1"/>
  <c r="K44" i="1"/>
  <c r="K59" i="2"/>
  <c r="O59" i="2" l="1"/>
  <c r="N29" i="2" l="1"/>
  <c r="P29" i="2" s="1"/>
  <c r="P28" i="1"/>
  <c r="N37" i="2" l="1"/>
  <c r="P37" i="2" s="1"/>
  <c r="P37" i="1"/>
  <c r="P50" i="1" l="1"/>
  <c r="P51" i="1" l="1"/>
  <c r="N32" i="2" l="1"/>
  <c r="P32" i="2" s="1"/>
  <c r="P31" i="1"/>
  <c r="N25" i="2" l="1"/>
  <c r="P24" i="1"/>
  <c r="P23" i="1"/>
  <c r="N24" i="2"/>
  <c r="P25" i="2" l="1"/>
  <c r="N50" i="2"/>
  <c r="P24" i="2"/>
  <c r="P50" i="2" s="1"/>
  <c r="P25" i="1"/>
  <c r="N26" i="2"/>
  <c r="P26" i="2" s="1"/>
  <c r="N28" i="2" l="1"/>
  <c r="P28" i="2" s="1"/>
  <c r="P27" i="1"/>
  <c r="N34" i="2" l="1"/>
  <c r="P33" i="1"/>
  <c r="P34" i="2" l="1"/>
  <c r="P47" i="1" l="1"/>
  <c r="P30" i="1" l="1"/>
  <c r="N31" i="2"/>
  <c r="P49" i="1" l="1"/>
  <c r="N52" i="2"/>
  <c r="P31" i="2"/>
  <c r="P52" i="2" l="1"/>
  <c r="P48" i="1" l="1"/>
  <c r="P53" i="1" s="1"/>
  <c r="P42" i="1" s="1"/>
  <c r="N53" i="1"/>
  <c r="N42" i="1" s="1"/>
  <c r="N43" i="1" s="1"/>
  <c r="C62" i="4" l="1"/>
  <c r="C61" i="4"/>
  <c r="C60" i="4"/>
  <c r="C59" i="4"/>
  <c r="C58" i="4"/>
  <c r="C63" i="4" l="1"/>
  <c r="C46" i="4"/>
  <c r="D44" i="4"/>
  <c r="A7" i="4"/>
  <c r="A8" i="4" s="1"/>
  <c r="A9" i="4" s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D21" i="2" l="1"/>
  <c r="G18" i="2"/>
  <c r="F18" i="2"/>
  <c r="G16" i="2"/>
  <c r="F16" i="2"/>
  <c r="G10" i="2"/>
  <c r="H18" i="2" l="1"/>
  <c r="H10" i="2"/>
  <c r="H16" i="2"/>
  <c r="H52" i="1" l="1"/>
  <c r="H20" i="1"/>
  <c r="H19" i="1"/>
  <c r="H16" i="1"/>
  <c r="H9" i="1"/>
  <c r="H8" i="1"/>
  <c r="D62" i="4"/>
  <c r="E62" i="4" s="1"/>
  <c r="D59" i="4"/>
  <c r="E59" i="4" s="1"/>
  <c r="D60" i="4"/>
  <c r="E60" i="4" s="1"/>
  <c r="D61" i="4"/>
  <c r="E61" i="4" s="1"/>
  <c r="G37" i="2"/>
  <c r="G36" i="2"/>
  <c r="G35" i="2"/>
  <c r="G34" i="2"/>
  <c r="G33" i="2"/>
  <c r="G53" i="2" s="1"/>
  <c r="G32" i="2"/>
  <c r="G31" i="2"/>
  <c r="G30" i="2"/>
  <c r="G29" i="2"/>
  <c r="G28" i="2"/>
  <c r="G27" i="2"/>
  <c r="G26" i="2"/>
  <c r="G25" i="2"/>
  <c r="G24" i="2"/>
  <c r="G50" i="2" s="1"/>
  <c r="G17" i="2"/>
  <c r="G22" i="2" s="1"/>
  <c r="G11" i="2"/>
  <c r="G46" i="2" s="1"/>
  <c r="G9" i="2"/>
  <c r="G53" i="1" l="1"/>
  <c r="D58" i="4"/>
  <c r="G51" i="2"/>
  <c r="G38" i="2"/>
  <c r="G49" i="2"/>
  <c r="G55" i="2"/>
  <c r="G21" i="1"/>
  <c r="G52" i="2"/>
  <c r="D39" i="4" s="1"/>
  <c r="G45" i="2"/>
  <c r="G47" i="2" s="1"/>
  <c r="G12" i="2"/>
  <c r="G54" i="2"/>
  <c r="E58" i="4" l="1"/>
  <c r="E63" i="4" s="1"/>
  <c r="G37" i="4" s="1"/>
  <c r="D6" i="3" s="1"/>
  <c r="F6" i="3" s="1"/>
  <c r="D63" i="4"/>
  <c r="D37" i="4" s="1"/>
  <c r="G40" i="2"/>
  <c r="G56" i="2"/>
  <c r="G42" i="1"/>
  <c r="H51" i="1"/>
  <c r="H50" i="1"/>
  <c r="H49" i="1"/>
  <c r="H48" i="1"/>
  <c r="H47" i="1"/>
  <c r="G38" i="1"/>
  <c r="H34" i="1"/>
  <c r="G11" i="1"/>
  <c r="J6" i="3" l="1"/>
  <c r="D64" i="4"/>
  <c r="G58" i="2"/>
  <c r="G59" i="2" s="1"/>
  <c r="D38" i="4"/>
  <c r="G40" i="1"/>
  <c r="H23" i="1"/>
  <c r="F24" i="2"/>
  <c r="H32" i="1"/>
  <c r="F33" i="2"/>
  <c r="H28" i="1"/>
  <c r="F29" i="2"/>
  <c r="H29" i="2" s="1"/>
  <c r="H24" i="1"/>
  <c r="F25" i="2"/>
  <c r="H53" i="1"/>
  <c r="H42" i="1" s="1"/>
  <c r="H31" i="1"/>
  <c r="F32" i="2"/>
  <c r="H32" i="2" s="1"/>
  <c r="H27" i="1"/>
  <c r="F28" i="2"/>
  <c r="H28" i="2" s="1"/>
  <c r="H30" i="1"/>
  <c r="F31" i="2"/>
  <c r="H37" i="1"/>
  <c r="F37" i="2"/>
  <c r="H37" i="2" s="1"/>
  <c r="H33" i="1"/>
  <c r="F34" i="2"/>
  <c r="H25" i="1"/>
  <c r="F26" i="2"/>
  <c r="H26" i="2" s="1"/>
  <c r="F53" i="1"/>
  <c r="F42" i="1" s="1"/>
  <c r="F43" i="1" s="1"/>
  <c r="G41" i="2" l="1"/>
  <c r="G44" i="1"/>
  <c r="D40" i="4"/>
  <c r="D41" i="4" s="1"/>
  <c r="H31" i="2"/>
  <c r="F52" i="2"/>
  <c r="C39" i="4" s="1"/>
  <c r="E39" i="4" s="1"/>
  <c r="H25" i="2"/>
  <c r="F53" i="2"/>
  <c r="H33" i="2"/>
  <c r="H53" i="2" s="1"/>
  <c r="F50" i="2"/>
  <c r="H24" i="2"/>
  <c r="H34" i="2"/>
  <c r="D54" i="4"/>
  <c r="D53" i="4"/>
  <c r="D52" i="4"/>
  <c r="D51" i="4"/>
  <c r="D50" i="4"/>
  <c r="D49" i="4"/>
  <c r="C16" i="2"/>
  <c r="C20" i="2"/>
  <c r="H15" i="5"/>
  <c r="C14" i="5"/>
  <c r="J15" i="5" l="1"/>
  <c r="C11" i="2"/>
  <c r="C46" i="2" s="1"/>
  <c r="H14" i="5" s="1"/>
  <c r="E14" i="5"/>
  <c r="E16" i="5" s="1"/>
  <c r="C16" i="5"/>
  <c r="D14" i="3"/>
  <c r="F14" i="3" s="1"/>
  <c r="H52" i="2"/>
  <c r="D12" i="3"/>
  <c r="F12" i="3" s="1"/>
  <c r="H50" i="2"/>
  <c r="D8" i="3"/>
  <c r="F8" i="3" s="1"/>
  <c r="D9" i="3"/>
  <c r="F9" i="3" s="1"/>
  <c r="D55" i="4"/>
  <c r="D31" i="4" s="1"/>
  <c r="C26" i="2"/>
  <c r="C37" i="2"/>
  <c r="C27" i="2"/>
  <c r="C30" i="2"/>
  <c r="C34" i="2"/>
  <c r="C31" i="2"/>
  <c r="C24" i="2"/>
  <c r="C28" i="2"/>
  <c r="C32" i="2"/>
  <c r="C35" i="2"/>
  <c r="C25" i="2"/>
  <c r="C29" i="2"/>
  <c r="C33" i="2"/>
  <c r="C36" i="2"/>
  <c r="C9" i="2"/>
  <c r="C10" i="2"/>
  <c r="C17" i="2"/>
  <c r="C18" i="2"/>
  <c r="C21" i="1"/>
  <c r="C38" i="1" s="1"/>
  <c r="C11" i="1"/>
  <c r="C53" i="1"/>
  <c r="J9" i="3" l="1"/>
  <c r="J12" i="3"/>
  <c r="J14" i="3"/>
  <c r="J8" i="3"/>
  <c r="H16" i="5"/>
  <c r="J14" i="5"/>
  <c r="J16" i="5" s="1"/>
  <c r="C42" i="1"/>
  <c r="D56" i="4"/>
  <c r="C52" i="2"/>
  <c r="D33" i="4" s="1"/>
  <c r="C53" i="2"/>
  <c r="C51" i="2"/>
  <c r="C54" i="2"/>
  <c r="C45" i="2"/>
  <c r="C50" i="2"/>
  <c r="C55" i="2"/>
  <c r="C40" i="1"/>
  <c r="C22" i="2"/>
  <c r="C12" i="2"/>
  <c r="C47" i="2" l="1"/>
  <c r="C49" i="2"/>
  <c r="C38" i="2"/>
  <c r="C40" i="2" s="1"/>
  <c r="C41" i="2" s="1"/>
  <c r="C44" i="1"/>
  <c r="C56" i="2" l="1"/>
  <c r="D32" i="4" s="1"/>
  <c r="C58" i="2" l="1"/>
  <c r="C59" i="2" s="1"/>
  <c r="D34" i="4"/>
  <c r="D35" i="4" s="1"/>
  <c r="N17" i="1" l="1"/>
  <c r="N21" i="1" l="1"/>
  <c r="P17" i="1"/>
  <c r="P21" i="1" s="1"/>
  <c r="N17" i="2"/>
  <c r="N22" i="2" l="1"/>
  <c r="P17" i="2"/>
  <c r="P22" i="2" s="1"/>
  <c r="F17" i="1"/>
  <c r="H17" i="1" l="1"/>
  <c r="H21" i="1" s="1"/>
  <c r="F21" i="1"/>
  <c r="F17" i="2"/>
  <c r="N49" i="2"/>
  <c r="P49" i="2" s="1"/>
  <c r="H17" i="2" l="1"/>
  <c r="H22" i="2" s="1"/>
  <c r="F22" i="2"/>
  <c r="F49" i="2" l="1"/>
  <c r="H49" i="2" l="1"/>
  <c r="D7" i="3" l="1"/>
  <c r="F7" i="3" l="1"/>
  <c r="J7" i="3" l="1"/>
  <c r="F10" i="1" l="1"/>
  <c r="N10" i="1"/>
  <c r="H10" i="1" l="1"/>
  <c r="F11" i="2"/>
  <c r="I9" i="5"/>
  <c r="P10" i="1"/>
  <c r="N11" i="2"/>
  <c r="I19" i="5" l="1"/>
  <c r="I11" i="5"/>
  <c r="H11" i="2"/>
  <c r="H46" i="2" s="1"/>
  <c r="F46" i="2"/>
  <c r="P11" i="2"/>
  <c r="P46" i="2" s="1"/>
  <c r="N46" i="2"/>
  <c r="I21" i="5" l="1"/>
  <c r="C19" i="4" s="1"/>
  <c r="D18" i="3" s="1"/>
  <c r="F18" i="3" s="1"/>
  <c r="J18" i="3" l="1"/>
  <c r="N29" i="1" l="1"/>
  <c r="N35" i="1"/>
  <c r="P35" i="1" l="1"/>
  <c r="N35" i="2"/>
  <c r="P29" i="1"/>
  <c r="N30" i="2"/>
  <c r="P30" i="2" s="1"/>
  <c r="P35" i="2" l="1"/>
  <c r="P55" i="2" s="1"/>
  <c r="N55" i="2"/>
  <c r="N7" i="1"/>
  <c r="P7" i="1" l="1"/>
  <c r="P11" i="1" s="1"/>
  <c r="D9" i="5"/>
  <c r="N9" i="2"/>
  <c r="N11" i="1"/>
  <c r="N45" i="2" l="1"/>
  <c r="P9" i="2"/>
  <c r="P12" i="2" s="1"/>
  <c r="N12" i="2"/>
  <c r="D19" i="5"/>
  <c r="D11" i="5"/>
  <c r="N26" i="1"/>
  <c r="P26" i="1" l="1"/>
  <c r="N27" i="2"/>
  <c r="D21" i="5"/>
  <c r="C18" i="4" s="1"/>
  <c r="D19" i="3" s="1"/>
  <c r="F19" i="3" s="1"/>
  <c r="P45" i="2"/>
  <c r="P47" i="2" s="1"/>
  <c r="N47" i="2"/>
  <c r="N36" i="1"/>
  <c r="N36" i="2" l="1"/>
  <c r="P36" i="1"/>
  <c r="P38" i="1" s="1"/>
  <c r="P40" i="1" s="1"/>
  <c r="P27" i="2"/>
  <c r="N51" i="2"/>
  <c r="N38" i="2"/>
  <c r="N40" i="2" s="1"/>
  <c r="N38" i="1"/>
  <c r="N40" i="1" s="1"/>
  <c r="N44" i="1" s="1"/>
  <c r="P44" i="1" s="1"/>
  <c r="J19" i="3"/>
  <c r="N41" i="1" l="1"/>
  <c r="P51" i="2"/>
  <c r="N41" i="2"/>
  <c r="N54" i="2"/>
  <c r="N56" i="2" s="1"/>
  <c r="N58" i="2" s="1"/>
  <c r="N59" i="2" s="1"/>
  <c r="P36" i="2"/>
  <c r="P54" i="2" s="1"/>
  <c r="P56" i="2" l="1"/>
  <c r="P58" i="2" s="1"/>
  <c r="P38" i="2"/>
  <c r="P40" i="2" s="1"/>
  <c r="P41" i="2" s="1"/>
  <c r="P59" i="2" l="1"/>
  <c r="J22" i="3" l="1"/>
  <c r="F29" i="1"/>
  <c r="F35" i="1"/>
  <c r="H35" i="1" l="1"/>
  <c r="F35" i="2"/>
  <c r="F36" i="1"/>
  <c r="H29" i="1"/>
  <c r="F30" i="2"/>
  <c r="H30" i="2" s="1"/>
  <c r="D11" i="3" s="1"/>
  <c r="F11" i="3" s="1"/>
  <c r="F7" i="1" l="1"/>
  <c r="F36" i="2"/>
  <c r="H36" i="1"/>
  <c r="J11" i="3"/>
  <c r="F26" i="1"/>
  <c r="H35" i="2"/>
  <c r="F55" i="2"/>
  <c r="H36" i="2" l="1"/>
  <c r="F54" i="2"/>
  <c r="F11" i="1"/>
  <c r="F9" i="2"/>
  <c r="H7" i="1"/>
  <c r="H11" i="1" s="1"/>
  <c r="H26" i="1"/>
  <c r="H38" i="1" s="1"/>
  <c r="F27" i="2"/>
  <c r="F38" i="1"/>
  <c r="D13" i="3"/>
  <c r="F13" i="3" s="1"/>
  <c r="H55" i="2"/>
  <c r="F40" i="1" l="1"/>
  <c r="F41" i="1" s="1"/>
  <c r="F45" i="2"/>
  <c r="H9" i="2"/>
  <c r="H12" i="2" s="1"/>
  <c r="F12" i="2"/>
  <c r="H27" i="2"/>
  <c r="F51" i="2"/>
  <c r="F56" i="2" s="1"/>
  <c r="C38" i="4" s="1"/>
  <c r="F38" i="2"/>
  <c r="J13" i="3"/>
  <c r="H40" i="1"/>
  <c r="H54" i="2"/>
  <c r="D17" i="3"/>
  <c r="F17" i="3" s="1"/>
  <c r="F44" i="1" l="1"/>
  <c r="H44" i="1" s="1"/>
  <c r="F40" i="2"/>
  <c r="F41" i="2" s="1"/>
  <c r="D10" i="3"/>
  <c r="H51" i="2"/>
  <c r="H56" i="2" s="1"/>
  <c r="H38" i="2"/>
  <c r="H40" i="2" s="1"/>
  <c r="H41" i="2" s="1"/>
  <c r="J17" i="3"/>
  <c r="E38" i="4"/>
  <c r="H45" i="2"/>
  <c r="H47" i="2" s="1"/>
  <c r="F47" i="2"/>
  <c r="F58" i="2" s="1"/>
  <c r="F59" i="2" l="1"/>
  <c r="H58" i="2"/>
  <c r="H59" i="2" s="1"/>
  <c r="F10" i="3"/>
  <c r="J10" i="3" l="1"/>
  <c r="D12" i="12" l="1"/>
  <c r="D13" i="12" s="1"/>
  <c r="D14" i="12" s="1"/>
  <c r="C7" i="9" s="1"/>
  <c r="E7" i="9" s="1"/>
  <c r="J19" i="1" l="1"/>
  <c r="J18" i="2" l="1"/>
  <c r="L18" i="2" s="1"/>
  <c r="L19" i="1"/>
  <c r="B19" i="1"/>
  <c r="B8" i="1" l="1"/>
  <c r="D8" i="1" s="1"/>
  <c r="J8" i="1"/>
  <c r="B2" i="10"/>
  <c r="C26" i="4"/>
  <c r="C44" i="4"/>
  <c r="H37" i="4" s="1"/>
  <c r="D5" i="3" s="1"/>
  <c r="B32" i="1"/>
  <c r="J32" i="1"/>
  <c r="B18" i="2"/>
  <c r="D18" i="2" s="1"/>
  <c r="D19" i="1"/>
  <c r="B20" i="1"/>
  <c r="D20" i="1" s="1"/>
  <c r="J20" i="1"/>
  <c r="L20" i="1" s="1"/>
  <c r="J23" i="1"/>
  <c r="B23" i="1"/>
  <c r="B10" i="2" l="1"/>
  <c r="D10" i="2" s="1"/>
  <c r="B10" i="1"/>
  <c r="J10" i="1"/>
  <c r="B28" i="1"/>
  <c r="J28" i="1"/>
  <c r="B24" i="2"/>
  <c r="D23" i="1"/>
  <c r="B33" i="2"/>
  <c r="D32" i="1"/>
  <c r="F21" i="10"/>
  <c r="G21" i="10" s="1"/>
  <c r="D5" i="9" s="1"/>
  <c r="F13" i="10"/>
  <c r="G13" i="10" s="1"/>
  <c r="C5" i="9" s="1"/>
  <c r="B27" i="1"/>
  <c r="J27" i="1"/>
  <c r="H10" i="5"/>
  <c r="L8" i="1"/>
  <c r="J10" i="2"/>
  <c r="L10" i="2" s="1"/>
  <c r="J24" i="2"/>
  <c r="L23" i="1"/>
  <c r="F5" i="3"/>
  <c r="D21" i="3"/>
  <c r="F23" i="3" s="1"/>
  <c r="B24" i="1"/>
  <c r="J24" i="1"/>
  <c r="L32" i="1"/>
  <c r="J33" i="2"/>
  <c r="C3" i="4"/>
  <c r="C37" i="4"/>
  <c r="J7" i="1"/>
  <c r="J9" i="1"/>
  <c r="J29" i="2" l="1"/>
  <c r="L29" i="2" s="1"/>
  <c r="L28" i="1"/>
  <c r="J30" i="1"/>
  <c r="J31" i="1"/>
  <c r="L33" i="2"/>
  <c r="L53" i="2" s="1"/>
  <c r="J53" i="2"/>
  <c r="B28" i="2"/>
  <c r="D28" i="2" s="1"/>
  <c r="D27" i="1"/>
  <c r="B53" i="2"/>
  <c r="D33" i="2"/>
  <c r="B29" i="2"/>
  <c r="D29" i="2" s="1"/>
  <c r="D28" i="1"/>
  <c r="B25" i="1"/>
  <c r="J25" i="1"/>
  <c r="B25" i="2"/>
  <c r="D24" i="1"/>
  <c r="L24" i="2"/>
  <c r="L50" i="2" s="1"/>
  <c r="J50" i="2"/>
  <c r="J28" i="2"/>
  <c r="L28" i="2" s="1"/>
  <c r="L27" i="1"/>
  <c r="C9" i="5"/>
  <c r="J9" i="2"/>
  <c r="L7" i="1"/>
  <c r="J11" i="1"/>
  <c r="J5" i="3"/>
  <c r="J21" i="3" s="1"/>
  <c r="F21" i="3"/>
  <c r="L10" i="1"/>
  <c r="J11" i="2"/>
  <c r="J33" i="1"/>
  <c r="J20" i="2"/>
  <c r="L20" i="2" s="1"/>
  <c r="L9" i="1"/>
  <c r="B34" i="1"/>
  <c r="D34" i="1" s="1"/>
  <c r="J34" i="1"/>
  <c r="L34" i="1" s="1"/>
  <c r="E37" i="4"/>
  <c r="I37" i="4" s="1"/>
  <c r="C40" i="4"/>
  <c r="L24" i="1"/>
  <c r="J25" i="2"/>
  <c r="J10" i="5"/>
  <c r="H20" i="5"/>
  <c r="E5" i="9"/>
  <c r="B50" i="2"/>
  <c r="D24" i="2"/>
  <c r="B11" i="2"/>
  <c r="D10" i="1"/>
  <c r="J17" i="1"/>
  <c r="B17" i="1"/>
  <c r="B9" i="1"/>
  <c r="J26" i="1"/>
  <c r="J26" i="2" l="1"/>
  <c r="L26" i="2" s="1"/>
  <c r="L25" i="1"/>
  <c r="D53" i="2"/>
  <c r="C15" i="3"/>
  <c r="B20" i="2"/>
  <c r="D20" i="2" s="1"/>
  <c r="D9" i="1"/>
  <c r="B46" i="2"/>
  <c r="H9" i="5" s="1"/>
  <c r="D11" i="2"/>
  <c r="D46" i="2" s="1"/>
  <c r="J20" i="5"/>
  <c r="C10" i="4"/>
  <c r="E40" i="4"/>
  <c r="C41" i="4"/>
  <c r="C17" i="4"/>
  <c r="C20" i="4" s="1"/>
  <c r="J46" i="2"/>
  <c r="L11" i="2"/>
  <c r="L46" i="2" s="1"/>
  <c r="D11" i="9"/>
  <c r="D10" i="9" s="1"/>
  <c r="J23" i="3"/>
  <c r="C11" i="5"/>
  <c r="C19" i="5"/>
  <c r="E9" i="5"/>
  <c r="E11" i="5" s="1"/>
  <c r="B26" i="2"/>
  <c r="D26" i="2" s="1"/>
  <c r="D25" i="1"/>
  <c r="B5" i="11"/>
  <c r="B30" i="1"/>
  <c r="B5" i="12"/>
  <c r="B6" i="12" s="1"/>
  <c r="B33" i="1"/>
  <c r="L9" i="2"/>
  <c r="L12" i="2" s="1"/>
  <c r="J12" i="2"/>
  <c r="J45" i="2"/>
  <c r="J31" i="2"/>
  <c r="L30" i="1"/>
  <c r="L26" i="1"/>
  <c r="J27" i="2"/>
  <c r="L27" i="2" s="1"/>
  <c r="B17" i="2"/>
  <c r="D17" i="2" s="1"/>
  <c r="D17" i="1"/>
  <c r="J17" i="2"/>
  <c r="L17" i="2" s="1"/>
  <c r="L17" i="1"/>
  <c r="D50" i="2"/>
  <c r="C8" i="3"/>
  <c r="L31" i="1"/>
  <c r="J32" i="2"/>
  <c r="L32" i="2" s="1"/>
  <c r="L25" i="2"/>
  <c r="J34" i="2"/>
  <c r="L33" i="1"/>
  <c r="L11" i="1"/>
  <c r="D25" i="2"/>
  <c r="B6" i="11"/>
  <c r="B31" i="1"/>
  <c r="J35" i="1"/>
  <c r="J16" i="1"/>
  <c r="B7" i="11" l="1"/>
  <c r="B32" i="2"/>
  <c r="D32" i="2" s="1"/>
  <c r="D31" i="1"/>
  <c r="G8" i="3"/>
  <c r="K8" i="3" s="1"/>
  <c r="I8" i="3"/>
  <c r="C21" i="5"/>
  <c r="C9" i="4" s="1"/>
  <c r="C19" i="3" s="1"/>
  <c r="E19" i="5"/>
  <c r="E21" i="5" s="1"/>
  <c r="H11" i="5"/>
  <c r="H19" i="5"/>
  <c r="J9" i="5"/>
  <c r="J11" i="5" s="1"/>
  <c r="J16" i="2"/>
  <c r="J21" i="1"/>
  <c r="L16" i="1"/>
  <c r="L21" i="1" s="1"/>
  <c r="J52" i="2"/>
  <c r="L31" i="2"/>
  <c r="L52" i="2" s="1"/>
  <c r="B34" i="2"/>
  <c r="D33" i="1"/>
  <c r="J35" i="2"/>
  <c r="L35" i="2" s="1"/>
  <c r="L35" i="1"/>
  <c r="L34" i="2"/>
  <c r="J47" i="2"/>
  <c r="L45" i="2"/>
  <c r="L47" i="2" s="1"/>
  <c r="C22" i="4"/>
  <c r="D20" i="4"/>
  <c r="C9" i="3"/>
  <c r="B31" i="2"/>
  <c r="D30" i="1"/>
  <c r="G15" i="3"/>
  <c r="K15" i="3" s="1"/>
  <c r="I15" i="3"/>
  <c r="J29" i="1"/>
  <c r="I19" i="3" l="1"/>
  <c r="E9" i="9" s="1"/>
  <c r="G19" i="3"/>
  <c r="K19" i="3" s="1"/>
  <c r="J55" i="2"/>
  <c r="H21" i="5"/>
  <c r="C11" i="4"/>
  <c r="C18" i="3" s="1"/>
  <c r="J19" i="5"/>
  <c r="J21" i="5" s="1"/>
  <c r="G9" i="3"/>
  <c r="K9" i="3" s="1"/>
  <c r="I9" i="3"/>
  <c r="L16" i="2"/>
  <c r="L22" i="2" s="1"/>
  <c r="J22" i="2"/>
  <c r="B16" i="1"/>
  <c r="B52" i="2"/>
  <c r="C33" i="4" s="1"/>
  <c r="E33" i="4" s="1"/>
  <c r="D31" i="2"/>
  <c r="L55" i="2"/>
  <c r="J30" i="2"/>
  <c r="L29" i="1"/>
  <c r="D34" i="2"/>
  <c r="I18" i="3" l="1"/>
  <c r="G18" i="3"/>
  <c r="K18" i="3" s="1"/>
  <c r="L30" i="2"/>
  <c r="L51" i="2" s="1"/>
  <c r="J51" i="2"/>
  <c r="B16" i="2"/>
  <c r="D16" i="1"/>
  <c r="D21" i="1" s="1"/>
  <c r="B21" i="1"/>
  <c r="C14" i="3"/>
  <c r="D52" i="2"/>
  <c r="C12" i="3"/>
  <c r="J49" i="2"/>
  <c r="D16" i="2" l="1"/>
  <c r="D22" i="2" s="1"/>
  <c r="B22" i="2"/>
  <c r="L49" i="2"/>
  <c r="G14" i="3"/>
  <c r="K14" i="3" s="1"/>
  <c r="I14" i="3"/>
  <c r="G12" i="3"/>
  <c r="K12" i="3" s="1"/>
  <c r="I12" i="3"/>
  <c r="B49" i="2" l="1"/>
  <c r="D49" i="2" s="1"/>
  <c r="C7" i="3" s="1"/>
  <c r="I7" i="3" l="1"/>
  <c r="G7" i="3"/>
  <c r="K7" i="3" s="1"/>
  <c r="J49" i="1" l="1"/>
  <c r="L49" i="1" s="1"/>
  <c r="B9" i="10" l="1"/>
  <c r="B49" i="1"/>
  <c r="C51" i="4" l="1"/>
  <c r="E51" i="4" s="1"/>
  <c r="D49" i="1"/>
  <c r="J52" i="1" l="1"/>
  <c r="L52" i="1" s="1"/>
  <c r="B12" i="10" l="1"/>
  <c r="B52" i="1"/>
  <c r="C54" i="4" l="1"/>
  <c r="E54" i="4" s="1"/>
  <c r="D52" i="1"/>
  <c r="J51" i="1" l="1"/>
  <c r="L51" i="1" s="1"/>
  <c r="B11" i="10" l="1"/>
  <c r="B51" i="1"/>
  <c r="J48" i="1" l="1"/>
  <c r="L48" i="1" s="1"/>
  <c r="C53" i="4"/>
  <c r="E53" i="4" s="1"/>
  <c r="D51" i="1"/>
  <c r="J50" i="1" l="1"/>
  <c r="L50" i="1" s="1"/>
  <c r="B8" i="10"/>
  <c r="B48" i="1"/>
  <c r="B10" i="10" l="1"/>
  <c r="B50" i="1"/>
  <c r="D48" i="1"/>
  <c r="C50" i="4"/>
  <c r="E50" i="4" s="1"/>
  <c r="C52" i="4" l="1"/>
  <c r="E52" i="4" s="1"/>
  <c r="D50" i="1"/>
  <c r="J47" i="1" l="1"/>
  <c r="J53" i="1" l="1"/>
  <c r="J42" i="1" s="1"/>
  <c r="L47" i="1"/>
  <c r="L53" i="1" s="1"/>
  <c r="L42" i="1" s="1"/>
  <c r="B7" i="10" l="1"/>
  <c r="B13" i="10" s="1"/>
  <c r="B47" i="1"/>
  <c r="J43" i="1"/>
  <c r="C49" i="4" l="1"/>
  <c r="D47" i="1"/>
  <c r="D53" i="1" s="1"/>
  <c r="D42" i="1" s="1"/>
  <c r="B53" i="1"/>
  <c r="B42" i="1" s="1"/>
  <c r="B43" i="1" s="1"/>
  <c r="E49" i="4" l="1"/>
  <c r="E55" i="4" s="1"/>
  <c r="G31" i="4" s="1"/>
  <c r="C6" i="3" s="1"/>
  <c r="C55" i="4"/>
  <c r="C56" i="4" l="1"/>
  <c r="C31" i="4"/>
  <c r="H31" i="4"/>
  <c r="C5" i="3" s="1"/>
  <c r="G6" i="3"/>
  <c r="K6" i="3" s="1"/>
  <c r="I6" i="3"/>
  <c r="E31" i="4" l="1"/>
  <c r="I31" i="4" s="1"/>
  <c r="I5" i="3"/>
  <c r="G5" i="3"/>
  <c r="K5" i="3" l="1"/>
  <c r="B37" i="1" l="1"/>
  <c r="J37" i="1"/>
  <c r="B37" i="2" l="1"/>
  <c r="D37" i="2" s="1"/>
  <c r="D37" i="1"/>
  <c r="J37" i="2"/>
  <c r="L37" i="2" s="1"/>
  <c r="L37" i="1"/>
  <c r="J36" i="1" l="1"/>
  <c r="L36" i="1" l="1"/>
  <c r="L38" i="1" s="1"/>
  <c r="L40" i="1" s="1"/>
  <c r="J36" i="2"/>
  <c r="J38" i="1"/>
  <c r="J40" i="1" s="1"/>
  <c r="J41" i="1" l="1"/>
  <c r="J44" i="1"/>
  <c r="L44" i="1" s="1"/>
  <c r="J54" i="2"/>
  <c r="J56" i="2" s="1"/>
  <c r="J58" i="2" s="1"/>
  <c r="L36" i="2"/>
  <c r="J38" i="2"/>
  <c r="J40" i="2" s="1"/>
  <c r="J41" i="2" s="1"/>
  <c r="L54" i="2" l="1"/>
  <c r="L56" i="2" s="1"/>
  <c r="L58" i="2" s="1"/>
  <c r="L38" i="2"/>
  <c r="L40" i="2" s="1"/>
  <c r="L41" i="2" s="1"/>
  <c r="J59" i="2"/>
  <c r="L59" i="2" l="1"/>
  <c r="B36" i="1" l="1"/>
  <c r="B35" i="1"/>
  <c r="B29" i="1"/>
  <c r="B35" i="2" l="1"/>
  <c r="D35" i="1"/>
  <c r="B30" i="2"/>
  <c r="D30" i="2" s="1"/>
  <c r="C11" i="3" s="1"/>
  <c r="D29" i="1"/>
  <c r="D36" i="1"/>
  <c r="B36" i="2"/>
  <c r="B26" i="1" l="1"/>
  <c r="B54" i="2"/>
  <c r="D36" i="2"/>
  <c r="I11" i="3"/>
  <c r="G11" i="3"/>
  <c r="K11" i="3" s="1"/>
  <c r="D35" i="2"/>
  <c r="B55" i="2"/>
  <c r="B7" i="1"/>
  <c r="C13" i="3" l="1"/>
  <c r="D55" i="2"/>
  <c r="D54" i="2"/>
  <c r="C17" i="3"/>
  <c r="B27" i="2"/>
  <c r="D26" i="1"/>
  <c r="D38" i="1" s="1"/>
  <c r="B38" i="1"/>
  <c r="D7" i="1"/>
  <c r="D11" i="1" s="1"/>
  <c r="D40" i="1" s="1"/>
  <c r="B9" i="2"/>
  <c r="B11" i="1"/>
  <c r="B40" i="1" l="1"/>
  <c r="B44" i="1" s="1"/>
  <c r="D44" i="1" s="1"/>
  <c r="I17" i="3"/>
  <c r="G17" i="3"/>
  <c r="K17" i="3" s="1"/>
  <c r="D27" i="2"/>
  <c r="B51" i="2"/>
  <c r="B56" i="2" s="1"/>
  <c r="C32" i="4" s="1"/>
  <c r="B38" i="2"/>
  <c r="I13" i="3"/>
  <c r="G13" i="3"/>
  <c r="K13" i="3" s="1"/>
  <c r="B12" i="2"/>
  <c r="B45" i="2"/>
  <c r="D9" i="2"/>
  <c r="D12" i="2" s="1"/>
  <c r="B41" i="1" l="1"/>
  <c r="C10" i="3"/>
  <c r="D51" i="2"/>
  <c r="D56" i="2" s="1"/>
  <c r="D38" i="2"/>
  <c r="D40" i="2" s="1"/>
  <c r="D41" i="2" s="1"/>
  <c r="B40" i="2"/>
  <c r="B41" i="2" s="1"/>
  <c r="E32" i="4"/>
  <c r="C34" i="4"/>
  <c r="D45" i="2"/>
  <c r="D47" i="2" s="1"/>
  <c r="B47" i="2"/>
  <c r="D58" i="2" l="1"/>
  <c r="D59" i="2" s="1"/>
  <c r="C8" i="4"/>
  <c r="C12" i="4" s="1"/>
  <c r="E34" i="4"/>
  <c r="I10" i="3"/>
  <c r="I21" i="3" s="1"/>
  <c r="G10" i="3"/>
  <c r="C21" i="3"/>
  <c r="C23" i="3" s="1"/>
  <c r="B58" i="2"/>
  <c r="B59" i="2" s="1"/>
  <c r="C35" i="4"/>
  <c r="I23" i="3" l="1"/>
  <c r="C11" i="9"/>
  <c r="C10" i="9" s="1"/>
  <c r="E10" i="9" s="1"/>
  <c r="E11" i="9" s="1"/>
  <c r="D12" i="4"/>
  <c r="C14" i="4"/>
  <c r="C15" i="4" s="1"/>
  <c r="K10" i="3"/>
  <c r="K21" i="3" s="1"/>
  <c r="G21" i="3"/>
</calcChain>
</file>

<file path=xl/comments1.xml><?xml version="1.0" encoding="utf-8"?>
<comments xmlns="http://schemas.openxmlformats.org/spreadsheetml/2006/main">
  <authors>
    <author>KXu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All gas costs orders from income statement. It includes gas schedule 101, 106 costs and carbon offset gas purchse costs.</t>
        </r>
      </text>
    </comment>
    <comment ref="N35" author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Remving schedule 106 amort costs from the income statement total gas costs </t>
        </r>
      </text>
    </comment>
  </commentList>
</comments>
</file>

<file path=xl/sharedStrings.xml><?xml version="1.0" encoding="utf-8"?>
<sst xmlns="http://schemas.openxmlformats.org/spreadsheetml/2006/main" count="1074" uniqueCount="350">
  <si>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</si>
  <si>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</si>
  <si>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</si>
  <si>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</si>
  <si>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</si>
  <si>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</si>
  <si>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</si>
  <si>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</si>
  <si>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</si>
  <si>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</si>
  <si>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</si>
  <si>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</si>
  <si>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</si>
  <si>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</si>
  <si>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</si>
  <si>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</si>
  <si>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</si>
  <si>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</si>
  <si>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</si>
  <si>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</si>
  <si>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</si>
  <si>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</si>
  <si>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</si>
  <si>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</si>
  <si>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</si>
  <si>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</si>
  <si>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</si>
  <si>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</si>
  <si>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</si>
  <si>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</si>
  <si>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</si>
  <si>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</si>
  <si>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</si>
  <si>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</si>
  <si>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</si>
  <si>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</si>
  <si>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</si>
  <si>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</si>
  <si>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</si>
  <si>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</si>
  <si>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17GRC</t>
  </si>
  <si>
    <t>19GRC</t>
  </si>
  <si>
    <t>Electric</t>
  </si>
  <si>
    <t>Gas</t>
  </si>
  <si>
    <t>Difference</t>
  </si>
  <si>
    <t>&lt;==check</t>
  </si>
  <si>
    <t>OPERATING REVENUES:</t>
  </si>
  <si>
    <t>Sales to Customers</t>
  </si>
  <si>
    <t>Sales for Resale</t>
  </si>
  <si>
    <t>Other Rev</t>
  </si>
  <si>
    <t xml:space="preserve">     Total Operating Rev</t>
  </si>
  <si>
    <t>Power Costs:</t>
  </si>
  <si>
    <t>Fuel</t>
  </si>
  <si>
    <t>Purchased and Interchanged</t>
  </si>
  <si>
    <t>Wheeling</t>
  </si>
  <si>
    <t>Sales to Others</t>
  </si>
  <si>
    <t>Purch/Sale of NonCore Gas</t>
  </si>
  <si>
    <t xml:space="preserve">     Total Power Cots</t>
  </si>
  <si>
    <t>Other Power Supply Expense</t>
  </si>
  <si>
    <t>Transmission Expense</t>
  </si>
  <si>
    <t>Distributuion Expense</t>
  </si>
  <si>
    <t>Customer Accts Expense</t>
  </si>
  <si>
    <t>Customer Service Expense</t>
  </si>
  <si>
    <t>Conservation Amortization</t>
  </si>
  <si>
    <t>Admin and General Expense</t>
  </si>
  <si>
    <t>Depreciation</t>
  </si>
  <si>
    <t>Amortization</t>
  </si>
  <si>
    <t>Amort of Property Gain/Loss</t>
  </si>
  <si>
    <t>Other Operating Expense</t>
  </si>
  <si>
    <t>Taxes Other than Income Taxes</t>
  </si>
  <si>
    <t>Income Taxes</t>
  </si>
  <si>
    <t>Deferred Income Taxes</t>
  </si>
  <si>
    <t xml:space="preserve">     Total Operating Expense</t>
  </si>
  <si>
    <t>Check==&gt;</t>
  </si>
  <si>
    <t>In Short:</t>
  </si>
  <si>
    <t>Retail Revnues</t>
  </si>
  <si>
    <t>Power Costs</t>
  </si>
  <si>
    <t>Production O&amp;M Primarily due to Colstrip</t>
  </si>
  <si>
    <t>O&amp;M</t>
  </si>
  <si>
    <t>FIT</t>
  </si>
  <si>
    <t>Other Exp less Other Rev</t>
  </si>
  <si>
    <t>Other Op Rev</t>
  </si>
  <si>
    <t xml:space="preserve">     Total Rev</t>
  </si>
  <si>
    <t xml:space="preserve">     Total Exp</t>
  </si>
  <si>
    <t>Amort Property Gain/Loss</t>
  </si>
  <si>
    <t>resex</t>
  </si>
  <si>
    <t>19GRC-17GRC</t>
  </si>
  <si>
    <t>Comparison of ERF Revenue Requirements</t>
  </si>
  <si>
    <t>2018 ERF</t>
  </si>
  <si>
    <t>Deficiency (Surplus)</t>
  </si>
  <si>
    <t>ELECTRIC</t>
  </si>
  <si>
    <t>Increase (Decrease)  in Revenue Requirement</t>
  </si>
  <si>
    <t>(Increase) Decrease in Retail Revenues</t>
  </si>
  <si>
    <t>(Increase) Decrease in Wholesale Revenues</t>
  </si>
  <si>
    <t>(Increase) Decrease in Other Revenues</t>
  </si>
  <si>
    <t>GAS</t>
  </si>
  <si>
    <t>2017 GRC</t>
  </si>
  <si>
    <t>Revenue Requirement</t>
  </si>
  <si>
    <t>&gt; 2017 GRC</t>
  </si>
  <si>
    <t>Change in RB</t>
  </si>
  <si>
    <t>Change in ROR</t>
  </si>
  <si>
    <t>Ratebase related</t>
  </si>
  <si>
    <t>&lt;=============</t>
  </si>
  <si>
    <t>Expense excl depn</t>
  </si>
  <si>
    <t>Depn/Amort</t>
  </si>
  <si>
    <t>Total Electric ERF related Revenue Requirement</t>
  </si>
  <si>
    <t>Total Gas ERF related Revenue Requirement</t>
  </si>
  <si>
    <t>Rate Base</t>
  </si>
  <si>
    <t>Utility Plant In Service</t>
  </si>
  <si>
    <t>Accum Depr And Amort</t>
  </si>
  <si>
    <t>Deferred Debits</t>
  </si>
  <si>
    <t>Deferred Taxes</t>
  </si>
  <si>
    <t>Allowance For Working Capital</t>
  </si>
  <si>
    <t>Other</t>
  </si>
  <si>
    <t>Total Rate Base</t>
  </si>
  <si>
    <t>Utility Plant In Service And Other Assets</t>
  </si>
  <si>
    <t>Accumulated Depreciation</t>
  </si>
  <si>
    <t>Accumulated Deferred Fit - Liberalized</t>
  </si>
  <si>
    <t>Depreciation And Other Liabilities</t>
  </si>
  <si>
    <t>2019 GRC</t>
  </si>
  <si>
    <t>Diff</t>
  </si>
  <si>
    <t>Total</t>
  </si>
  <si>
    <t>Total Change</t>
  </si>
  <si>
    <t>14 = 4 - 9</t>
  </si>
  <si>
    <t>Other Federal</t>
  </si>
  <si>
    <t>Change in Rentals</t>
  </si>
  <si>
    <t>13 = 3 - 8</t>
  </si>
  <si>
    <t>Other State</t>
  </si>
  <si>
    <t>Change in Retail</t>
  </si>
  <si>
    <t>12 = 2 - 7</t>
  </si>
  <si>
    <t>Rental Revenues</t>
  </si>
  <si>
    <t>Repriced Retail ERF Revenues</t>
  </si>
  <si>
    <t>Combined</t>
  </si>
  <si>
    <t>Description</t>
  </si>
  <si>
    <t>Line</t>
  </si>
  <si>
    <r>
      <t xml:space="preserve">Electric  </t>
    </r>
    <r>
      <rPr>
        <b/>
        <sz val="11"/>
        <color rgb="FF9933FF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</si>
  <si>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BEFORE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</si>
  <si>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</si>
  <si>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 </t>
    </r>
    <r>
      <rPr>
        <b/>
        <sz val="11"/>
        <color rgb="FF9933FF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</si>
  <si>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AFTER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</si>
  <si>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Gas  </t>
    </r>
    <r>
      <rPr>
        <b/>
        <sz val="11"/>
        <color rgb="FFFF0000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</si>
  <si>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 </t>
    </r>
    <r>
      <rPr>
        <b/>
        <sz val="11"/>
        <color rgb="FFFF0000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</si>
  <si>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BEFORE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</si>
  <si>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t>2019GRC</t>
  </si>
  <si>
    <t>Retail Revenues BEFORE rate increases</t>
  </si>
  <si>
    <t>Other Revenues BEFORE rate increases</t>
  </si>
  <si>
    <t>2019 GRC v 2017 GRC</t>
  </si>
  <si>
    <t>Retail Revenues AFTER rate increases</t>
  </si>
  <si>
    <t>Other Revenues AFTER rate increases</t>
  </si>
  <si>
    <t>2019 GRC Causes of Deficiency</t>
  </si>
  <si>
    <t>Deficiency / Surplus</t>
  </si>
  <si>
    <t>Change in Rate of Return</t>
  </si>
  <si>
    <t>Change in Rate Base</t>
  </si>
  <si>
    <t>Power Costs / Purchased Gas</t>
  </si>
  <si>
    <t>Production O&amp;M</t>
  </si>
  <si>
    <t>Customer</t>
  </si>
  <si>
    <t>A&amp;G</t>
  </si>
  <si>
    <t>Taxes Other Than Inc Tax</t>
  </si>
  <si>
    <t>FIT - ARAM Impacts</t>
  </si>
  <si>
    <t>Other Revenue</t>
  </si>
  <si>
    <t>Revenue and Billing Determinants</t>
  </si>
  <si>
    <t>Other Operating</t>
  </si>
  <si>
    <t>Property Gains / Loss</t>
  </si>
  <si>
    <t>check==&gt;</t>
  </si>
  <si>
    <t>In millions</t>
  </si>
  <si>
    <t>Increase (Decrease) Other Schedules</t>
  </si>
  <si>
    <t>Schedule 141 ERF</t>
  </si>
  <si>
    <t>Schedule 141X ARAM</t>
  </si>
  <si>
    <t>Schedule 95 Variable PCA</t>
  </si>
  <si>
    <t>Tariff Schedule</t>
  </si>
  <si>
    <t>Changes to Other Schedules</t>
  </si>
  <si>
    <t>Schedule 149 Gas CRM</t>
  </si>
  <si>
    <t>Subtotal Base Rates Deficiency</t>
  </si>
  <si>
    <t>Remove PGA=&gt;</t>
  </si>
  <si>
    <t>Customer Accounts Expense</t>
  </si>
  <si>
    <t>Admin and General</t>
  </si>
  <si>
    <t>Taxes Other than Income Tax</t>
  </si>
  <si>
    <t>%</t>
  </si>
  <si>
    <t>Check</t>
  </si>
  <si>
    <t xml:space="preserve">   </t>
  </si>
  <si>
    <t>(1) Adjustment from actual to proposed revenue adjustment factor (RAF).</t>
  </si>
  <si>
    <t xml:space="preserve"> </t>
  </si>
  <si>
    <t>Gas revenue (Schedule 101)</t>
  </si>
  <si>
    <t>Gas cost (Schedule 101)</t>
  </si>
  <si>
    <t>Total operating revenue</t>
  </si>
  <si>
    <t>Total other operating revenue</t>
  </si>
  <si>
    <t>Other operating revenue</t>
  </si>
  <si>
    <t>Decoupling Deferral&amp;Amortization Revenue</t>
  </si>
  <si>
    <t>Rentals</t>
  </si>
  <si>
    <t>Total revenue from sales/transport</t>
  </si>
  <si>
    <t>Contracts</t>
  </si>
  <si>
    <t>Transportation - non exclusive interrupt (87T)</t>
  </si>
  <si>
    <t>Non exclusive interruptible (87)</t>
  </si>
  <si>
    <t>Transportation - limited interruptible (86T)</t>
  </si>
  <si>
    <t>Limited interruptible (86)</t>
  </si>
  <si>
    <t>Transportation - interruptible (85T)</t>
  </si>
  <si>
    <t>Interruptible (85)</t>
  </si>
  <si>
    <t>Compressed Natural Gas Service (54)</t>
  </si>
  <si>
    <t>Transportation - general services (31T)</t>
  </si>
  <si>
    <t>Transportation - large volume (41T)</t>
  </si>
  <si>
    <t>Large volume (41)</t>
  </si>
  <si>
    <t>Commercial &amp; industrial (31)</t>
  </si>
  <si>
    <t>Residential (53)</t>
  </si>
  <si>
    <t>Residential (23)</t>
  </si>
  <si>
    <t>Residential (16)</t>
  </si>
  <si>
    <t>X</t>
  </si>
  <si>
    <t>W</t>
  </si>
  <si>
    <t>V</t>
  </si>
  <si>
    <t>U</t>
  </si>
  <si>
    <t xml:space="preserve">T </t>
  </si>
  <si>
    <t>S</t>
  </si>
  <si>
    <t>R</t>
  </si>
  <si>
    <t>Q</t>
  </si>
  <si>
    <t xml:space="preserve">P 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</si>
  <si>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</si>
  <si>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</si>
  <si>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</si>
  <si>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</si>
  <si>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</si>
  <si>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</si>
  <si>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</si>
  <si>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</si>
  <si>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</si>
  <si>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</si>
  <si>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</si>
  <si>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C</t>
  </si>
  <si>
    <t>B</t>
  </si>
  <si>
    <t>A</t>
  </si>
  <si>
    <t>Margin</t>
  </si>
  <si>
    <t>Gas Cost</t>
  </si>
  <si>
    <t>Gas Revenue</t>
  </si>
  <si>
    <t>Rate Class</t>
  </si>
  <si>
    <t>Actual Rates</t>
  </si>
  <si>
    <t>Adjustments</t>
  </si>
  <si>
    <t>Adjustement</t>
  </si>
  <si>
    <t>Adjustment</t>
  </si>
  <si>
    <t>Sch. 106</t>
  </si>
  <si>
    <t>Sch. 149</t>
  </si>
  <si>
    <t>Sch. 142</t>
  </si>
  <si>
    <t>Sch. 141</t>
  </si>
  <si>
    <t>Sch. 140</t>
  </si>
  <si>
    <t>Sch. 137</t>
  </si>
  <si>
    <t>Sch. 132</t>
  </si>
  <si>
    <t>Sch. 129</t>
  </si>
  <si>
    <t>Sch. 120</t>
  </si>
  <si>
    <t>Taxes</t>
  </si>
  <si>
    <t>Revenue</t>
  </si>
  <si>
    <t>Pro forma</t>
  </si>
  <si>
    <t>Sch. 101</t>
  </si>
  <si>
    <t>Revenue at</t>
  </si>
  <si>
    <t>RAF (1)</t>
  </si>
  <si>
    <t>Normalization</t>
  </si>
  <si>
    <t>PGA</t>
  </si>
  <si>
    <t>Restating</t>
  </si>
  <si>
    <t>CRM</t>
  </si>
  <si>
    <t>Decoupling/Rate Plan</t>
  </si>
  <si>
    <t>ERF</t>
  </si>
  <si>
    <t xml:space="preserve">Property Tax </t>
  </si>
  <si>
    <t>Carbon Offset</t>
  </si>
  <si>
    <t>Merger Credit</t>
  </si>
  <si>
    <t>Low Income</t>
  </si>
  <si>
    <t>Conservation</t>
  </si>
  <si>
    <t>Municipal</t>
  </si>
  <si>
    <t>Statement</t>
  </si>
  <si>
    <t>Restated</t>
  </si>
  <si>
    <t>Normalized</t>
  </si>
  <si>
    <t>Weather</t>
  </si>
  <si>
    <t>Deferral</t>
  </si>
  <si>
    <t>Remove</t>
  </si>
  <si>
    <t>Income</t>
  </si>
  <si>
    <t>Restated Gas Costs (Schedule 101) &amp; Margin</t>
  </si>
  <si>
    <t>Reconciliation of Test Year Revenue</t>
  </si>
  <si>
    <t>Test Year Ended September 30, 2016</t>
  </si>
  <si>
    <t>Reconciliation of Revenue at Actual Rates by Rate Schedule</t>
  </si>
  <si>
    <t>2017 General Rate Case - Gas</t>
  </si>
  <si>
    <t>Puget Sound Energy</t>
  </si>
  <si>
    <t>Revenue:</t>
  </si>
  <si>
    <t>Expense:</t>
  </si>
  <si>
    <t>less PGA</t>
  </si>
  <si>
    <t>Gas w PGA</t>
  </si>
  <si>
    <t>Net Revenue Change</t>
  </si>
  <si>
    <t>Storm Amortization</t>
  </si>
  <si>
    <t>Deferral Amortizations</t>
  </si>
  <si>
    <t>Depreciation and Amortization</t>
  </si>
  <si>
    <t>Table 1</t>
  </si>
  <si>
    <t xml:space="preserve">Total Change </t>
  </si>
  <si>
    <t>AMORT OF AMI DEF'D RETURN THROUGH APR 2020:  3YRS MAY '20 - APR '23  (2)</t>
  </si>
  <si>
    <t>AMORT OF AMI DEF'D DEPREC THROUGH APR 2020:  3YRS MAY '20 - APR '23  (3)</t>
  </si>
  <si>
    <t>AMORTIZATION OF GTZ DEFERRAL</t>
  </si>
  <si>
    <t>Increase in Other Op Expense Primarily Due to Amortization on Deferrlas</t>
  </si>
  <si>
    <t>Reg Assets and Liab</t>
  </si>
  <si>
    <t>Storm</t>
  </si>
  <si>
    <t>Summary:</t>
  </si>
  <si>
    <t xml:space="preserve">     Proforma Total</t>
  </si>
  <si>
    <t>Reg Asset &amp; Liab</t>
  </si>
  <si>
    <t>Storm Pro forma</t>
  </si>
  <si>
    <t xml:space="preserve">     Test Yr Total</t>
  </si>
  <si>
    <t>Electron</t>
  </si>
  <si>
    <t>White River</t>
  </si>
  <si>
    <t>Test Year</t>
  </si>
  <si>
    <t>check</t>
  </si>
  <si>
    <t>2017GRC</t>
  </si>
  <si>
    <t/>
  </si>
  <si>
    <t>9</t>
  </si>
  <si>
    <t>Amortization of White River</t>
  </si>
  <si>
    <t>Depreciation Expense</t>
  </si>
  <si>
    <t>40700015</t>
  </si>
  <si>
    <t>8</t>
  </si>
  <si>
    <t>7</t>
  </si>
  <si>
    <t>6</t>
  </si>
  <si>
    <t>5</t>
  </si>
  <si>
    <t>4</t>
  </si>
  <si>
    <t>3</t>
  </si>
  <si>
    <t>2</t>
  </si>
  <si>
    <t>1</t>
  </si>
  <si>
    <t>12</t>
  </si>
  <si>
    <t>11</t>
  </si>
  <si>
    <t>White River Amortization</t>
  </si>
  <si>
    <t>White River Reg Asse</t>
  </si>
  <si>
    <t>40700050</t>
  </si>
  <si>
    <t>10</t>
  </si>
  <si>
    <t>Amort UB Unrecovered Plant &amp; Reg Study Cost</t>
  </si>
  <si>
    <t>BLKDUpBakr-Unrec Stu</t>
  </si>
  <si>
    <t>Amortization Expense</t>
  </si>
  <si>
    <t>40700018</t>
  </si>
  <si>
    <t>40700055</t>
  </si>
  <si>
    <t>40700014</t>
  </si>
  <si>
    <t>True Up Amort Electron Asset Loss</t>
  </si>
  <si>
    <t>BLKDElctrn UnrecLoss</t>
  </si>
  <si>
    <t>Regulatory Amortizat</t>
  </si>
  <si>
    <t>Amortize Electron of Asset Loss</t>
  </si>
  <si>
    <t>Storm Amortization 2010-2017 - 4yrs</t>
  </si>
  <si>
    <t>2014 StormAmort-4Yrs</t>
  </si>
  <si>
    <t>Amort 2010 Deferred Wind Storms</t>
  </si>
  <si>
    <t>2010 Storm - 4 yr Am</t>
  </si>
  <si>
    <t>40700045</t>
  </si>
  <si>
    <t>Correct 01-07.2018 White River Amort</t>
  </si>
  <si>
    <t>2012 Storm Amortization - 6yrs</t>
  </si>
  <si>
    <t>2012 StormAmort-6Yrs</t>
  </si>
  <si>
    <t>Amort 12/13/06 Deferred Wind Storm</t>
  </si>
  <si>
    <t>12/13/2006 Storm 10y</t>
  </si>
  <si>
    <t>40700025</t>
  </si>
  <si>
    <t>Period</t>
  </si>
  <si>
    <t>Name</t>
  </si>
  <si>
    <t>Name of offsetting account</t>
  </si>
  <si>
    <t>Cost element name</t>
  </si>
  <si>
    <t>Val.in rep.cur.</t>
  </si>
  <si>
    <t>Order</t>
  </si>
  <si>
    <t>JAP-14</t>
  </si>
  <si>
    <t>JAP-15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</si>
</sst>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_(* #,##0_);_(* \(#,##0\);_(* &quot;-&quot;??_);_(@_)"/>
    <numFmt numFmtId="166" formatCode="#,##0;\(#,##0\)"/>
    <numFmt numFmtId="167" formatCode="_(&quot;$&quot;* #,##0_);_(&quot;$&quot;* \(#,##0\);_(&quot;$&quot;* &quot;-&quot;??_);_(@_)"/>
    <numFmt numFmtId="168" formatCode="__@"/>
    <numFmt numFmtId="169" formatCode="_(* #,##0.000000_);_(* \(#,##0.000000\);_(* &quot;-&quot;??_);_(@_)"/>
    <numFmt numFmtId="170" formatCode="0.0%"/>
    <numFmt numFmtId="171" formatCode="_(&quot;$&quot;* #,##0.0_);_(&quot;$&quot;* \(#,##0.0\);_(&quot;$&quot;* &quot;-&quot;_);_(@_)"/>
    <numFmt numFmtId="172" formatCode="#,##0.0_);\(#,##0.0\)"/>
    <numFmt numFmtId="173" formatCode="_(* #,##0.000000_);_(* \(#,##0.000000\);_(* &quot;-&quot;_);_(@_)"/>
    <numFmt numFmtId="174" formatCode="_(* #,##0.0000_);_(* \(#,##0.0000\);_(* &quot;-&quot;_);_(@_)"/>
    <numFmt numFmtId="175" formatCode="_(&quot;$&quot;* #,##0.000000_);_(&quot;$&quot;* \(#,##0.000000\);_(&quot;$&quot;* &quot;-&quot;_);_(@_)"/>
    <numFmt numFmtId="176" formatCode="#,##0.0000000_);\(#,##0.0000000\)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9933FF"/>
      <name val="Calibri"/>
      <family val="2"/>
      <scheme val="minor"/>
    </font>
    <font>
      <b/>
      <sz val="11"/>
      <color rgb="FF9933FF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21"/>
      <name val="Arial"/>
      <family val="2"/>
    </font>
    <font>
      <sz val="11"/>
      <color rgb="FF008080"/>
      <name val="Calibri"/>
      <family val="2"/>
      <scheme val="minor"/>
    </font>
    <font>
      <sz val="10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/>
    </xf>
    <xf numFmtId="165" fontId="0" fillId="0" borderId="0" xfId="0" applyNumberFormat="1" applyFo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/>
    <xf numFmtId="167" fontId="3" fillId="0" borderId="0" xfId="0" applyNumberFormat="1" applyFont="1" applyFill="1" applyAlignment="1"/>
    <xf numFmtId="10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0" xfId="0" applyFont="1"/>
    <xf numFmtId="41" fontId="4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Border="1" applyAlignment="1"/>
    <xf numFmtId="41" fontId="4" fillId="2" borderId="0" xfId="0" applyNumberFormat="1" applyFont="1" applyFill="1" applyBorder="1" applyAlignment="1" applyProtection="1">
      <protection locked="0"/>
    </xf>
    <xf numFmtId="41" fontId="4" fillId="2" borderId="2" xfId="0" applyNumberFormat="1" applyFont="1" applyFill="1" applyBorder="1" applyAlignment="1" applyProtection="1">
      <protection locked="0"/>
    </xf>
    <xf numFmtId="167" fontId="3" fillId="0" borderId="1" xfId="0" applyNumberFormat="1" applyFont="1" applyFill="1" applyBorder="1" applyAlignment="1"/>
    <xf numFmtId="165" fontId="5" fillId="0" borderId="0" xfId="0" applyNumberFormat="1" applyFont="1"/>
    <xf numFmtId="168" fontId="6" fillId="0" borderId="4" xfId="0" quotePrefix="1" applyNumberFormat="1" applyFont="1" applyFill="1" applyBorder="1" applyAlignment="1">
      <alignment horizontal="left"/>
    </xf>
    <xf numFmtId="168" fontId="6" fillId="0" borderId="4" xfId="0" applyNumberFormat="1" applyFont="1" applyFill="1" applyBorder="1"/>
    <xf numFmtId="168" fontId="7" fillId="0" borderId="4" xfId="0" quotePrefix="1" applyNumberFormat="1" applyFont="1" applyFill="1" applyBorder="1" applyAlignment="1">
      <alignment horizontal="left"/>
    </xf>
    <xf numFmtId="42" fontId="0" fillId="0" borderId="0" xfId="0" applyNumberFormat="1"/>
    <xf numFmtId="165" fontId="0" fillId="0" borderId="1" xfId="0" applyNumberFormat="1" applyFont="1" applyBorder="1"/>
    <xf numFmtId="43" fontId="8" fillId="0" borderId="0" xfId="0" applyNumberFormat="1" applyFont="1"/>
    <xf numFmtId="165" fontId="0" fillId="0" borderId="3" xfId="0" applyNumberFormat="1" applyFont="1" applyBorder="1"/>
    <xf numFmtId="165" fontId="1" fillId="2" borderId="0" xfId="0" applyNumberFormat="1" applyFont="1" applyFill="1"/>
    <xf numFmtId="168" fontId="9" fillId="0" borderId="4" xfId="0" applyNumberFormat="1" applyFont="1" applyFill="1" applyBorder="1" applyAlignment="1">
      <alignment horizontal="right"/>
    </xf>
    <xf numFmtId="168" fontId="6" fillId="0" borderId="0" xfId="0" applyNumberFormat="1" applyFont="1" applyFill="1" applyBorder="1"/>
    <xf numFmtId="165" fontId="0" fillId="0" borderId="5" xfId="0" applyNumberFormat="1" applyFont="1" applyBorder="1"/>
    <xf numFmtId="165" fontId="0" fillId="0" borderId="0" xfId="0" applyNumberFormat="1" applyFont="1" applyBorder="1"/>
    <xf numFmtId="165" fontId="0" fillId="0" borderId="0" xfId="0" applyNumberFormat="1" applyBorder="1"/>
    <xf numFmtId="165" fontId="0" fillId="0" borderId="0" xfId="0" applyNumberFormat="1"/>
    <xf numFmtId="10" fontId="0" fillId="0" borderId="0" xfId="0" applyNumberFormat="1"/>
    <xf numFmtId="44" fontId="0" fillId="0" borderId="0" xfId="0" applyNumberFormat="1"/>
    <xf numFmtId="169" fontId="0" fillId="0" borderId="0" xfId="0" applyNumberFormat="1" applyFont="1"/>
    <xf numFmtId="170" fontId="0" fillId="0" borderId="0" xfId="0" applyNumberFormat="1" applyFont="1"/>
    <xf numFmtId="10" fontId="0" fillId="0" borderId="0" xfId="0" applyNumberFormat="1" applyFont="1"/>
    <xf numFmtId="167" fontId="0" fillId="0" borderId="0" xfId="0" applyNumberFormat="1"/>
    <xf numFmtId="0" fontId="0" fillId="0" borderId="0" xfId="0" applyFont="1"/>
    <xf numFmtId="10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/>
    <xf numFmtId="0" fontId="2" fillId="0" borderId="2" xfId="0" applyFont="1" applyBorder="1" applyAlignment="1">
      <alignment horizontal="centerContinuous"/>
    </xf>
    <xf numFmtId="14" fontId="2" fillId="0" borderId="2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Font="1" applyBorder="1"/>
    <xf numFmtId="42" fontId="0" fillId="0" borderId="0" xfId="0" applyNumberFormat="1" applyFont="1"/>
    <xf numFmtId="42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Border="1"/>
    <xf numFmtId="41" fontId="0" fillId="0" borderId="0" xfId="0" applyNumberFormat="1" applyFont="1" applyBorder="1"/>
    <xf numFmtId="42" fontId="0" fillId="0" borderId="3" xfId="0" applyNumberFormat="1" applyFont="1" applyBorder="1"/>
    <xf numFmtId="37" fontId="1" fillId="0" borderId="0" xfId="0" applyNumberFormat="1" applyFont="1"/>
    <xf numFmtId="37" fontId="1" fillId="0" borderId="0" xfId="0" applyNumberFormat="1" applyFont="1" applyBorder="1"/>
    <xf numFmtId="41" fontId="0" fillId="0" borderId="0" xfId="0" applyNumberFormat="1" applyFont="1" applyFill="1"/>
    <xf numFmtId="0" fontId="0" fillId="3" borderId="0" xfId="0" applyFont="1" applyFill="1"/>
    <xf numFmtId="37" fontId="1" fillId="3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"/>
    </xf>
    <xf numFmtId="42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4" fontId="10" fillId="0" borderId="0" xfId="0" applyNumberFormat="1" applyFont="1" applyBorder="1" applyAlignment="1">
      <alignment horizontal="center"/>
    </xf>
    <xf numFmtId="42" fontId="0" fillId="0" borderId="0" xfId="0" applyNumberFormat="1" applyFont="1"/>
    <xf numFmtId="42" fontId="0" fillId="0" borderId="0" xfId="0" applyNumberFormat="1" applyFont="1" applyBorder="1"/>
    <xf numFmtId="42" fontId="0" fillId="0" borderId="3" xfId="0" applyNumberFormat="1" applyFont="1" applyBorder="1"/>
    <xf numFmtId="42" fontId="0" fillId="0" borderId="0" xfId="0" applyNumberFormat="1" applyFont="1" applyFill="1"/>
    <xf numFmtId="42" fontId="0" fillId="0" borderId="3" xfId="0" applyNumberFormat="1" applyFont="1" applyFill="1" applyBorder="1"/>
    <xf numFmtId="41" fontId="0" fillId="5" borderId="0" xfId="0" applyNumberFormat="1" applyFont="1" applyFill="1"/>
    <xf numFmtId="41" fontId="0" fillId="5" borderId="2" xfId="0" applyNumberFormat="1" applyFont="1" applyFill="1" applyBorder="1"/>
    <xf numFmtId="42" fontId="0" fillId="0" borderId="1" xfId="0" applyNumberFormat="1" applyBorder="1"/>
    <xf numFmtId="0" fontId="0" fillId="0" borderId="0" xfId="0" applyAlignment="1">
      <alignment horizontal="right"/>
    </xf>
    <xf numFmtId="41" fontId="0" fillId="0" borderId="0" xfId="0" applyNumberFormat="1"/>
    <xf numFmtId="0" fontId="0" fillId="0" borderId="0" xfId="0" applyBorder="1"/>
    <xf numFmtId="0" fontId="13" fillId="0" borderId="0" xfId="0" applyFont="1"/>
    <xf numFmtId="0" fontId="0" fillId="0" borderId="1" xfId="0" applyBorder="1"/>
    <xf numFmtId="41" fontId="0" fillId="0" borderId="0" xfId="0" applyNumberFormat="1" applyFill="1"/>
    <xf numFmtId="42" fontId="0" fillId="0" borderId="0" xfId="0" applyNumberFormat="1" applyFill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6" borderId="0" xfId="0" applyFill="1"/>
    <xf numFmtId="0" fontId="2" fillId="6" borderId="0" xfId="0" applyFont="1" applyFill="1"/>
    <xf numFmtId="0" fontId="0" fillId="6" borderId="0" xfId="0" applyFont="1" applyFill="1"/>
    <xf numFmtId="0" fontId="0" fillId="0" borderId="0" xfId="0" applyFill="1"/>
    <xf numFmtId="0" fontId="2" fillId="0" borderId="0" xfId="0" applyFont="1" applyFill="1"/>
    <xf numFmtId="0" fontId="17" fillId="0" borderId="0" xfId="0" applyFont="1" applyAlignment="1">
      <alignment horizontal="centerContinuous"/>
    </xf>
    <xf numFmtId="0" fontId="18" fillId="0" borderId="0" xfId="0" applyFont="1"/>
    <xf numFmtId="37" fontId="0" fillId="0" borderId="0" xfId="0" applyNumberFormat="1"/>
    <xf numFmtId="37" fontId="0" fillId="0" borderId="3" xfId="0" applyNumberFormat="1" applyBorder="1"/>
    <xf numFmtId="37" fontId="5" fillId="0" borderId="0" xfId="0" applyNumberFormat="1" applyFont="1"/>
    <xf numFmtId="0" fontId="5" fillId="0" borderId="0" xfId="0" applyFont="1" applyAlignment="1">
      <alignment horizontal="right"/>
    </xf>
    <xf numFmtId="171" fontId="0" fillId="0" borderId="0" xfId="0" applyNumberFormat="1"/>
    <xf numFmtId="172" fontId="0" fillId="0" borderId="0" xfId="0" applyNumberFormat="1"/>
    <xf numFmtId="172" fontId="1" fillId="0" borderId="0" xfId="0" applyNumberFormat="1" applyFont="1"/>
    <xf numFmtId="172" fontId="0" fillId="0" borderId="3" xfId="0" applyNumberFormat="1" applyBorder="1"/>
    <xf numFmtId="0" fontId="0" fillId="0" borderId="0" xfId="0" applyAlignment="1">
      <alignment horizontal="centerContinuous"/>
    </xf>
    <xf numFmtId="165" fontId="0" fillId="0" borderId="0" xfId="0" applyNumberFormat="1" applyFont="1" applyFill="1"/>
    <xf numFmtId="165" fontId="0" fillId="0" borderId="1" xfId="0" applyNumberFormat="1" applyFont="1" applyFill="1" applyBorder="1"/>
    <xf numFmtId="41" fontId="0" fillId="5" borderId="0" xfId="0" applyNumberFormat="1" applyFont="1" applyFill="1" applyBorder="1"/>
    <xf numFmtId="41" fontId="0" fillId="0" borderId="1" xfId="0" applyNumberFormat="1" applyBorder="1"/>
    <xf numFmtId="42" fontId="0" fillId="0" borderId="7" xfId="0" applyNumberFormat="1" applyBorder="1"/>
    <xf numFmtId="41" fontId="0" fillId="5" borderId="1" xfId="0" applyNumberFormat="1" applyFont="1" applyFill="1" applyBorder="1"/>
    <xf numFmtId="0" fontId="5" fillId="0" borderId="0" xfId="0" applyFont="1" applyAlignment="1">
      <alignment horizontal="center"/>
    </xf>
    <xf numFmtId="165" fontId="1" fillId="0" borderId="0" xfId="0" applyNumberFormat="1" applyFont="1"/>
    <xf numFmtId="41" fontId="5" fillId="0" borderId="0" xfId="0" applyNumberFormat="1" applyFont="1" applyFill="1"/>
    <xf numFmtId="0" fontId="6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42" fontId="6" fillId="0" borderId="0" xfId="0" applyNumberFormat="1" applyFont="1" applyBorder="1"/>
    <xf numFmtId="42" fontId="6" fillId="0" borderId="0" xfId="0" applyNumberFormat="1" applyFont="1"/>
    <xf numFmtId="0" fontId="6" fillId="0" borderId="0" xfId="0" applyFont="1" applyFill="1" applyAlignment="1">
      <alignment vertical="top" wrapText="1"/>
    </xf>
    <xf numFmtId="0" fontId="6" fillId="0" borderId="0" xfId="0" quotePrefix="1" applyFont="1" applyAlignment="1">
      <alignment vertical="top"/>
    </xf>
    <xf numFmtId="0" fontId="6" fillId="0" borderId="0" xfId="0" applyFont="1" applyFill="1" applyAlignment="1">
      <alignment vertical="top"/>
    </xf>
    <xf numFmtId="41" fontId="6" fillId="0" borderId="0" xfId="0" applyNumberFormat="1" applyFont="1" applyBorder="1"/>
    <xf numFmtId="41" fontId="6" fillId="0" borderId="0" xfId="0" applyNumberFormat="1" applyFont="1"/>
    <xf numFmtId="42" fontId="6" fillId="0" borderId="0" xfId="0" applyNumberFormat="1" applyFont="1" applyFill="1"/>
    <xf numFmtId="174" fontId="6" fillId="0" borderId="0" xfId="0" applyNumberFormat="1" applyFont="1"/>
    <xf numFmtId="44" fontId="6" fillId="0" borderId="0" xfId="0" applyNumberFormat="1" applyFont="1" applyFill="1"/>
    <xf numFmtId="173" fontId="6" fillId="0" borderId="0" xfId="0" applyNumberFormat="1" applyFont="1"/>
    <xf numFmtId="41" fontId="6" fillId="0" borderId="0" xfId="0" applyNumberFormat="1" applyFont="1" applyFill="1"/>
    <xf numFmtId="175" fontId="6" fillId="0" borderId="0" xfId="0" applyNumberFormat="1" applyFont="1" applyBorder="1"/>
    <xf numFmtId="42" fontId="6" fillId="0" borderId="0" xfId="0" applyNumberFormat="1" applyFont="1" applyFill="1" applyBorder="1"/>
    <xf numFmtId="0" fontId="6" fillId="0" borderId="0" xfId="0" applyFont="1" applyAlignment="1">
      <alignment horizontal="left"/>
    </xf>
    <xf numFmtId="42" fontId="19" fillId="0" borderId="0" xfId="0" applyNumberFormat="1" applyFont="1" applyFill="1" applyBorder="1"/>
    <xf numFmtId="0" fontId="6" fillId="0" borderId="0" xfId="0" applyFont="1" applyAlignment="1">
      <alignment vertical="top"/>
    </xf>
    <xf numFmtId="42" fontId="6" fillId="0" borderId="0" xfId="0" applyNumberFormat="1" applyFont="1" applyFill="1" applyBorder="1"/>
    <xf numFmtId="42" fontId="6" fillId="0" borderId="8" xfId="0" applyNumberFormat="1" applyFont="1" applyBorder="1"/>
    <xf numFmtId="42" fontId="6" fillId="0" borderId="9" xfId="0" applyNumberFormat="1" applyFont="1" applyBorder="1"/>
    <xf numFmtId="41" fontId="6" fillId="0" borderId="0" xfId="0" applyNumberFormat="1" applyFont="1" applyFill="1" applyBorder="1" applyAlignment="1">
      <alignment horizontal="center"/>
    </xf>
    <xf numFmtId="42" fontId="19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/>
    <xf numFmtId="0" fontId="6" fillId="0" borderId="10" xfId="0" applyFont="1" applyBorder="1"/>
    <xf numFmtId="42" fontId="6" fillId="0" borderId="4" xfId="0" applyNumberFormat="1" applyFont="1" applyBorder="1"/>
    <xf numFmtId="42" fontId="6" fillId="0" borderId="10" xfId="0" applyNumberFormat="1" applyFont="1" applyBorder="1"/>
    <xf numFmtId="42" fontId="6" fillId="0" borderId="1" xfId="0" applyNumberFormat="1" applyFont="1" applyFill="1" applyBorder="1"/>
    <xf numFmtId="42" fontId="6" fillId="0" borderId="1" xfId="0" applyNumberFormat="1" applyFont="1" applyFill="1" applyBorder="1"/>
    <xf numFmtId="41" fontId="6" fillId="0" borderId="0" xfId="0" applyNumberFormat="1" applyFont="1"/>
    <xf numFmtId="41" fontId="19" fillId="0" borderId="0" xfId="0" applyNumberFormat="1" applyFont="1" applyFill="1"/>
    <xf numFmtId="41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Fill="1"/>
    <xf numFmtId="41" fontId="21" fillId="0" borderId="0" xfId="0" applyNumberFormat="1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"/>
    </xf>
    <xf numFmtId="41" fontId="21" fillId="0" borderId="0" xfId="0" applyNumberFormat="1" applyFont="1"/>
    <xf numFmtId="42" fontId="6" fillId="0" borderId="1" xfId="0" applyNumberFormat="1" applyFont="1" applyBorder="1"/>
    <xf numFmtId="42" fontId="6" fillId="0" borderId="0" xfId="0" applyNumberFormat="1" applyFont="1" applyBorder="1" applyAlignment="1">
      <alignment horizontal="center"/>
    </xf>
    <xf numFmtId="41" fontId="19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2" fontId="6" fillId="0" borderId="11" xfId="0" applyNumberFormat="1" applyFont="1" applyBorder="1"/>
    <xf numFmtId="42" fontId="6" fillId="0" borderId="12" xfId="0" applyNumberFormat="1" applyFont="1" applyBorder="1"/>
    <xf numFmtId="42" fontId="1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2" fontId="6" fillId="0" borderId="0" xfId="0" applyNumberFormat="1" applyFont="1" applyFill="1" applyBorder="1" applyAlignment="1">
      <alignment horizontal="center"/>
    </xf>
    <xf numFmtId="42" fontId="21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2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horizontal="left"/>
    </xf>
    <xf numFmtId="0" fontId="11" fillId="0" borderId="0" xfId="0" applyFont="1" applyAlignment="1">
      <alignment horizontal="centerContinuous"/>
    </xf>
    <xf numFmtId="9" fontId="2" fillId="0" borderId="0" xfId="0" applyNumberFormat="1" applyFont="1" applyAlignment="1">
      <alignment horizontal="center"/>
    </xf>
    <xf numFmtId="37" fontId="24" fillId="0" borderId="0" xfId="0" applyNumberFormat="1" applyFont="1"/>
    <xf numFmtId="0" fontId="25" fillId="0" borderId="0" xfId="0" applyFont="1"/>
    <xf numFmtId="0" fontId="25" fillId="8" borderId="0" xfId="0" applyFont="1" applyFill="1"/>
    <xf numFmtId="171" fontId="25" fillId="8" borderId="3" xfId="0" applyNumberFormat="1" applyFont="1" applyFill="1" applyBorder="1"/>
    <xf numFmtId="0" fontId="25" fillId="8" borderId="0" xfId="0" applyFont="1" applyFill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0" xfId="0" applyNumberFormat="1" applyFont="1" applyFill="1" applyAlignment="1">
      <alignment horizontal="centerContinuous"/>
    </xf>
    <xf numFmtId="0" fontId="26" fillId="8" borderId="0" xfId="0" applyFont="1" applyFill="1" applyAlignment="1">
      <alignment horizontal="centerContinuous"/>
    </xf>
    <xf numFmtId="44" fontId="0" fillId="0" borderId="3" xfId="0" applyNumberFormat="1" applyBorder="1"/>
    <xf numFmtId="167" fontId="0" fillId="0" borderId="3" xfId="0" applyNumberFormat="1" applyBorder="1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5" fontId="0" fillId="0" borderId="3" xfId="0" applyNumberFormat="1" applyBorder="1"/>
    <xf numFmtId="165" fontId="0" fillId="0" borderId="0" xfId="0" quotePrefix="1" applyNumberFormat="1" applyFont="1" applyAlignment="1"/>
    <xf numFmtId="0" fontId="0" fillId="0" borderId="0" xfId="0" quotePrefix="1"/>
    <xf numFmtId="0" fontId="3" fillId="0" borderId="0" xfId="0" applyFont="1" applyAlignment="1">
      <alignment horizontal="left" indent="1"/>
    </xf>
    <xf numFmtId="41" fontId="0" fillId="0" borderId="3" xfId="0" applyNumberFormat="1" applyBorder="1"/>
    <xf numFmtId="165" fontId="0" fillId="0" borderId="0" xfId="0" applyNumberFormat="1" applyFont="1" applyAlignment="1">
      <alignment vertical="top"/>
    </xf>
    <xf numFmtId="165" fontId="0" fillId="9" borderId="3" xfId="0" applyNumberFormat="1" applyFont="1" applyFill="1" applyBorder="1" applyAlignment="1">
      <alignment vertical="top"/>
    </xf>
    <xf numFmtId="0" fontId="6" fillId="9" borderId="0" xfId="0" applyFont="1" applyFill="1" applyAlignment="1">
      <alignment vertical="top"/>
    </xf>
    <xf numFmtId="165" fontId="0" fillId="9" borderId="0" xfId="0" applyNumberFormat="1" applyFont="1" applyFill="1" applyAlignment="1">
      <alignment vertical="top"/>
    </xf>
    <xf numFmtId="0" fontId="7" fillId="0" borderId="0" xfId="0" applyFont="1" applyAlignment="1">
      <alignment vertical="top"/>
    </xf>
    <xf numFmtId="165" fontId="0" fillId="0" borderId="14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12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4" fontId="6" fillId="0" borderId="3" xfId="0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4" fontId="6" fillId="7" borderId="6" xfId="0" applyNumberFormat="1" applyFont="1" applyFill="1" applyBorder="1" applyAlignment="1">
      <alignment horizontal="right" vertical="top"/>
    </xf>
    <xf numFmtId="4" fontId="6" fillId="7" borderId="0" xfId="0" applyNumberFormat="1" applyFont="1" applyFill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6" fillId="10" borderId="0" xfId="0" applyNumberFormat="1" applyFont="1" applyFill="1" applyAlignment="1">
      <alignment horizontal="right" vertical="top"/>
    </xf>
    <xf numFmtId="4" fontId="6" fillId="11" borderId="0" xfId="0" applyNumberFormat="1" applyFont="1" applyFill="1" applyAlignment="1">
      <alignment horizontal="right" vertical="top"/>
    </xf>
    <xf numFmtId="0" fontId="6" fillId="4" borderId="6" xfId="0" applyFont="1" applyFill="1" applyBorder="1" applyAlignment="1">
      <alignment vertical="top"/>
    </xf>
    <xf numFmtId="0" fontId="27" fillId="0" borderId="0" xfId="0" applyFont="1" applyAlignment="1">
      <alignment vertical="top"/>
    </xf>
    <xf numFmtId="37" fontId="1" fillId="0" borderId="0" xfId="0" applyNumberFormat="1" applyFont="1" applyAlignment="1">
      <alignment horizontal="left"/>
    </xf>
    <xf numFmtId="171" fontId="25" fillId="8" borderId="0" xfId="0" applyNumberFormat="1" applyFont="1" applyFill="1"/>
    <xf numFmtId="172" fontId="25" fillId="8" borderId="0" xfId="0" applyNumberFormat="1" applyFont="1" applyFill="1"/>
    <xf numFmtId="42" fontId="0" fillId="0" borderId="0" xfId="0" applyNumberFormat="1" applyFill="1" applyBorder="1"/>
    <xf numFmtId="0" fontId="0" fillId="0" borderId="0" xfId="0" applyFill="1" applyBorder="1"/>
    <xf numFmtId="176" fontId="0" fillId="0" borderId="0" xfId="0" applyNumberFormat="1" applyFont="1"/>
    <xf numFmtId="4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99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7">
          <cell r="U37">
            <v>-3117</v>
          </cell>
          <cell r="V37">
            <v>-25799</v>
          </cell>
          <cell r="W37">
            <v>25799</v>
          </cell>
          <cell r="X37">
            <v>-3117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4">
          <cell r="H14">
            <v>7.6200000000000004E-2</v>
          </cell>
        </row>
        <row r="21">
          <cell r="C21">
            <v>104502623</v>
          </cell>
        </row>
        <row r="28">
          <cell r="C28">
            <v>101385623</v>
          </cell>
        </row>
      </sheetData>
      <sheetData sheetId="1">
        <row r="14">
          <cell r="G14">
            <v>1996675023.7812319</v>
          </cell>
          <cell r="I14">
            <v>2100822734.6718001</v>
          </cell>
        </row>
        <row r="15">
          <cell r="G15">
            <v>327360.15999999898</v>
          </cell>
          <cell r="I15">
            <v>682272.26943168347</v>
          </cell>
        </row>
        <row r="16">
          <cell r="G16">
            <v>5469488.0226491988</v>
          </cell>
          <cell r="I16">
            <v>5469488.0226491988</v>
          </cell>
        </row>
        <row r="17">
          <cell r="G17">
            <v>76831178.983163416</v>
          </cell>
          <cell r="I17">
            <v>76831178.983163416</v>
          </cell>
        </row>
        <row r="23">
          <cell r="G23">
            <v>180672605.83404732</v>
          </cell>
          <cell r="I23">
            <v>180672605.83404732</v>
          </cell>
        </row>
        <row r="24">
          <cell r="G24">
            <v>446679558.91286945</v>
          </cell>
          <cell r="I24">
            <v>446679558.91286945</v>
          </cell>
        </row>
        <row r="25">
          <cell r="G25">
            <v>112334321.32462588</v>
          </cell>
          <cell r="I25">
            <v>112334321.32462588</v>
          </cell>
        </row>
        <row r="26">
          <cell r="G26">
            <v>0</v>
          </cell>
          <cell r="I26">
            <v>0</v>
          </cell>
        </row>
        <row r="29">
          <cell r="G29">
            <v>109175792.16812748</v>
          </cell>
          <cell r="I29">
            <v>109175792.16812748</v>
          </cell>
        </row>
        <row r="30">
          <cell r="G30">
            <v>24808255.482911851</v>
          </cell>
          <cell r="I30">
            <v>24808255.482911851</v>
          </cell>
        </row>
        <row r="31">
          <cell r="G31">
            <v>85568806.870639399</v>
          </cell>
          <cell r="I31">
            <v>85568806.870639399</v>
          </cell>
        </row>
        <row r="32">
          <cell r="G32">
            <v>52087545.238958701</v>
          </cell>
          <cell r="I32">
            <v>52973622.979375705</v>
          </cell>
        </row>
        <row r="33">
          <cell r="G33">
            <v>4083540.0869522342</v>
          </cell>
          <cell r="I33">
            <v>4083540.0869522342</v>
          </cell>
        </row>
        <row r="34">
          <cell r="G34">
            <v>0</v>
          </cell>
          <cell r="I34">
            <v>0</v>
          </cell>
        </row>
        <row r="35">
          <cell r="G35">
            <v>127789990.86467096</v>
          </cell>
          <cell r="I35">
            <v>127998996.11067097</v>
          </cell>
        </row>
        <row r="36">
          <cell r="G36">
            <v>346798358.68028539</v>
          </cell>
          <cell r="I36">
            <v>346798358.68028539</v>
          </cell>
        </row>
        <row r="37">
          <cell r="G37">
            <v>94343659.774467438</v>
          </cell>
          <cell r="I37">
            <v>94343659.774467438</v>
          </cell>
        </row>
        <row r="38">
          <cell r="G38">
            <v>43150399.323406145</v>
          </cell>
          <cell r="I38">
            <v>43150399.323406145</v>
          </cell>
        </row>
        <row r="39">
          <cell r="G39">
            <v>16774566.453813115</v>
          </cell>
          <cell r="I39">
            <v>16774566.453813115</v>
          </cell>
        </row>
        <row r="40">
          <cell r="G40">
            <v>0</v>
          </cell>
          <cell r="I40">
            <v>0</v>
          </cell>
        </row>
        <row r="41">
          <cell r="G41">
            <v>86495562.504948318</v>
          </cell>
          <cell r="I41">
            <v>90509090.243886322</v>
          </cell>
        </row>
        <row r="42">
          <cell r="G42">
            <v>74218134.462338135</v>
          </cell>
          <cell r="I42">
            <v>95090861.364620134</v>
          </cell>
        </row>
        <row r="43">
          <cell r="G43">
            <v>-60815173.145295337</v>
          </cell>
          <cell r="I43">
            <v>-60815173.145295337</v>
          </cell>
        </row>
        <row r="46">
          <cell r="G46">
            <v>335137126.10927796</v>
          </cell>
          <cell r="I46">
            <v>413658411.48164082</v>
          </cell>
        </row>
        <row r="48">
          <cell r="G48">
            <v>5428588080.5290194</v>
          </cell>
          <cell r="I48">
            <v>5428588080.5290194</v>
          </cell>
        </row>
        <row r="53">
          <cell r="G53">
            <v>10965881739.478994</v>
          </cell>
          <cell r="I53">
            <v>10965881739.478994</v>
          </cell>
        </row>
        <row r="54">
          <cell r="G54">
            <v>-4430239049.7081385</v>
          </cell>
          <cell r="I54">
            <v>-4430239049.7081385</v>
          </cell>
        </row>
        <row r="55">
          <cell r="G55">
            <v>254905848.40334773</v>
          </cell>
          <cell r="I55">
            <v>254905848.40334773</v>
          </cell>
        </row>
        <row r="56">
          <cell r="G56">
            <v>-1391244894.0998716</v>
          </cell>
          <cell r="I56">
            <v>-1391244894.0998716</v>
          </cell>
        </row>
        <row r="57">
          <cell r="G57">
            <v>137375215.94916266</v>
          </cell>
          <cell r="I57">
            <v>137375215.94916266</v>
          </cell>
        </row>
        <row r="58">
          <cell r="G58">
            <v>-108090779.49447501</v>
          </cell>
          <cell r="I58">
            <v>-108090779.49447501</v>
          </cell>
        </row>
      </sheetData>
      <sheetData sheetId="2">
        <row r="38">
          <cell r="BC38">
            <v>13521271.800000004</v>
          </cell>
          <cell r="BD38">
            <v>-6016033.5165937655</v>
          </cell>
        </row>
      </sheetData>
      <sheetData sheetId="3"/>
      <sheetData sheetId="4">
        <row r="31">
          <cell r="FT31">
            <v>1100394.6870659131</v>
          </cell>
          <cell r="GJ31">
            <v>6740783.0967938304</v>
          </cell>
        </row>
        <row r="32">
          <cell r="FT32">
            <v>3768050.4009562861</v>
          </cell>
        </row>
      </sheetData>
      <sheetData sheetId="5">
        <row r="23">
          <cell r="G23">
            <v>-21415123.754653782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21">
          <cell r="C21">
            <v>86128339</v>
          </cell>
        </row>
        <row r="28">
          <cell r="C28">
            <v>53719673.018225789</v>
          </cell>
        </row>
      </sheetData>
      <sheetData sheetId="1"/>
      <sheetData sheetId="2">
        <row r="14">
          <cell r="G14">
            <v>751958168.20017147</v>
          </cell>
          <cell r="I14">
            <v>838086507.20017147</v>
          </cell>
        </row>
        <row r="16">
          <cell r="G16">
            <v>10350293.969999997</v>
          </cell>
          <cell r="I16">
            <v>10350293.969999997</v>
          </cell>
        </row>
        <row r="23">
          <cell r="G23">
            <v>293190161.10942125</v>
          </cell>
          <cell r="I23">
            <v>293190161.10942125</v>
          </cell>
        </row>
        <row r="27">
          <cell r="G27">
            <v>6172164.8734382121</v>
          </cell>
          <cell r="I27">
            <v>6172164.8734382121</v>
          </cell>
        </row>
        <row r="28">
          <cell r="G28">
            <v>2168.52</v>
          </cell>
          <cell r="I28">
            <v>2168.52</v>
          </cell>
        </row>
        <row r="29">
          <cell r="G29">
            <v>62326448.760579765</v>
          </cell>
          <cell r="I29">
            <v>62326448.760579765</v>
          </cell>
        </row>
        <row r="30">
          <cell r="G30">
            <v>29704063.334614817</v>
          </cell>
          <cell r="I30">
            <v>30145384.943650816</v>
          </cell>
        </row>
        <row r="31">
          <cell r="G31">
            <v>1794848.1805972925</v>
          </cell>
          <cell r="I31">
            <v>1794848.1805972925</v>
          </cell>
        </row>
        <row r="32">
          <cell r="G32">
            <v>0</v>
          </cell>
          <cell r="I32">
            <v>0</v>
          </cell>
        </row>
        <row r="33">
          <cell r="G33">
            <v>60610476.170756862</v>
          </cell>
          <cell r="I33">
            <v>60782732.848756865</v>
          </cell>
        </row>
        <row r="34">
          <cell r="G34">
            <v>121820205.37902662</v>
          </cell>
          <cell r="I34">
            <v>121820205.37902662</v>
          </cell>
        </row>
        <row r="35">
          <cell r="G35">
            <v>37336985.997634605</v>
          </cell>
          <cell r="I35">
            <v>37336985.997634605</v>
          </cell>
        </row>
        <row r="36">
          <cell r="G36">
            <v>0</v>
          </cell>
          <cell r="I36">
            <v>0</v>
          </cell>
        </row>
        <row r="37">
          <cell r="G37">
            <v>15144087.136379622</v>
          </cell>
          <cell r="I37">
            <v>15144087.136379622</v>
          </cell>
        </row>
        <row r="38">
          <cell r="G38">
            <v>0</v>
          </cell>
          <cell r="I38">
            <v>0</v>
          </cell>
        </row>
        <row r="39">
          <cell r="G39">
            <v>36383039.47843679</v>
          </cell>
          <cell r="I39">
            <v>39683735.81393379</v>
          </cell>
        </row>
        <row r="40">
          <cell r="G40">
            <v>1986588.7878449191</v>
          </cell>
          <cell r="I40">
            <v>19251531.110428918</v>
          </cell>
        </row>
        <row r="41">
          <cell r="G41">
            <v>-199310.85898487445</v>
          </cell>
          <cell r="I41">
            <v>-199310.85898487445</v>
          </cell>
        </row>
        <row r="44">
          <cell r="G44">
            <v>96036535.300425529</v>
          </cell>
          <cell r="I44">
            <v>160985657.35530853</v>
          </cell>
        </row>
        <row r="46">
          <cell r="G46">
            <v>2112672665.850872</v>
          </cell>
          <cell r="I46">
            <v>2112672665.850872</v>
          </cell>
        </row>
        <row r="51">
          <cell r="G51">
            <v>4329775326.8504925</v>
          </cell>
          <cell r="I51">
            <v>4329775326.8504925</v>
          </cell>
        </row>
        <row r="52">
          <cell r="G52">
            <v>-1650386813.5120428</v>
          </cell>
          <cell r="I52">
            <v>-1650386813.5120428</v>
          </cell>
        </row>
        <row r="53">
          <cell r="G53">
            <v>-601828300.28014243</v>
          </cell>
          <cell r="I53">
            <v>-601828300.28014243</v>
          </cell>
        </row>
        <row r="54">
          <cell r="G54">
            <v>-18443372.966716439</v>
          </cell>
          <cell r="I54">
            <v>-18443372.966716439</v>
          </cell>
        </row>
        <row r="55">
          <cell r="G55">
            <v>53555825.759281471</v>
          </cell>
          <cell r="I55">
            <v>53555825.759281471</v>
          </cell>
        </row>
      </sheetData>
      <sheetData sheetId="3"/>
      <sheetData sheetId="4">
        <row r="31">
          <cell r="FU31">
            <v>390538.48325363314</v>
          </cell>
          <cell r="GK31">
            <v>3443207.0781477471</v>
          </cell>
        </row>
        <row r="32">
          <cell r="FU32">
            <v>1675353.5831628193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>
        <row r="39">
          <cell r="Q39">
            <v>307157819.0095886</v>
          </cell>
        </row>
        <row r="40">
          <cell r="Q40">
            <v>293190161.10942233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tabSelected="1" zoomScale="115" zoomScaleNormal="115" workbookViewId="0">
      <selection activeCell="E10" sqref="E10"/>
    </sheetView>
  </sheetViews>
  <sheetFormatPr defaultRowHeight="15.75" x14ac:dyDescent="0.25"/>
  <cols>
    <col min="1" max="1" width="2" style="185" bestFit="1" customWidth="1"/>
    <col min="2" max="2" width="33.140625" style="185" bestFit="1" customWidth="1"/>
    <col min="3" max="5" width="11.42578125" style="185" bestFit="1" customWidth="1"/>
    <col min="6" max="16384" width="9.140625" style="185"/>
  </cols>
  <sheetData>
    <row r="1" spans="1:5" x14ac:dyDescent="0.25">
      <c r="A1" s="191" t="s">
        <v>284</v>
      </c>
      <c r="B1" s="191"/>
      <c r="C1" s="191"/>
      <c r="D1" s="191"/>
      <c r="E1" s="191"/>
    </row>
    <row r="2" spans="1:5" x14ac:dyDescent="0.25">
      <c r="A2" s="186"/>
      <c r="B2" s="186"/>
      <c r="C2" s="190" t="s">
        <v>164</v>
      </c>
      <c r="D2" s="190"/>
      <c r="E2" s="190"/>
    </row>
    <row r="3" spans="1:5" x14ac:dyDescent="0.25">
      <c r="A3" s="189"/>
      <c r="B3" s="189" t="s">
        <v>150</v>
      </c>
      <c r="C3" s="189" t="s">
        <v>42</v>
      </c>
      <c r="D3" s="189" t="s">
        <v>43</v>
      </c>
      <c r="E3" s="189" t="s">
        <v>132</v>
      </c>
    </row>
    <row r="4" spans="1:5" x14ac:dyDescent="0.25">
      <c r="A4" s="186"/>
      <c r="B4" s="186"/>
      <c r="C4" s="186"/>
      <c r="D4" s="186"/>
      <c r="E4" s="186"/>
    </row>
    <row r="5" spans="1:5" x14ac:dyDescent="0.25">
      <c r="A5" s="188">
        <v>1</v>
      </c>
      <c r="B5" s="186" t="s">
        <v>152</v>
      </c>
      <c r="C5" s="223">
        <f>+ROUND('Change in Rate Base'!G13/1000000,1)</f>
        <v>19.7</v>
      </c>
      <c r="D5" s="223">
        <f>+ROUND('Change in Rate Base'!G21/1000000,1)</f>
        <v>26.4</v>
      </c>
      <c r="E5" s="223">
        <f>ROUND(SUM(C5:D5),1)</f>
        <v>46.1</v>
      </c>
    </row>
    <row r="6" spans="1:5" x14ac:dyDescent="0.25">
      <c r="A6" s="188">
        <f t="shared" ref="A6:A11" si="0">+A5+1</f>
        <v>2</v>
      </c>
      <c r="B6" s="186" t="s">
        <v>283</v>
      </c>
      <c r="C6" s="224">
        <f>+ROUND(Depreciation!D7/1000000,1)</f>
        <v>71.3</v>
      </c>
      <c r="D6" s="224">
        <f>+ROUND(Depreciation!H7/1000000,1)</f>
        <v>45.7</v>
      </c>
      <c r="E6" s="224">
        <f t="shared" ref="E6:E10" si="1">ROUND(SUM(C6:D6),1)</f>
        <v>117</v>
      </c>
    </row>
    <row r="7" spans="1:5" x14ac:dyDescent="0.25">
      <c r="A7" s="188">
        <f t="shared" si="0"/>
        <v>3</v>
      </c>
      <c r="B7" s="186" t="s">
        <v>282</v>
      </c>
      <c r="C7" s="224">
        <f>+ROUND('Deferral Amortization'!D14/1000000,1)</f>
        <v>10.3</v>
      </c>
      <c r="D7" s="224">
        <f>+ROUND('Deferral Amortization'!H14/1000000,1)</f>
        <v>6.6</v>
      </c>
      <c r="E7" s="224">
        <f t="shared" si="1"/>
        <v>16.899999999999999</v>
      </c>
    </row>
    <row r="8" spans="1:5" x14ac:dyDescent="0.25">
      <c r="A8" s="188">
        <f t="shared" si="0"/>
        <v>4</v>
      </c>
      <c r="B8" s="186" t="s">
        <v>281</v>
      </c>
      <c r="C8" s="224">
        <f>+ROUND(Summary!D18/1000000,1)</f>
        <v>7.9</v>
      </c>
      <c r="D8" s="224">
        <v>0</v>
      </c>
      <c r="E8" s="224">
        <f t="shared" si="1"/>
        <v>7.9</v>
      </c>
    </row>
    <row r="9" spans="1:5" x14ac:dyDescent="0.25">
      <c r="A9" s="188">
        <f t="shared" si="0"/>
        <v>5</v>
      </c>
      <c r="B9" s="186" t="s">
        <v>160</v>
      </c>
      <c r="C9" s="224">
        <f>SUM('[1]GRC Impacts'!$U$37+'[1]GRC Impacts'!$V$37+'[1]GRC Impacts'!$W$37)/1000-0.4</f>
        <v>-3.5169999999999999</v>
      </c>
      <c r="D9" s="224">
        <f>('[2]Combined Impacts'!$I$41+'[2]Combined Impacts'!$L$41)/1000000</f>
        <v>-21.788574303365323</v>
      </c>
      <c r="E9" s="224">
        <f t="shared" si="1"/>
        <v>-25.3</v>
      </c>
    </row>
    <row r="10" spans="1:5" x14ac:dyDescent="0.25">
      <c r="A10" s="188">
        <f t="shared" si="0"/>
        <v>6</v>
      </c>
      <c r="B10" s="186" t="s">
        <v>113</v>
      </c>
      <c r="C10" s="224">
        <f>ROUND(C11-SUM(C5:C9),1)</f>
        <v>-4.3</v>
      </c>
      <c r="D10" s="224">
        <f>ROUND(D11-SUM(D5:D9),1)</f>
        <v>-3.2</v>
      </c>
      <c r="E10" s="224">
        <f t="shared" si="1"/>
        <v>-7.5</v>
      </c>
    </row>
    <row r="11" spans="1:5" ht="16.5" thickBot="1" x14ac:dyDescent="0.3">
      <c r="A11" s="188">
        <f t="shared" si="0"/>
        <v>7</v>
      </c>
      <c r="B11" s="186" t="s">
        <v>280</v>
      </c>
      <c r="C11" s="187">
        <f>ROUND('Causes Detail'!I21,1)</f>
        <v>101.4</v>
      </c>
      <c r="D11" s="187">
        <f>ROUND('Causes Detail'!J21,1)</f>
        <v>53.7</v>
      </c>
      <c r="E11" s="187">
        <f>ROUND(SUM(E5:E10),1)</f>
        <v>155.1</v>
      </c>
    </row>
    <row r="12" spans="1:5" ht="16.5" thickTop="1" x14ac:dyDescent="0.25">
      <c r="A12" s="186"/>
      <c r="B12" s="186"/>
      <c r="C12" s="186"/>
      <c r="D12" s="186"/>
      <c r="E12" s="18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61"/>
  <sheetViews>
    <sheetView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5" x14ac:dyDescent="0.25"/>
  <cols>
    <col min="1" max="1" width="43" bestFit="1" customWidth="1"/>
    <col min="2" max="2" width="13.85546875" bestFit="1" customWidth="1"/>
    <col min="3" max="3" width="16.85546875" bestFit="1" customWidth="1"/>
    <col min="4" max="4" width="15.28515625" bestFit="1" customWidth="1"/>
    <col min="5" max="5" width="14" bestFit="1" customWidth="1"/>
    <col min="6" max="7" width="15" bestFit="1" customWidth="1"/>
    <col min="8" max="8" width="13.42578125" bestFit="1" customWidth="1"/>
    <col min="9" max="9" width="9.140625" style="92"/>
    <col min="10" max="10" width="16.5703125" customWidth="1"/>
    <col min="11" max="11" width="12.85546875" bestFit="1" customWidth="1"/>
    <col min="12" max="12" width="14.28515625" bestFit="1" customWidth="1"/>
    <col min="13" max="13" width="14" bestFit="1" customWidth="1"/>
    <col min="14" max="14" width="18.7109375" customWidth="1"/>
    <col min="15" max="15" width="15" bestFit="1" customWidth="1"/>
    <col min="16" max="16" width="13.42578125" bestFit="1" customWidth="1"/>
  </cols>
  <sheetData>
    <row r="1" spans="1:271" s="89" customFormat="1" x14ac:dyDescent="0.25">
      <c r="B1" s="90"/>
      <c r="F1" s="90"/>
      <c r="I1" s="92"/>
    </row>
    <row r="2" spans="1:271" s="92" customFormat="1" x14ac:dyDescent="0.25">
      <c r="B2" s="93"/>
      <c r="F2" s="93"/>
    </row>
    <row r="3" spans="1:271" s="92" customFormat="1" x14ac:dyDescent="0.25">
      <c r="B3" s="93" t="s">
        <v>139</v>
      </c>
      <c r="F3" s="93" t="s">
        <v>140</v>
      </c>
      <c r="J3" s="93" t="s">
        <v>141</v>
      </c>
      <c r="N3" s="93" t="s">
        <v>142</v>
      </c>
    </row>
    <row r="4" spans="1:271" x14ac:dyDescent="0.25">
      <c r="B4" s="17" t="s">
        <v>41</v>
      </c>
      <c r="C4" s="17" t="s">
        <v>40</v>
      </c>
      <c r="D4" t="s">
        <v>44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44</v>
      </c>
      <c r="N4" s="17" t="s">
        <v>41</v>
      </c>
      <c r="O4" s="17" t="s">
        <v>40</v>
      </c>
      <c r="P4" t="s">
        <v>44</v>
      </c>
    </row>
    <row r="6" spans="1:271" x14ac:dyDescent="0.25">
      <c r="A6" s="1" t="s">
        <v>0</v>
      </c>
      <c r="B6" s="5"/>
      <c r="D6" s="5"/>
      <c r="E6" s="5"/>
      <c r="F6" s="5"/>
      <c r="G6" s="5"/>
      <c r="H6" s="5"/>
      <c r="I6" s="105"/>
      <c r="J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</row>
    <row r="7" spans="1:271" x14ac:dyDescent="0.25">
      <c r="A7" s="1" t="s">
        <v>1</v>
      </c>
      <c r="B7" s="6">
        <f>+[3]Summary!I14</f>
        <v>2100822734.6718001</v>
      </c>
      <c r="C7" s="6">
        <v>1996290327.3217025</v>
      </c>
      <c r="D7" s="5">
        <f>+B7-C7</f>
        <v>104532407.35009766</v>
      </c>
      <c r="E7" s="5"/>
      <c r="F7" s="5">
        <f>+[4]Summary!$I$14</f>
        <v>838086507.20017147</v>
      </c>
      <c r="G7" s="5">
        <v>795727158.91391814</v>
      </c>
      <c r="H7" s="5">
        <f>+F7-G7</f>
        <v>42359348.286253333</v>
      </c>
      <c r="I7" s="105"/>
      <c r="J7" s="6">
        <f>+[3]Summary!G14</f>
        <v>1996675023.7812319</v>
      </c>
      <c r="K7" s="6">
        <v>1963187085.1598821</v>
      </c>
      <c r="L7" s="5">
        <f>+J7-K7</f>
        <v>33487938.621349812</v>
      </c>
      <c r="M7" s="5"/>
      <c r="N7" s="5">
        <f>+[4]Summary!$G$14</f>
        <v>751958168.20017147</v>
      </c>
      <c r="O7" s="5">
        <v>802683164.91391814</v>
      </c>
      <c r="P7" s="5">
        <f>+N7-O7</f>
        <v>-50724996.713746667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</row>
    <row r="8" spans="1:271" x14ac:dyDescent="0.25">
      <c r="A8" s="1" t="s">
        <v>2</v>
      </c>
      <c r="B8" s="7">
        <f>+[3]Summary!I15</f>
        <v>682272.26943168347</v>
      </c>
      <c r="C8" s="7">
        <v>684434.93817964476</v>
      </c>
      <c r="D8" s="5">
        <f t="shared" ref="D8:D10" si="0">+B8-C8</f>
        <v>-2162.6687479612883</v>
      </c>
      <c r="E8" s="112" t="s">
        <v>173</v>
      </c>
      <c r="F8" s="5"/>
      <c r="G8" s="5"/>
      <c r="H8" s="5">
        <f t="shared" ref="H8:H10" si="1">+F8-G8</f>
        <v>0</v>
      </c>
      <c r="I8" s="105"/>
      <c r="J8" s="7">
        <f>+[3]Summary!G15</f>
        <v>327360.15999999898</v>
      </c>
      <c r="K8" s="7">
        <v>316389.10000000003</v>
      </c>
      <c r="L8" s="5">
        <f t="shared" ref="L8:L10" si="2">+J8-K8</f>
        <v>10971.05999999895</v>
      </c>
      <c r="M8" s="112" t="s">
        <v>173</v>
      </c>
      <c r="N8" s="5"/>
      <c r="O8" s="5"/>
      <c r="P8" s="5">
        <f t="shared" ref="P8:P10" si="3">+N8-O8</f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</row>
    <row r="9" spans="1:271" x14ac:dyDescent="0.25">
      <c r="A9" s="1" t="s">
        <v>3</v>
      </c>
      <c r="B9" s="7">
        <f>+[3]Summary!I16</f>
        <v>5469488.0226491988</v>
      </c>
      <c r="C9" s="7">
        <v>36228866.83523047</v>
      </c>
      <c r="D9" s="5">
        <f t="shared" si="0"/>
        <v>-30759378.812581271</v>
      </c>
      <c r="E9" s="5"/>
      <c r="F9" s="5"/>
      <c r="G9" s="5"/>
      <c r="H9" s="5">
        <f t="shared" si="1"/>
        <v>0</v>
      </c>
      <c r="I9" s="105"/>
      <c r="J9" s="7">
        <f>+[3]Summary!G16</f>
        <v>5469488.0226491988</v>
      </c>
      <c r="K9" s="7">
        <v>36228866.83523047</v>
      </c>
      <c r="L9" s="5">
        <f t="shared" si="2"/>
        <v>-30759378.812581271</v>
      </c>
      <c r="M9" s="5"/>
      <c r="N9" s="5"/>
      <c r="O9" s="5"/>
      <c r="P9" s="5">
        <f t="shared" si="3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</row>
    <row r="10" spans="1:271" x14ac:dyDescent="0.25">
      <c r="A10" s="1" t="s">
        <v>4</v>
      </c>
      <c r="B10" s="7">
        <f>+[3]Summary!I17</f>
        <v>76831178.983163416</v>
      </c>
      <c r="C10" s="7">
        <v>74996959.149906248</v>
      </c>
      <c r="D10" s="5">
        <f t="shared" si="0"/>
        <v>1834219.8332571685</v>
      </c>
      <c r="E10" s="5"/>
      <c r="F10" s="5">
        <f>+[4]Summary!$I$16</f>
        <v>10350293.969999997</v>
      </c>
      <c r="G10" s="5">
        <v>13051142.689999998</v>
      </c>
      <c r="H10" s="5">
        <f t="shared" si="1"/>
        <v>-2700848.7200000007</v>
      </c>
      <c r="I10" s="105"/>
      <c r="J10" s="7">
        <f>+[3]Summary!G17</f>
        <v>76831178.983163416</v>
      </c>
      <c r="K10" s="7">
        <v>74996959.149906248</v>
      </c>
      <c r="L10" s="5">
        <f t="shared" si="2"/>
        <v>1834219.8332571685</v>
      </c>
      <c r="M10" s="5"/>
      <c r="N10" s="5">
        <f>+[4]Summary!$G$16</f>
        <v>10350293.969999997</v>
      </c>
      <c r="O10" s="5">
        <v>13051142.689999998</v>
      </c>
      <c r="P10" s="5">
        <f t="shared" si="3"/>
        <v>-2700848.7200000007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</row>
    <row r="11" spans="1:271" x14ac:dyDescent="0.25">
      <c r="A11" s="1" t="s">
        <v>5</v>
      </c>
      <c r="B11" s="8">
        <f>SUM(B7:B10)</f>
        <v>2183805673.9470444</v>
      </c>
      <c r="C11" s="8">
        <f>SUM(C7:C10)</f>
        <v>2108200588.245019</v>
      </c>
      <c r="D11" s="8">
        <f>SUM(D7:D10)</f>
        <v>75605085.702025592</v>
      </c>
      <c r="E11" s="5"/>
      <c r="F11" s="8">
        <f>SUM(F7:F10)</f>
        <v>848436801.1701715</v>
      </c>
      <c r="G11" s="8">
        <f>SUM(G7:G10)</f>
        <v>808778301.60391808</v>
      </c>
      <c r="H11" s="8">
        <f>SUM(H7:H10)</f>
        <v>39658499.566253334</v>
      </c>
      <c r="I11" s="105"/>
      <c r="J11" s="8">
        <f>SUM(J7:J10)</f>
        <v>2079303050.9470446</v>
      </c>
      <c r="K11" s="8">
        <f>SUM(K7:K10)</f>
        <v>2074729300.2450185</v>
      </c>
      <c r="L11" s="8">
        <f>SUM(L7:L10)</f>
        <v>4573750.7020257078</v>
      </c>
      <c r="M11" s="5"/>
      <c r="N11" s="8">
        <f>SUM(N7:N10)</f>
        <v>762308462.1701715</v>
      </c>
      <c r="O11" s="8">
        <f>SUM(O7:O10)</f>
        <v>815734307.60391808</v>
      </c>
      <c r="P11" s="8">
        <f>SUM(P7:P10)</f>
        <v>-53425845.433746666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</row>
    <row r="12" spans="1:271" x14ac:dyDescent="0.25">
      <c r="A12" s="2"/>
      <c r="B12" s="7"/>
      <c r="C12" s="7"/>
      <c r="D12" s="5"/>
      <c r="E12" s="5"/>
      <c r="F12" s="5"/>
      <c r="G12" s="5"/>
      <c r="H12" s="5"/>
      <c r="I12" s="105"/>
      <c r="J12" s="7"/>
      <c r="K12" s="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</row>
    <row r="13" spans="1:271" x14ac:dyDescent="0.25">
      <c r="A13" s="1" t="s">
        <v>6</v>
      </c>
      <c r="B13" s="7"/>
      <c r="C13" s="7"/>
      <c r="D13" s="5"/>
      <c r="E13" s="5"/>
      <c r="F13" s="5"/>
      <c r="G13" s="5"/>
      <c r="H13" s="5"/>
      <c r="I13" s="105"/>
      <c r="J13" s="7"/>
      <c r="K13" s="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</row>
    <row r="14" spans="1:271" x14ac:dyDescent="0.25">
      <c r="A14" s="2"/>
      <c r="B14" s="9"/>
      <c r="C14" s="9"/>
      <c r="D14" s="5"/>
      <c r="E14" s="5"/>
      <c r="F14" s="5"/>
      <c r="G14" s="5"/>
      <c r="H14" s="5"/>
      <c r="I14" s="105"/>
      <c r="J14" s="9"/>
      <c r="K14" s="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</row>
    <row r="15" spans="1:271" x14ac:dyDescent="0.25">
      <c r="A15" s="1" t="s">
        <v>7</v>
      </c>
      <c r="B15" s="7"/>
      <c r="C15" s="7"/>
      <c r="D15" s="5"/>
      <c r="E15" s="5"/>
      <c r="F15" s="5"/>
      <c r="G15" s="5"/>
      <c r="H15" s="5"/>
      <c r="I15" s="105"/>
      <c r="J15" s="7"/>
      <c r="K15" s="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</row>
    <row r="16" spans="1:271" x14ac:dyDescent="0.25">
      <c r="A16" s="1" t="s">
        <v>8</v>
      </c>
      <c r="B16" s="7">
        <f>+[3]Summary!I23</f>
        <v>180672605.83404732</v>
      </c>
      <c r="C16" s="7">
        <v>241078323.35858226</v>
      </c>
      <c r="D16" s="5">
        <f t="shared" ref="D16:D20" si="4">+B16-C16</f>
        <v>-60405717.524534941</v>
      </c>
      <c r="E16" s="5"/>
      <c r="F16" s="5"/>
      <c r="G16" s="5"/>
      <c r="H16" s="5">
        <f t="shared" ref="H16:H20" si="5">+F16-G16</f>
        <v>0</v>
      </c>
      <c r="I16" s="105"/>
      <c r="J16" s="7">
        <f>+[3]Summary!G23</f>
        <v>180672605.83404732</v>
      </c>
      <c r="K16" s="7">
        <v>241078323.35858226</v>
      </c>
      <c r="L16" s="5">
        <f t="shared" ref="L16:L20" si="6">+J16-K16</f>
        <v>-60405717.524534941</v>
      </c>
      <c r="M16" s="5"/>
      <c r="N16" s="5"/>
      <c r="O16" s="5"/>
      <c r="P16" s="5">
        <f t="shared" ref="P16:P20" si="7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</row>
    <row r="17" spans="1:271" x14ac:dyDescent="0.25">
      <c r="A17" s="1" t="s">
        <v>9</v>
      </c>
      <c r="B17" s="7">
        <f>+[3]Summary!I24</f>
        <v>446679558.91286945</v>
      </c>
      <c r="C17" s="7">
        <v>390670460.01001692</v>
      </c>
      <c r="D17" s="5">
        <f t="shared" si="4"/>
        <v>56009098.902852535</v>
      </c>
      <c r="E17" s="5"/>
      <c r="F17" s="5">
        <f>+[4]Summary!$I$23</f>
        <v>293190161.10942125</v>
      </c>
      <c r="G17" s="5">
        <v>357209796.64075875</v>
      </c>
      <c r="H17" s="5">
        <f t="shared" si="5"/>
        <v>-64019635.5313375</v>
      </c>
      <c r="I17" s="105"/>
      <c r="J17" s="7">
        <f>+[3]Summary!G24</f>
        <v>446679558.91286945</v>
      </c>
      <c r="K17" s="7">
        <v>390670460.01001692</v>
      </c>
      <c r="L17" s="5">
        <f t="shared" si="6"/>
        <v>56009098.902852535</v>
      </c>
      <c r="M17" s="5"/>
      <c r="N17" s="5">
        <f>+[4]Summary!$G$23</f>
        <v>293190161.10942125</v>
      </c>
      <c r="O17" s="5">
        <v>357209796.64075875</v>
      </c>
      <c r="P17" s="5">
        <f t="shared" si="7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</row>
    <row r="18" spans="1:271" x14ac:dyDescent="0.25">
      <c r="A18" s="1"/>
      <c r="B18" s="7"/>
      <c r="C18" s="7"/>
      <c r="D18" s="5"/>
      <c r="E18" s="112" t="s">
        <v>173</v>
      </c>
      <c r="F18" s="5"/>
      <c r="G18" s="5"/>
      <c r="H18" s="5"/>
      <c r="I18" s="105"/>
      <c r="J18" s="7"/>
      <c r="K18" s="7"/>
      <c r="L18" s="5"/>
      <c r="M18" s="112" t="s">
        <v>173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</row>
    <row r="19" spans="1:271" x14ac:dyDescent="0.25">
      <c r="A19" s="1" t="s">
        <v>10</v>
      </c>
      <c r="B19" s="7">
        <f>+[3]Summary!I25</f>
        <v>112334321.32462588</v>
      </c>
      <c r="C19" s="7">
        <v>108374278.4084723</v>
      </c>
      <c r="D19" s="5">
        <f t="shared" si="4"/>
        <v>3960042.91615358</v>
      </c>
      <c r="E19" s="5"/>
      <c r="F19" s="5"/>
      <c r="G19" s="5"/>
      <c r="H19" s="5">
        <f t="shared" si="5"/>
        <v>0</v>
      </c>
      <c r="I19" s="105"/>
      <c r="J19" s="7">
        <f>+[3]Summary!G25</f>
        <v>112334321.32462588</v>
      </c>
      <c r="K19" s="7">
        <v>108374278.4084723</v>
      </c>
      <c r="L19" s="5">
        <f t="shared" si="6"/>
        <v>3960042.91615358</v>
      </c>
      <c r="M19" s="5"/>
      <c r="N19" s="5"/>
      <c r="O19" s="5"/>
      <c r="P19" s="5">
        <f t="shared" si="7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</row>
    <row r="20" spans="1:271" x14ac:dyDescent="0.25">
      <c r="A20" s="2" t="s">
        <v>11</v>
      </c>
      <c r="B20" s="7">
        <f>+[3]Summary!I26</f>
        <v>0</v>
      </c>
      <c r="C20" s="10">
        <v>0</v>
      </c>
      <c r="D20" s="5">
        <f t="shared" si="4"/>
        <v>0</v>
      </c>
      <c r="E20" s="5"/>
      <c r="F20" s="5"/>
      <c r="G20" s="5"/>
      <c r="H20" s="5">
        <f t="shared" si="5"/>
        <v>0</v>
      </c>
      <c r="I20" s="105"/>
      <c r="J20" s="7">
        <f>+[3]Summary!G26</f>
        <v>0</v>
      </c>
      <c r="K20" s="10">
        <v>0</v>
      </c>
      <c r="L20" s="5">
        <f t="shared" si="6"/>
        <v>0</v>
      </c>
      <c r="M20" s="5"/>
      <c r="N20" s="5"/>
      <c r="O20" s="5"/>
      <c r="P20" s="5">
        <f t="shared" si="7"/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</row>
    <row r="21" spans="1:271" x14ac:dyDescent="0.25">
      <c r="A21" s="1" t="s">
        <v>12</v>
      </c>
      <c r="B21" s="8">
        <f>SUM(B16:B20)</f>
        <v>739686486.07154262</v>
      </c>
      <c r="C21" s="8">
        <f>SUM(C16:C20)</f>
        <v>740123061.77707148</v>
      </c>
      <c r="D21" s="8">
        <f>SUM(D16:D20)</f>
        <v>-436575.70552882552</v>
      </c>
      <c r="E21" s="5"/>
      <c r="F21" s="8">
        <f>SUM(F16:F20)</f>
        <v>293190161.10942125</v>
      </c>
      <c r="G21" s="8">
        <f>SUM(G16:G20)</f>
        <v>357209796.64075875</v>
      </c>
      <c r="H21" s="8">
        <f>SUM(H16:H20)</f>
        <v>-64019635.5313375</v>
      </c>
      <c r="I21" s="105"/>
      <c r="J21" s="8">
        <f>SUM(J16:J20)</f>
        <v>739686486.07154262</v>
      </c>
      <c r="K21" s="8">
        <f>SUM(K16:K20)</f>
        <v>740123061.77707148</v>
      </c>
      <c r="L21" s="8">
        <f>SUM(L16:L20)</f>
        <v>-436575.70552882552</v>
      </c>
      <c r="M21" s="5"/>
      <c r="N21" s="8">
        <f>SUM(N16:N20)</f>
        <v>293190161.10942125</v>
      </c>
      <c r="O21" s="8">
        <f>SUM(O16:O20)</f>
        <v>357209796.64075875</v>
      </c>
      <c r="P21" s="8">
        <f>SUM(P16:P20)</f>
        <v>-64019635.5313375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</row>
    <row r="22" spans="1:271" x14ac:dyDescent="0.25">
      <c r="A22" s="1"/>
      <c r="B22" s="11"/>
      <c r="C22" s="11"/>
      <c r="D22" s="5"/>
      <c r="E22" s="5"/>
      <c r="F22" s="5"/>
      <c r="G22" s="5"/>
      <c r="H22" s="5"/>
      <c r="I22" s="105"/>
      <c r="J22" s="11"/>
      <c r="K22" s="1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</row>
    <row r="23" spans="1:271" x14ac:dyDescent="0.25">
      <c r="A23" s="3" t="s">
        <v>13</v>
      </c>
      <c r="B23" s="7">
        <f>+[3]Summary!I29</f>
        <v>109175792.16812748</v>
      </c>
      <c r="C23" s="7">
        <v>138209148.65181684</v>
      </c>
      <c r="D23" s="5">
        <f t="shared" ref="D23:D37" si="8">+B23-C23</f>
        <v>-29033356.483689368</v>
      </c>
      <c r="E23" s="5"/>
      <c r="F23" s="5">
        <f>+[4]Summary!I27</f>
        <v>6172164.8734382121</v>
      </c>
      <c r="G23" s="5">
        <v>2455383.2057685088</v>
      </c>
      <c r="H23" s="5">
        <f t="shared" ref="H23:H37" si="9">+F23-G23</f>
        <v>3716781.6676697033</v>
      </c>
      <c r="I23" s="105"/>
      <c r="J23" s="7">
        <f>+[3]Summary!G29</f>
        <v>109175792.16812748</v>
      </c>
      <c r="K23" s="7">
        <v>138209148.65181684</v>
      </c>
      <c r="L23" s="5">
        <f t="shared" ref="L23:L37" si="10">+J23-K23</f>
        <v>-29033356.483689368</v>
      </c>
      <c r="M23" s="5"/>
      <c r="N23" s="5">
        <f>+[4]Summary!G27</f>
        <v>6172164.8734382121</v>
      </c>
      <c r="O23" s="5">
        <v>2455383.2057685088</v>
      </c>
      <c r="P23" s="5">
        <f t="shared" ref="P23:P37" si="11">+N23-O23</f>
        <v>3716781.6676697033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</row>
    <row r="24" spans="1:271" x14ac:dyDescent="0.25">
      <c r="A24" s="1" t="s">
        <v>14</v>
      </c>
      <c r="B24" s="7">
        <f>+[3]Summary!I30</f>
        <v>24808255.482911851</v>
      </c>
      <c r="C24" s="7">
        <v>20369033.610103901</v>
      </c>
      <c r="D24" s="5">
        <f t="shared" si="8"/>
        <v>4439221.8728079498</v>
      </c>
      <c r="E24" s="5"/>
      <c r="F24" s="5">
        <f>+[4]Summary!I28</f>
        <v>2168.52</v>
      </c>
      <c r="G24" s="5">
        <v>0</v>
      </c>
      <c r="H24" s="5">
        <f t="shared" si="9"/>
        <v>2168.52</v>
      </c>
      <c r="I24" s="105"/>
      <c r="J24" s="7">
        <f>+[3]Summary!G30</f>
        <v>24808255.482911851</v>
      </c>
      <c r="K24" s="7">
        <v>20369033.610103901</v>
      </c>
      <c r="L24" s="5">
        <f t="shared" si="10"/>
        <v>4439221.8728079498</v>
      </c>
      <c r="M24" s="5"/>
      <c r="N24" s="5">
        <f>+[4]Summary!G28</f>
        <v>2168.52</v>
      </c>
      <c r="O24" s="5">
        <v>0</v>
      </c>
      <c r="P24" s="5">
        <f t="shared" si="11"/>
        <v>2168.52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</row>
    <row r="25" spans="1:271" x14ac:dyDescent="0.25">
      <c r="A25" s="1" t="s">
        <v>15</v>
      </c>
      <c r="B25" s="7">
        <f>+[3]Summary!I31</f>
        <v>85568806.870639399</v>
      </c>
      <c r="C25" s="7">
        <v>83453080.807317317</v>
      </c>
      <c r="D25" s="5">
        <f t="shared" si="8"/>
        <v>2115726.0633220822</v>
      </c>
      <c r="E25" s="5"/>
      <c r="F25" s="5">
        <f>+[4]Summary!I29</f>
        <v>62326448.760579765</v>
      </c>
      <c r="G25" s="5">
        <v>56192922.523880765</v>
      </c>
      <c r="H25" s="5">
        <f t="shared" si="9"/>
        <v>6133526.236699</v>
      </c>
      <c r="I25" s="105"/>
      <c r="J25" s="7">
        <f>+[3]Summary!G31</f>
        <v>85568806.870639399</v>
      </c>
      <c r="K25" s="7">
        <v>83453080.807317317</v>
      </c>
      <c r="L25" s="5">
        <f t="shared" si="10"/>
        <v>2115726.0633220822</v>
      </c>
      <c r="M25" s="5"/>
      <c r="N25" s="5">
        <f>+[4]Summary!G29</f>
        <v>62326448.760579765</v>
      </c>
      <c r="O25" s="5">
        <v>56192922.523880765</v>
      </c>
      <c r="P25" s="5">
        <f t="shared" si="11"/>
        <v>6133526.236699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</row>
    <row r="26" spans="1:271" x14ac:dyDescent="0.25">
      <c r="A26" s="1" t="s">
        <v>16</v>
      </c>
      <c r="B26" s="7">
        <f>+[3]Summary!I32</f>
        <v>52973622.979375705</v>
      </c>
      <c r="C26" s="7">
        <v>48811930.122102022</v>
      </c>
      <c r="D26" s="5">
        <f t="shared" si="8"/>
        <v>4161692.857273683</v>
      </c>
      <c r="E26" s="5"/>
      <c r="F26" s="5">
        <f>+[4]Summary!I30</f>
        <v>30145384.943650816</v>
      </c>
      <c r="G26" s="5">
        <v>27936724.53953841</v>
      </c>
      <c r="H26" s="5">
        <f t="shared" si="9"/>
        <v>2208660.4041124061</v>
      </c>
      <c r="I26" s="105"/>
      <c r="J26" s="7">
        <f>+[3]Summary!G32</f>
        <v>52087545.238958701</v>
      </c>
      <c r="K26" s="7">
        <v>48572376.113886021</v>
      </c>
      <c r="L26" s="5">
        <f t="shared" si="10"/>
        <v>3515169.1250726804</v>
      </c>
      <c r="M26" s="5"/>
      <c r="N26" s="5">
        <f>+[4]Summary!G30</f>
        <v>29704063.334614817</v>
      </c>
      <c r="O26" s="5">
        <v>27972478.410378411</v>
      </c>
      <c r="P26" s="5">
        <f t="shared" si="11"/>
        <v>1731584.9242364056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</row>
    <row r="27" spans="1:271" x14ac:dyDescent="0.25">
      <c r="A27" s="1" t="s">
        <v>17</v>
      </c>
      <c r="B27" s="7">
        <f>+[3]Summary!I33</f>
        <v>4083540.0869522342</v>
      </c>
      <c r="C27" s="7">
        <v>2598614.8900138885</v>
      </c>
      <c r="D27" s="5">
        <f t="shared" si="8"/>
        <v>1484925.1969383457</v>
      </c>
      <c r="E27" s="5"/>
      <c r="F27" s="5">
        <f>+[4]Summary!I31</f>
        <v>1794848.1805972925</v>
      </c>
      <c r="G27" s="5">
        <v>2284140.5025152061</v>
      </c>
      <c r="H27" s="5">
        <f t="shared" si="9"/>
        <v>-489292.32191791362</v>
      </c>
      <c r="I27" s="105"/>
      <c r="J27" s="7">
        <f>+[3]Summary!G33</f>
        <v>4083540.0869522342</v>
      </c>
      <c r="K27" s="7">
        <v>2598614.8900138885</v>
      </c>
      <c r="L27" s="5">
        <f t="shared" si="10"/>
        <v>1484925.1969383457</v>
      </c>
      <c r="M27" s="5"/>
      <c r="N27" s="5">
        <f>+[4]Summary!G31</f>
        <v>1794848.1805972925</v>
      </c>
      <c r="O27" s="5">
        <v>2284140.5025152061</v>
      </c>
      <c r="P27" s="5">
        <f t="shared" si="11"/>
        <v>-489292.32191791362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</row>
    <row r="28" spans="1:271" x14ac:dyDescent="0.25">
      <c r="A28" s="1" t="s">
        <v>18</v>
      </c>
      <c r="B28" s="7">
        <f>+[3]Summary!I34</f>
        <v>0</v>
      </c>
      <c r="C28" s="7">
        <v>26209.79999999702</v>
      </c>
      <c r="D28" s="5">
        <f t="shared" si="8"/>
        <v>-26209.79999999702</v>
      </c>
      <c r="E28" s="5"/>
      <c r="F28" s="5">
        <f>+[4]Summary!I32</f>
        <v>0</v>
      </c>
      <c r="G28" s="5">
        <v>0</v>
      </c>
      <c r="H28" s="5">
        <f t="shared" si="9"/>
        <v>0</v>
      </c>
      <c r="I28" s="105"/>
      <c r="J28" s="7">
        <f>+[3]Summary!G34</f>
        <v>0</v>
      </c>
      <c r="K28" s="7">
        <v>26209.79999999702</v>
      </c>
      <c r="L28" s="5">
        <f t="shared" si="10"/>
        <v>-26209.79999999702</v>
      </c>
      <c r="M28" s="5"/>
      <c r="N28" s="5">
        <f>+[4]Summary!G32</f>
        <v>0</v>
      </c>
      <c r="O28" s="5">
        <v>0</v>
      </c>
      <c r="P28" s="5">
        <f t="shared" si="11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</row>
    <row r="29" spans="1:271" x14ac:dyDescent="0.25">
      <c r="A29" s="1" t="s">
        <v>19</v>
      </c>
      <c r="B29" s="7">
        <f>+[3]Summary!I35</f>
        <v>127998996.11067097</v>
      </c>
      <c r="C29" s="7">
        <v>116062781.07593183</v>
      </c>
      <c r="D29" s="5">
        <f t="shared" si="8"/>
        <v>11936215.034739137</v>
      </c>
      <c r="E29" s="5"/>
      <c r="F29" s="5">
        <f>+[4]Summary!I33</f>
        <v>60782732.848756865</v>
      </c>
      <c r="G29" s="5">
        <v>50486525.409146473</v>
      </c>
      <c r="H29" s="5">
        <f t="shared" si="9"/>
        <v>10296207.439610392</v>
      </c>
      <c r="I29" s="105"/>
      <c r="J29" s="7">
        <f>+[3]Summary!G35</f>
        <v>127789990.86467096</v>
      </c>
      <c r="K29" s="7">
        <v>115995838.49993183</v>
      </c>
      <c r="L29" s="5">
        <f t="shared" si="10"/>
        <v>11794152.364739135</v>
      </c>
      <c r="M29" s="5"/>
      <c r="N29" s="5">
        <f>+[4]Summary!G33</f>
        <v>60610476.170756862</v>
      </c>
      <c r="O29" s="5">
        <v>50500437.421146475</v>
      </c>
      <c r="P29" s="5">
        <f t="shared" si="11"/>
        <v>10110038.749610387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</row>
    <row r="30" spans="1:271" x14ac:dyDescent="0.25">
      <c r="A30" s="1" t="s">
        <v>20</v>
      </c>
      <c r="B30" s="7">
        <f>+[3]Summary!I36</f>
        <v>346798358.68028539</v>
      </c>
      <c r="C30" s="7">
        <v>321359285.25530386</v>
      </c>
      <c r="D30" s="5">
        <f t="shared" si="8"/>
        <v>25439073.424981534</v>
      </c>
      <c r="E30" s="5"/>
      <c r="F30" s="5">
        <f>+[4]Summary!I34</f>
        <v>121820205.37902662</v>
      </c>
      <c r="G30" s="5">
        <v>101800267.90256016</v>
      </c>
      <c r="H30" s="5">
        <f t="shared" si="9"/>
        <v>20019937.476466462</v>
      </c>
      <c r="I30" s="105"/>
      <c r="J30" s="7">
        <f>+[3]Summary!G36</f>
        <v>346798358.68028539</v>
      </c>
      <c r="K30" s="7">
        <v>321359285.25530386</v>
      </c>
      <c r="L30" s="5">
        <f t="shared" si="10"/>
        <v>25439073.424981534</v>
      </c>
      <c r="M30" s="5"/>
      <c r="N30" s="5">
        <f>+[4]Summary!G34</f>
        <v>121820205.37902662</v>
      </c>
      <c r="O30" s="5">
        <v>101800267.90256016</v>
      </c>
      <c r="P30" s="5">
        <f t="shared" si="11"/>
        <v>20019937.476466462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</row>
    <row r="31" spans="1:271" x14ac:dyDescent="0.25">
      <c r="A31" s="1" t="s">
        <v>21</v>
      </c>
      <c r="B31" s="7">
        <f>+[3]Summary!I37</f>
        <v>94343659.774467438</v>
      </c>
      <c r="C31" s="7">
        <v>48454182.193165764</v>
      </c>
      <c r="D31" s="5">
        <f t="shared" si="8"/>
        <v>45889477.581301674</v>
      </c>
      <c r="E31" s="5"/>
      <c r="F31" s="5">
        <f>+[4]Summary!I35</f>
        <v>37336985.997634605</v>
      </c>
      <c r="G31" s="5">
        <v>11657750.373275291</v>
      </c>
      <c r="H31" s="5">
        <f t="shared" si="9"/>
        <v>25679235.624359313</v>
      </c>
      <c r="I31" s="105"/>
      <c r="J31" s="7">
        <f>+[3]Summary!G37</f>
        <v>94343659.774467438</v>
      </c>
      <c r="K31" s="7">
        <v>48454182.193165764</v>
      </c>
      <c r="L31" s="5">
        <f t="shared" si="10"/>
        <v>45889477.581301674</v>
      </c>
      <c r="M31" s="5"/>
      <c r="N31" s="5">
        <f>+[4]Summary!G35</f>
        <v>37336985.997634605</v>
      </c>
      <c r="O31" s="5">
        <v>11657750.373275291</v>
      </c>
      <c r="P31" s="5">
        <f t="shared" si="11"/>
        <v>25679235.624359313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</row>
    <row r="32" spans="1:271" x14ac:dyDescent="0.25">
      <c r="A32" s="3" t="s">
        <v>22</v>
      </c>
      <c r="B32" s="7">
        <f>+[3]Summary!I38</f>
        <v>43150399.323406145</v>
      </c>
      <c r="C32" s="7">
        <v>35268060.945710272</v>
      </c>
      <c r="D32" s="5">
        <f t="shared" si="8"/>
        <v>7882338.3776958734</v>
      </c>
      <c r="E32" s="5"/>
      <c r="F32" s="5">
        <f>+[4]Summary!I36</f>
        <v>0</v>
      </c>
      <c r="G32" s="5">
        <v>0</v>
      </c>
      <c r="H32" s="5">
        <f t="shared" si="9"/>
        <v>0</v>
      </c>
      <c r="I32" s="105"/>
      <c r="J32" s="7">
        <f>+[3]Summary!G38</f>
        <v>43150399.323406145</v>
      </c>
      <c r="K32" s="7">
        <v>35268060.945710272</v>
      </c>
      <c r="L32" s="5">
        <f t="shared" si="10"/>
        <v>7882338.3776958734</v>
      </c>
      <c r="M32" s="5"/>
      <c r="N32" s="5">
        <f>+[4]Summary!G36</f>
        <v>0</v>
      </c>
      <c r="O32" s="5">
        <v>0</v>
      </c>
      <c r="P32" s="5">
        <f t="shared" si="11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</row>
    <row r="33" spans="1:271" x14ac:dyDescent="0.25">
      <c r="A33" s="1" t="s">
        <v>23</v>
      </c>
      <c r="B33" s="7">
        <f>+[3]Summary!I39</f>
        <v>16774566.453813115</v>
      </c>
      <c r="C33" s="7">
        <v>6441008.8884076755</v>
      </c>
      <c r="D33" s="5">
        <f t="shared" si="8"/>
        <v>10333557.56540544</v>
      </c>
      <c r="E33" s="5"/>
      <c r="F33" s="5">
        <f>+[4]Summary!I37</f>
        <v>15144087.136379622</v>
      </c>
      <c r="G33" s="5">
        <v>8533977.2135456186</v>
      </c>
      <c r="H33" s="5">
        <f t="shared" si="9"/>
        <v>6610109.9228340033</v>
      </c>
      <c r="I33" s="105"/>
      <c r="J33" s="7">
        <f>+[3]Summary!G39</f>
        <v>16774566.453813115</v>
      </c>
      <c r="K33" s="7">
        <v>6441008.8884076755</v>
      </c>
      <c r="L33" s="5">
        <f t="shared" si="10"/>
        <v>10333557.56540544</v>
      </c>
      <c r="M33" s="5"/>
      <c r="N33" s="5">
        <f>+[4]Summary!G37</f>
        <v>15144087.136379622</v>
      </c>
      <c r="O33" s="5">
        <v>8533977.2135456186</v>
      </c>
      <c r="P33" s="5">
        <f t="shared" si="11"/>
        <v>6610109.9228340033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</row>
    <row r="34" spans="1:271" x14ac:dyDescent="0.25">
      <c r="A34" s="2" t="s">
        <v>24</v>
      </c>
      <c r="B34" s="7">
        <f>+[3]Summary!I40</f>
        <v>0</v>
      </c>
      <c r="C34" s="7">
        <v>0</v>
      </c>
      <c r="D34" s="5">
        <f t="shared" si="8"/>
        <v>0</v>
      </c>
      <c r="E34" s="5"/>
      <c r="F34" s="5">
        <f>+[4]Summary!I38</f>
        <v>0</v>
      </c>
      <c r="G34" s="5">
        <v>0</v>
      </c>
      <c r="H34" s="5">
        <f t="shared" si="9"/>
        <v>0</v>
      </c>
      <c r="I34" s="105"/>
      <c r="J34" s="7">
        <f>+[3]Summary!G40</f>
        <v>0</v>
      </c>
      <c r="K34" s="7">
        <v>0</v>
      </c>
      <c r="L34" s="5">
        <f t="shared" si="10"/>
        <v>0</v>
      </c>
      <c r="M34" s="5"/>
      <c r="N34" s="5">
        <f>+[4]Summary!G38</f>
        <v>0</v>
      </c>
      <c r="O34" s="5">
        <v>0</v>
      </c>
      <c r="P34" s="5">
        <f t="shared" si="11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</row>
    <row r="35" spans="1:271" x14ac:dyDescent="0.25">
      <c r="A35" s="1" t="s">
        <v>25</v>
      </c>
      <c r="B35" s="7">
        <f>+[3]Summary!I41</f>
        <v>90509090.243886322</v>
      </c>
      <c r="C35" s="7">
        <v>87852728.493684098</v>
      </c>
      <c r="D35" s="5">
        <f t="shared" si="8"/>
        <v>2656361.7502022237</v>
      </c>
      <c r="E35" s="5"/>
      <c r="F35" s="5">
        <f>+[4]Summary!I39</f>
        <v>39683735.81393379</v>
      </c>
      <c r="G35" s="5">
        <v>34093864.82113409</v>
      </c>
      <c r="H35" s="5">
        <f t="shared" si="9"/>
        <v>5589870.9927996993</v>
      </c>
      <c r="I35" s="105"/>
      <c r="J35" s="7">
        <f>+[3]Summary!G41</f>
        <v>86495562.504948318</v>
      </c>
      <c r="K35" s="7">
        <v>86565523.171068102</v>
      </c>
      <c r="L35" s="5">
        <f t="shared" si="10"/>
        <v>-69960.666119784117</v>
      </c>
      <c r="M35" s="5"/>
      <c r="N35" s="5">
        <f>+[4]Summary!G39</f>
        <v>36383039.47843679</v>
      </c>
      <c r="O35" s="5">
        <v>34360432.883066088</v>
      </c>
      <c r="P35" s="5">
        <f t="shared" si="11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</row>
    <row r="36" spans="1:271" x14ac:dyDescent="0.25">
      <c r="A36" s="1" t="s">
        <v>26</v>
      </c>
      <c r="B36" s="7">
        <f>+[3]Summary!I42</f>
        <v>95090861.364620134</v>
      </c>
      <c r="C36" s="7">
        <v>41918431.160766065</v>
      </c>
      <c r="D36" s="5">
        <f t="shared" si="8"/>
        <v>53172430.203854069</v>
      </c>
      <c r="E36" s="5"/>
      <c r="F36" s="5">
        <f>+[4]Summary!I40</f>
        <v>19251531.110428918</v>
      </c>
      <c r="G36" s="5">
        <v>-1185127.2780907163</v>
      </c>
      <c r="H36" s="5">
        <f t="shared" si="9"/>
        <v>20436658.388519634</v>
      </c>
      <c r="I36" s="105"/>
      <c r="J36" s="7">
        <f>+[3]Summary!G42</f>
        <v>74218134.462338135</v>
      </c>
      <c r="K36" s="7">
        <v>35224140.089478061</v>
      </c>
      <c r="L36" s="5">
        <f t="shared" si="10"/>
        <v>38993994.372860074</v>
      </c>
      <c r="M36" s="5"/>
      <c r="N36" s="5">
        <f>+[4]Summary!G40</f>
        <v>1986588.7878449191</v>
      </c>
      <c r="O36" s="5">
        <v>209224.99262728356</v>
      </c>
      <c r="P36" s="5">
        <f t="shared" si="11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</row>
    <row r="37" spans="1:271" x14ac:dyDescent="0.25">
      <c r="A37" s="2" t="s">
        <v>27</v>
      </c>
      <c r="B37" s="7">
        <f>+[3]Summary!I43</f>
        <v>-60815173.145295337</v>
      </c>
      <c r="C37" s="7">
        <v>24596425.290600121</v>
      </c>
      <c r="D37" s="5">
        <f t="shared" si="8"/>
        <v>-85411598.435895458</v>
      </c>
      <c r="E37" s="5"/>
      <c r="F37" s="5">
        <f>+[4]Summary!I41</f>
        <v>-199310.85898487445</v>
      </c>
      <c r="G37" s="5">
        <v>23138865.581999995</v>
      </c>
      <c r="H37" s="5">
        <f t="shared" si="9"/>
        <v>-23338176.440984868</v>
      </c>
      <c r="I37" s="105"/>
      <c r="J37" s="7">
        <f>+[3]Summary!G43</f>
        <v>-60815173.145295337</v>
      </c>
      <c r="K37" s="7">
        <v>24596425.290600121</v>
      </c>
      <c r="L37" s="5">
        <f t="shared" si="10"/>
        <v>-85411598.435895458</v>
      </c>
      <c r="M37" s="5"/>
      <c r="N37" s="5">
        <f>+[4]Summary!G41</f>
        <v>-199310.85898487445</v>
      </c>
      <c r="O37" s="5">
        <v>23138865.581999995</v>
      </c>
      <c r="P37" s="5">
        <f t="shared" si="11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</row>
    <row r="38" spans="1:271" x14ac:dyDescent="0.25">
      <c r="A38" s="1" t="s">
        <v>28</v>
      </c>
      <c r="B38" s="8">
        <f>SUM(B21:B37)</f>
        <v>1770147262.4654036</v>
      </c>
      <c r="C38" s="8">
        <f>SUM(C21:C37)</f>
        <v>1715543982.9619949</v>
      </c>
      <c r="D38" s="8">
        <f>SUM(D21:D37)</f>
        <v>54603279.503408358</v>
      </c>
      <c r="E38" s="5"/>
      <c r="F38" s="8">
        <f t="shared" ref="F38:G38" si="12">SUM(F21:F37)</f>
        <v>687451143.81486297</v>
      </c>
      <c r="G38" s="8">
        <f t="shared" si="12"/>
        <v>674605091.43603253</v>
      </c>
      <c r="H38" s="8">
        <f>SUM(H21:H37)</f>
        <v>12846052.378830336</v>
      </c>
      <c r="I38" s="105"/>
      <c r="J38" s="8">
        <f>SUM(J21:J37)</f>
        <v>1744165924.8377666</v>
      </c>
      <c r="K38" s="8">
        <f>SUM(K21:K37)</f>
        <v>1707255989.983875</v>
      </c>
      <c r="L38" s="8">
        <f>SUM(L21:L37)</f>
        <v>36909934.853891358</v>
      </c>
      <c r="M38" s="5"/>
      <c r="N38" s="8">
        <f t="shared" ref="N38:O38" si="13">SUM(N21:N37)</f>
        <v>666271926.86974597</v>
      </c>
      <c r="O38" s="8">
        <f t="shared" si="13"/>
        <v>676315677.6515224</v>
      </c>
      <c r="P38" s="8">
        <f>SUM(P21:P37)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</row>
    <row r="39" spans="1:271" x14ac:dyDescent="0.25">
      <c r="A39" s="2"/>
      <c r="B39" s="19"/>
      <c r="C39" s="19"/>
      <c r="D39" s="5"/>
      <c r="E39" s="5"/>
      <c r="F39" s="5"/>
      <c r="G39" s="5"/>
      <c r="H39" s="5"/>
      <c r="I39" s="105"/>
      <c r="J39" s="19"/>
      <c r="K39" s="1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</row>
    <row r="40" spans="1:271" x14ac:dyDescent="0.25">
      <c r="A40" s="1" t="s">
        <v>29</v>
      </c>
      <c r="B40" s="23">
        <f>+B11-B38</f>
        <v>413658411.48164082</v>
      </c>
      <c r="C40" s="23">
        <f>+C11-C38</f>
        <v>392656605.28302407</v>
      </c>
      <c r="D40" s="23">
        <f>+D11-D38</f>
        <v>21001806.198617235</v>
      </c>
      <c r="E40" s="5"/>
      <c r="F40" s="23">
        <f>+F11-F38</f>
        <v>160985657.35530853</v>
      </c>
      <c r="G40" s="23">
        <f>+G11-G38</f>
        <v>134173210.16788554</v>
      </c>
      <c r="H40" s="23">
        <f>+H11-H38</f>
        <v>26812447.187422998</v>
      </c>
      <c r="I40" s="105"/>
      <c r="J40" s="23">
        <f>+J11-J38</f>
        <v>335137126.10927796</v>
      </c>
      <c r="K40" s="23">
        <f>+K11-K38</f>
        <v>367473310.26114345</v>
      </c>
      <c r="L40" s="23">
        <f>+L11-L38</f>
        <v>-32336184.15186565</v>
      </c>
      <c r="M40" s="5"/>
      <c r="N40" s="23">
        <f>+N11-N38</f>
        <v>96036535.300425529</v>
      </c>
      <c r="O40" s="23">
        <f>+O11-O38</f>
        <v>139418629.95239568</v>
      </c>
      <c r="P40" s="23">
        <f>+P11-P38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</row>
    <row r="41" spans="1:271" x14ac:dyDescent="0.25">
      <c r="A41" s="2"/>
      <c r="B41" s="21">
        <f>+[3]Summary!$I$46-B40</f>
        <v>0</v>
      </c>
      <c r="C41" s="21">
        <v>0</v>
      </c>
      <c r="D41" s="24" t="s">
        <v>45</v>
      </c>
      <c r="E41" s="5"/>
      <c r="F41" s="21">
        <f>+[4]Summary!$I$44-F40</f>
        <v>0</v>
      </c>
      <c r="G41" s="21">
        <v>0</v>
      </c>
      <c r="H41" s="24" t="s">
        <v>45</v>
      </c>
      <c r="I41" s="105"/>
      <c r="J41" s="21">
        <f>+[3]Summary!$G$46-J40</f>
        <v>0</v>
      </c>
      <c r="K41" s="21">
        <v>0</v>
      </c>
      <c r="L41" s="24" t="s">
        <v>45</v>
      </c>
      <c r="M41" s="5"/>
      <c r="N41" s="21">
        <f>+[4]Summary!$G$44-N40</f>
        <v>0</v>
      </c>
      <c r="O41" s="21">
        <v>0</v>
      </c>
      <c r="P41" s="24" t="s">
        <v>45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</row>
    <row r="42" spans="1:271" x14ac:dyDescent="0.25">
      <c r="A42" s="1" t="s">
        <v>30</v>
      </c>
      <c r="B42" s="16">
        <f>+B53</f>
        <v>5428588080.5290194</v>
      </c>
      <c r="C42" s="20">
        <f>+C53</f>
        <v>5166534271.936389</v>
      </c>
      <c r="D42" s="20">
        <f>+D53</f>
        <v>262053808.5926308</v>
      </c>
      <c r="E42" s="5"/>
      <c r="F42" s="20">
        <f>+F53</f>
        <v>2112672665.850872</v>
      </c>
      <c r="G42" s="20">
        <f>+G53</f>
        <v>1765436978.8849313</v>
      </c>
      <c r="H42" s="20">
        <f>+H53</f>
        <v>347235686.96594071</v>
      </c>
      <c r="I42" s="105"/>
      <c r="J42" s="16">
        <f>+J53</f>
        <v>5428588080.5290194</v>
      </c>
      <c r="K42" s="20">
        <f>+K53</f>
        <v>5166534271.936389</v>
      </c>
      <c r="L42" s="20">
        <f>+L53</f>
        <v>262053808.5926308</v>
      </c>
      <c r="M42" s="5"/>
      <c r="N42" s="20">
        <f>+N53</f>
        <v>2112672665.850872</v>
      </c>
      <c r="O42" s="20">
        <f>+O53</f>
        <v>1765436978.8849313</v>
      </c>
      <c r="P42" s="20">
        <f>+P53</f>
        <v>347235686.96594071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</row>
    <row r="43" spans="1:271" x14ac:dyDescent="0.25">
      <c r="A43" s="2"/>
      <c r="B43" s="22">
        <f>+[3]Summary!$I$48-B42</f>
        <v>0</v>
      </c>
      <c r="C43" s="22">
        <v>0</v>
      </c>
      <c r="D43" s="24" t="s">
        <v>45</v>
      </c>
      <c r="E43" s="5"/>
      <c r="F43" s="22">
        <f>+[4]Summary!$I$46-F42</f>
        <v>0</v>
      </c>
      <c r="G43" s="22">
        <v>0</v>
      </c>
      <c r="H43" s="24" t="s">
        <v>45</v>
      </c>
      <c r="I43" s="105"/>
      <c r="J43" s="22">
        <f>+[3]Summary!$G$48-J42</f>
        <v>0</v>
      </c>
      <c r="K43" s="22">
        <v>0</v>
      </c>
      <c r="L43" s="24" t="s">
        <v>45</v>
      </c>
      <c r="M43" s="5"/>
      <c r="N43" s="22">
        <f>+[4]Summary!$G$46-N42</f>
        <v>0</v>
      </c>
      <c r="O43" s="22">
        <v>0</v>
      </c>
      <c r="P43" s="24" t="s">
        <v>45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</row>
    <row r="44" spans="1:271" x14ac:dyDescent="0.25">
      <c r="A44" s="1" t="s">
        <v>31</v>
      </c>
      <c r="B44" s="13">
        <f>B40/B42</f>
        <v>7.6199999953087169E-2</v>
      </c>
      <c r="C44" s="13">
        <f>C40/C42</f>
        <v>7.600000011920148E-2</v>
      </c>
      <c r="D44" s="13">
        <f>+B44-C44</f>
        <v>1.9999983388568898E-4</v>
      </c>
      <c r="E44" s="5"/>
      <c r="F44" s="13">
        <f>F40/F42</f>
        <v>7.6200000102936954E-2</v>
      </c>
      <c r="G44" s="13">
        <f>G40/G42</f>
        <v>7.5999999871210783E-2</v>
      </c>
      <c r="H44" s="13">
        <f>+F44-G44</f>
        <v>2.0000023172617176E-4</v>
      </c>
      <c r="I44" s="105"/>
      <c r="J44" s="13">
        <f>J40/J42</f>
        <v>6.1735597016714265E-2</v>
      </c>
      <c r="K44" s="13">
        <f>K40/K42</f>
        <v>7.1125689082754587E-2</v>
      </c>
      <c r="L44" s="13">
        <f>+J44-K44</f>
        <v>-9.3900920660403217E-3</v>
      </c>
      <c r="M44" s="5"/>
      <c r="N44" s="13">
        <f>N40/N42</f>
        <v>4.5457366326906647E-2</v>
      </c>
      <c r="O44" s="13">
        <f>O40/O42</f>
        <v>7.8971173494085278E-2</v>
      </c>
      <c r="P44" s="13">
        <f>+N44-O44</f>
        <v>-3.3513807167178632E-2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</row>
    <row r="45" spans="1:271" x14ac:dyDescent="0.25">
      <c r="A45" s="2"/>
      <c r="B45" s="6"/>
      <c r="C45" s="6"/>
      <c r="D45" s="5"/>
      <c r="E45" s="5"/>
      <c r="F45" s="5"/>
      <c r="G45" s="5"/>
      <c r="H45" s="5"/>
      <c r="I45" s="105"/>
      <c r="J45" s="6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</row>
    <row r="46" spans="1:271" x14ac:dyDescent="0.25">
      <c r="A46" s="2" t="s">
        <v>32</v>
      </c>
      <c r="B46" s="6"/>
      <c r="C46" s="6"/>
      <c r="D46" s="5"/>
      <c r="E46" s="5"/>
      <c r="F46" s="5"/>
      <c r="G46" s="5"/>
      <c r="H46" s="5"/>
      <c r="I46" s="105"/>
      <c r="J46" s="6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</row>
    <row r="47" spans="1:271" x14ac:dyDescent="0.25">
      <c r="A47" s="4" t="s">
        <v>33</v>
      </c>
      <c r="B47" s="12">
        <f>+[3]Summary!I53</f>
        <v>10965881739.478994</v>
      </c>
      <c r="C47" s="12">
        <v>9801651058.3894615</v>
      </c>
      <c r="D47" s="5">
        <f>+B47-C47</f>
        <v>1164230681.0895329</v>
      </c>
      <c r="E47" s="5"/>
      <c r="F47" s="5">
        <f>+[4]Summary!I51</f>
        <v>4329775326.8504925</v>
      </c>
      <c r="G47" s="5">
        <v>3584727602.3317013</v>
      </c>
      <c r="H47" s="5">
        <f>+F47-G47</f>
        <v>745047724.5187912</v>
      </c>
      <c r="I47" s="105"/>
      <c r="J47" s="12">
        <f>+[3]Summary!G53</f>
        <v>10965881739.478994</v>
      </c>
      <c r="K47" s="12">
        <v>9801651058.3894615</v>
      </c>
      <c r="L47" s="5">
        <f>+J47-K47</f>
        <v>1164230681.0895329</v>
      </c>
      <c r="M47" s="5"/>
      <c r="N47" s="5">
        <f>+[4]Summary!G51</f>
        <v>4329775326.8504925</v>
      </c>
      <c r="O47" s="5">
        <v>3584727602.3317013</v>
      </c>
      <c r="P47" s="5">
        <f>+N47-O47</f>
        <v>745047724.5187912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</row>
    <row r="48" spans="1:271" x14ac:dyDescent="0.25">
      <c r="A48" s="4" t="s">
        <v>34</v>
      </c>
      <c r="B48" s="14">
        <f>+[3]Summary!I54</f>
        <v>-4430239049.7081385</v>
      </c>
      <c r="C48" s="14">
        <v>-3845713720.5158229</v>
      </c>
      <c r="D48" s="5">
        <f t="shared" ref="D48:D52" si="14">+B48-C48</f>
        <v>-584525329.19231558</v>
      </c>
      <c r="E48" s="5"/>
      <c r="F48" s="5">
        <f>+[4]Summary!I52</f>
        <v>-1650386813.5120428</v>
      </c>
      <c r="G48" s="5">
        <v>-1360298497.686322</v>
      </c>
      <c r="H48" s="5">
        <f t="shared" ref="H48:H52" si="15">+F48-G48</f>
        <v>-290088315.82572079</v>
      </c>
      <c r="I48" s="105"/>
      <c r="J48" s="14">
        <f>+[3]Summary!G54</f>
        <v>-4430239049.7081385</v>
      </c>
      <c r="K48" s="14">
        <v>-3845713720.5158229</v>
      </c>
      <c r="L48" s="5">
        <f t="shared" ref="L48:L52" si="16">+J48-K48</f>
        <v>-584525329.19231558</v>
      </c>
      <c r="M48" s="5"/>
      <c r="N48" s="5">
        <f>+[4]Summary!G52</f>
        <v>-1650386813.5120428</v>
      </c>
      <c r="O48" s="5">
        <v>-1360298497.686322</v>
      </c>
      <c r="P48" s="5">
        <f t="shared" ref="P48:P52" si="17">+N48-O48</f>
        <v>-290088315.82572079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</row>
    <row r="49" spans="1:271" x14ac:dyDescent="0.25">
      <c r="A49" s="2" t="s">
        <v>35</v>
      </c>
      <c r="B49" s="14">
        <f>+[3]Summary!I55</f>
        <v>254905848.40334773</v>
      </c>
      <c r="C49" s="14">
        <v>289481343.15060478</v>
      </c>
      <c r="D49" s="5">
        <f t="shared" si="14"/>
        <v>-34575494.747257054</v>
      </c>
      <c r="E49" s="5"/>
      <c r="F49" s="5">
        <f>+[4]Summary!I53</f>
        <v>-601828300.28014243</v>
      </c>
      <c r="G49" s="5">
        <v>-511214275.71564537</v>
      </c>
      <c r="H49" s="5">
        <f t="shared" si="15"/>
        <v>-90614024.564497054</v>
      </c>
      <c r="I49" s="105"/>
      <c r="J49" s="14">
        <f>+[3]Summary!G55</f>
        <v>254905848.40334773</v>
      </c>
      <c r="K49" s="14">
        <v>289481343.15060478</v>
      </c>
      <c r="L49" s="5">
        <f t="shared" si="16"/>
        <v>-34575494.747257054</v>
      </c>
      <c r="M49" s="5"/>
      <c r="N49" s="5">
        <f>+[4]Summary!G53</f>
        <v>-601828300.28014243</v>
      </c>
      <c r="O49" s="5">
        <v>-511214275.71564537</v>
      </c>
      <c r="P49" s="5">
        <f t="shared" si="17"/>
        <v>-90614024.564497054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</row>
    <row r="50" spans="1:271" x14ac:dyDescent="0.25">
      <c r="A50" s="2" t="s">
        <v>36</v>
      </c>
      <c r="B50" s="14">
        <f>+[3]Summary!I56</f>
        <v>-1391244894.0998716</v>
      </c>
      <c r="C50" s="14">
        <v>-1245172107.6922143</v>
      </c>
      <c r="D50" s="5">
        <f t="shared" si="14"/>
        <v>-146072786.40765738</v>
      </c>
      <c r="E50" s="5"/>
      <c r="F50" s="5">
        <f>+[4]Summary!I54</f>
        <v>-18443372.966716439</v>
      </c>
      <c r="G50" s="5">
        <v>-30161803</v>
      </c>
      <c r="H50" s="5">
        <f t="shared" si="15"/>
        <v>11718430.033283561</v>
      </c>
      <c r="I50" s="105"/>
      <c r="J50" s="14">
        <f>+[3]Summary!G56</f>
        <v>-1391244894.0998716</v>
      </c>
      <c r="K50" s="14">
        <v>-1245172107.6922143</v>
      </c>
      <c r="L50" s="5">
        <f t="shared" si="16"/>
        <v>-146072786.40765738</v>
      </c>
      <c r="M50" s="5"/>
      <c r="N50" s="5">
        <f>+[4]Summary!G54</f>
        <v>-18443372.966716439</v>
      </c>
      <c r="O50" s="5">
        <v>-30161803</v>
      </c>
      <c r="P50" s="5">
        <f t="shared" si="17"/>
        <v>11718430.033283561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</row>
    <row r="51" spans="1:271" x14ac:dyDescent="0.25">
      <c r="A51" s="2" t="s">
        <v>37</v>
      </c>
      <c r="B51" s="14">
        <f>+[3]Summary!I57</f>
        <v>137375215.94916266</v>
      </c>
      <c r="C51" s="14">
        <v>246011331.39146316</v>
      </c>
      <c r="D51" s="5">
        <f t="shared" si="14"/>
        <v>-108636115.4423005</v>
      </c>
      <c r="E51" s="5"/>
      <c r="F51" s="5">
        <f>+[4]Summary!I55</f>
        <v>53555825.759281471</v>
      </c>
      <c r="G51" s="5">
        <v>82383952.955197617</v>
      </c>
      <c r="H51" s="5">
        <f t="shared" si="15"/>
        <v>-28828127.195916146</v>
      </c>
      <c r="I51" s="105"/>
      <c r="J51" s="14">
        <f>+[3]Summary!G57</f>
        <v>137375215.94916266</v>
      </c>
      <c r="K51" s="14">
        <v>246011331.39146316</v>
      </c>
      <c r="L51" s="5">
        <f t="shared" si="16"/>
        <v>-108636115.4423005</v>
      </c>
      <c r="M51" s="5"/>
      <c r="N51" s="5">
        <f>+[4]Summary!G55</f>
        <v>53555825.759281471</v>
      </c>
      <c r="O51" s="5">
        <v>82383952.955197617</v>
      </c>
      <c r="P51" s="5">
        <f t="shared" si="17"/>
        <v>-28828127.195916146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</row>
    <row r="52" spans="1:271" x14ac:dyDescent="0.25">
      <c r="A52" s="2" t="s">
        <v>38</v>
      </c>
      <c r="B52" s="14">
        <f>+[3]Summary!I58</f>
        <v>-108090779.49447501</v>
      </c>
      <c r="C52" s="14">
        <v>-79723632.787103415</v>
      </c>
      <c r="D52" s="5">
        <f t="shared" si="14"/>
        <v>-28367146.707371593</v>
      </c>
      <c r="E52" s="5"/>
      <c r="F52" s="5"/>
      <c r="G52" s="5"/>
      <c r="H52" s="5">
        <f t="shared" si="15"/>
        <v>0</v>
      </c>
      <c r="I52" s="105"/>
      <c r="J52" s="14">
        <f>+[3]Summary!G58</f>
        <v>-108090779.49447501</v>
      </c>
      <c r="K52" s="14">
        <v>-79723632.787103415</v>
      </c>
      <c r="L52" s="5">
        <f t="shared" si="16"/>
        <v>-28367146.707371593</v>
      </c>
      <c r="M52" s="5"/>
      <c r="N52" s="5"/>
      <c r="O52" s="5"/>
      <c r="P52" s="5">
        <f t="shared" si="17"/>
        <v>0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</row>
    <row r="53" spans="1:271" ht="15.75" thickBot="1" x14ac:dyDescent="0.3">
      <c r="A53" s="2" t="s">
        <v>39</v>
      </c>
      <c r="B53" s="15">
        <f>SUM(B47:B52)</f>
        <v>5428588080.5290194</v>
      </c>
      <c r="C53" s="15">
        <f>SUM(C47:C52)</f>
        <v>5166534271.936389</v>
      </c>
      <c r="D53" s="15">
        <f>SUM(D47:D52)</f>
        <v>262053808.5926308</v>
      </c>
      <c r="E53" s="5"/>
      <c r="F53" s="15">
        <f t="shared" ref="F53:G53" si="18">SUM(F47:F52)</f>
        <v>2112672665.850872</v>
      </c>
      <c r="G53" s="15">
        <f t="shared" si="18"/>
        <v>1765436978.8849313</v>
      </c>
      <c r="H53" s="15">
        <f>SUM(H47:H52)</f>
        <v>347235686.96594071</v>
      </c>
      <c r="I53" s="105"/>
      <c r="J53" s="15">
        <f>SUM(J47:J52)</f>
        <v>5428588080.5290194</v>
      </c>
      <c r="K53" s="15">
        <f>SUM(K47:K52)</f>
        <v>5166534271.936389</v>
      </c>
      <c r="L53" s="15">
        <f>SUM(L47:L52)</f>
        <v>262053808.5926308</v>
      </c>
      <c r="M53" s="5"/>
      <c r="N53" s="15">
        <f t="shared" ref="N53:O53" si="19">SUM(N47:N52)</f>
        <v>2112672665.850872</v>
      </c>
      <c r="O53" s="15">
        <f t="shared" si="19"/>
        <v>1765436978.8849313</v>
      </c>
      <c r="P53" s="15">
        <f>SUM(P47:P52)</f>
        <v>347235686.96594071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</row>
    <row r="54" spans="1:271" ht="15.75" thickTop="1" x14ac:dyDescent="0.25">
      <c r="B54" s="5"/>
      <c r="C54" s="5"/>
      <c r="D54" s="5"/>
      <c r="E54" s="5"/>
      <c r="F54" s="5"/>
      <c r="G54" s="5"/>
      <c r="H54" s="5"/>
      <c r="I54" s="10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</row>
    <row r="55" spans="1:271" x14ac:dyDescent="0.25">
      <c r="D55" s="39"/>
    </row>
    <row r="56" spans="1:271" x14ac:dyDescent="0.25">
      <c r="D56" s="40"/>
    </row>
    <row r="60" spans="1:271" x14ac:dyDescent="0.25">
      <c r="D60" s="44"/>
    </row>
    <row r="61" spans="1:271" x14ac:dyDescent="0.25">
      <c r="D61" s="4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9"/>
  <sheetViews>
    <sheetView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5" x14ac:dyDescent="0.25"/>
  <cols>
    <col min="1" max="1" width="50.5703125" customWidth="1"/>
    <col min="2" max="3" width="16.85546875" bestFit="1" customWidth="1"/>
    <col min="4" max="4" width="15.7109375" customWidth="1"/>
    <col min="5" max="5" width="16" bestFit="1" customWidth="1"/>
    <col min="6" max="8" width="15.7109375" customWidth="1"/>
    <col min="9" max="9" width="9.140625" style="92"/>
    <col min="10" max="10" width="17.7109375" customWidth="1"/>
    <col min="11" max="11" width="15.28515625" bestFit="1" customWidth="1"/>
    <col min="12" max="12" width="12.85546875" bestFit="1" customWidth="1"/>
    <col min="13" max="13" width="16" bestFit="1" customWidth="1"/>
    <col min="14" max="14" width="15.7109375" customWidth="1"/>
    <col min="15" max="15" width="13.7109375" bestFit="1" customWidth="1"/>
    <col min="16" max="16" width="13.42578125" bestFit="1" customWidth="1"/>
  </cols>
  <sheetData>
    <row r="1" spans="1:42" s="89" customFormat="1" x14ac:dyDescent="0.25">
      <c r="B1" s="90"/>
      <c r="F1" s="90"/>
      <c r="I1" s="92"/>
    </row>
    <row r="2" spans="1:42" s="92" customFormat="1" x14ac:dyDescent="0.25">
      <c r="B2" s="93"/>
      <c r="F2" s="93"/>
    </row>
    <row r="3" spans="1:42" s="92" customFormat="1" x14ac:dyDescent="0.25">
      <c r="B3" s="93" t="s">
        <v>137</v>
      </c>
      <c r="F3" s="93" t="s">
        <v>138</v>
      </c>
      <c r="J3" s="93" t="s">
        <v>135</v>
      </c>
      <c r="N3" s="93" t="s">
        <v>136</v>
      </c>
    </row>
    <row r="4" spans="1:42" x14ac:dyDescent="0.25">
      <c r="B4" s="17" t="s">
        <v>41</v>
      </c>
      <c r="C4" s="17" t="s">
        <v>40</v>
      </c>
      <c r="D4" t="s">
        <v>86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86</v>
      </c>
      <c r="N4" s="17" t="s">
        <v>41</v>
      </c>
      <c r="O4" s="17" t="s">
        <v>40</v>
      </c>
      <c r="P4" t="s">
        <v>44</v>
      </c>
    </row>
    <row r="8" spans="1:42" x14ac:dyDescent="0.25">
      <c r="A8" s="27" t="s">
        <v>46</v>
      </c>
    </row>
    <row r="9" spans="1:42" x14ac:dyDescent="0.25">
      <c r="A9" s="26" t="s">
        <v>47</v>
      </c>
      <c r="B9" s="28">
        <f>+'Links to Models'!B7</f>
        <v>2100822734.6718001</v>
      </c>
      <c r="C9" s="28">
        <f>+'Links to Models'!C7</f>
        <v>1996290327.3217025</v>
      </c>
      <c r="D9" s="28">
        <f>+B9-C9</f>
        <v>104532407.35009766</v>
      </c>
      <c r="F9" s="28">
        <f>+'Links to Models'!F7</f>
        <v>838086507.20017147</v>
      </c>
      <c r="G9" s="28">
        <f>+'Links to Models'!G7</f>
        <v>795727158.91391814</v>
      </c>
      <c r="H9" s="28">
        <f>+F9-G9</f>
        <v>42359348.286253333</v>
      </c>
      <c r="J9" s="28">
        <f>+'Links to Models'!J7</f>
        <v>1996675023.7812319</v>
      </c>
      <c r="K9" s="28">
        <f>+'Links to Models'!K7</f>
        <v>1963187085.1598821</v>
      </c>
      <c r="L9" s="28">
        <f>+J9-K9</f>
        <v>33487938.621349812</v>
      </c>
      <c r="N9" s="28">
        <f>+'Links to Models'!N7</f>
        <v>751958168.20017147</v>
      </c>
      <c r="O9" s="28">
        <f>+'Links to Models'!O7</f>
        <v>802683164.91391814</v>
      </c>
      <c r="P9" s="28">
        <f>+N9-O9</f>
        <v>-50724996.713746667</v>
      </c>
    </row>
    <row r="10" spans="1:42" x14ac:dyDescent="0.25">
      <c r="A10" s="26" t="s">
        <v>48</v>
      </c>
      <c r="B10" s="5">
        <f>+'Links to Models'!B8</f>
        <v>682272.26943168347</v>
      </c>
      <c r="C10" s="5">
        <f>+'Links to Models'!C8</f>
        <v>684434.93817964476</v>
      </c>
      <c r="D10" s="5">
        <f t="shared" ref="D10:D11" si="0">+B10-C10</f>
        <v>-2162.6687479612883</v>
      </c>
      <c r="E10" s="112"/>
      <c r="F10" s="112"/>
      <c r="G10" s="5">
        <f>+'Links to Models'!G8</f>
        <v>0</v>
      </c>
      <c r="H10" s="5">
        <f t="shared" ref="H10:H11" si="1">+F10-G10</f>
        <v>0</v>
      </c>
      <c r="I10" s="105"/>
      <c r="J10" s="5">
        <f>+'Links to Models'!J8</f>
        <v>327360.15999999898</v>
      </c>
      <c r="K10" s="5">
        <f>+'Links to Models'!K8</f>
        <v>316389.10000000003</v>
      </c>
      <c r="L10" s="5">
        <f t="shared" ref="L10:L11" si="2">+J10-K10</f>
        <v>10971.05999999895</v>
      </c>
      <c r="M10" s="112"/>
      <c r="N10" s="5">
        <f>+'Links to Models'!N8</f>
        <v>0</v>
      </c>
      <c r="O10" s="5">
        <f>+'Links to Models'!O8</f>
        <v>0</v>
      </c>
      <c r="P10" s="5">
        <f t="shared" ref="P10:P11" si="3">+N10-O10</f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25">
      <c r="A11" s="26" t="s">
        <v>49</v>
      </c>
      <c r="B11" s="30">
        <f>+'Links to Models'!B10--B21</f>
        <v>55416055.228509635</v>
      </c>
      <c r="C11" s="30">
        <f>+'Links to Models'!C10--C21</f>
        <v>58773085.875925675</v>
      </c>
      <c r="D11" s="5">
        <f t="shared" si="0"/>
        <v>-3357030.6474160403</v>
      </c>
      <c r="E11" s="5"/>
      <c r="F11" s="5">
        <f>+'Links to Models'!F10</f>
        <v>10350293.969999997</v>
      </c>
      <c r="G11" s="5">
        <f>+'Links to Models'!G10</f>
        <v>13051142.689999998</v>
      </c>
      <c r="H11" s="5">
        <f t="shared" si="1"/>
        <v>-2700848.7200000007</v>
      </c>
      <c r="I11" s="105"/>
      <c r="J11" s="30">
        <f>+'Links to Models'!J10--J21</f>
        <v>55416055.228509635</v>
      </c>
      <c r="K11" s="30">
        <f>+'Links to Models'!K10--K21</f>
        <v>58773085.875925675</v>
      </c>
      <c r="L11" s="5">
        <f t="shared" si="2"/>
        <v>-3357030.6474160403</v>
      </c>
      <c r="M11" s="5"/>
      <c r="N11" s="5">
        <f>+'Links to Models'!N10</f>
        <v>10350293.969999997</v>
      </c>
      <c r="O11" s="5">
        <f>+'Links to Models'!O10</f>
        <v>13051142.689999998</v>
      </c>
      <c r="P11" s="5">
        <f t="shared" si="3"/>
        <v>-2700848.7200000007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x14ac:dyDescent="0.25">
      <c r="A12" s="26" t="s">
        <v>50</v>
      </c>
      <c r="B12" s="29">
        <f>SUM(B9:B11)</f>
        <v>2156921062.1697412</v>
      </c>
      <c r="C12" s="29">
        <f t="shared" ref="C12:D12" si="4">SUM(C9:C11)</f>
        <v>2055747848.135808</v>
      </c>
      <c r="D12" s="29">
        <f t="shared" si="4"/>
        <v>101173214.03393365</v>
      </c>
      <c r="E12" s="5"/>
      <c r="F12" s="29">
        <f t="shared" ref="F12:H12" si="5">SUM(F9:F11)</f>
        <v>848436801.1701715</v>
      </c>
      <c r="G12" s="29">
        <f t="shared" si="5"/>
        <v>808778301.60391808</v>
      </c>
      <c r="H12" s="29">
        <f t="shared" si="5"/>
        <v>39658499.566253334</v>
      </c>
      <c r="I12" s="105"/>
      <c r="J12" s="29">
        <f>SUM(J9:J11)</f>
        <v>2052418439.1697416</v>
      </c>
      <c r="K12" s="29">
        <f t="shared" ref="K12:L12" si="6">SUM(K9:K11)</f>
        <v>2022276560.1358078</v>
      </c>
      <c r="L12" s="29">
        <f t="shared" si="6"/>
        <v>30141879.03393377</v>
      </c>
      <c r="M12" s="5"/>
      <c r="N12" s="29">
        <f t="shared" ref="N12:P12" si="7">SUM(N9:N11)</f>
        <v>762308462.1701715</v>
      </c>
      <c r="O12" s="29">
        <f t="shared" si="7"/>
        <v>815734307.60391808</v>
      </c>
      <c r="P12" s="29">
        <f t="shared" si="7"/>
        <v>-53425845.433746666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x14ac:dyDescent="0.25">
      <c r="A13" s="25"/>
      <c r="B13" s="5"/>
      <c r="C13" s="5"/>
      <c r="D13" s="5"/>
      <c r="E13" s="5"/>
      <c r="F13" s="5"/>
      <c r="G13" s="5"/>
      <c r="H13" s="5"/>
      <c r="I13" s="10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25">
      <c r="A14" s="27" t="s">
        <v>6</v>
      </c>
      <c r="B14" s="5"/>
      <c r="C14" s="5"/>
      <c r="D14" s="5"/>
      <c r="E14" s="5"/>
      <c r="F14" s="5"/>
      <c r="G14" s="5"/>
      <c r="H14" s="5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25">
      <c r="A15" s="25" t="s">
        <v>51</v>
      </c>
      <c r="B15" s="5"/>
      <c r="C15" s="5"/>
      <c r="D15" s="5"/>
      <c r="E15" s="5"/>
      <c r="F15" s="5"/>
      <c r="G15" s="5"/>
      <c r="H15" s="5"/>
      <c r="I15" s="10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x14ac:dyDescent="0.25">
      <c r="A16" s="26" t="s">
        <v>52</v>
      </c>
      <c r="B16" s="5">
        <f>+'Links to Models'!B16</f>
        <v>180672605.83404732</v>
      </c>
      <c r="C16" s="5">
        <f>+'Links to Models'!C16</f>
        <v>241078323.35858226</v>
      </c>
      <c r="D16" s="5">
        <f t="shared" ref="D16:D21" si="8">+B16-C16</f>
        <v>-60405717.524534941</v>
      </c>
      <c r="E16" s="5"/>
      <c r="F16" s="5">
        <f>+'Links to Models'!F16</f>
        <v>0</v>
      </c>
      <c r="G16" s="5">
        <f>+'Links to Models'!G16</f>
        <v>0</v>
      </c>
      <c r="H16" s="5">
        <f t="shared" ref="H16:H18" si="9">+F16-G16</f>
        <v>0</v>
      </c>
      <c r="I16" s="105"/>
      <c r="J16" s="5">
        <f>+'Links to Models'!J16</f>
        <v>180672605.83404732</v>
      </c>
      <c r="K16" s="5">
        <f>+'Links to Models'!K16</f>
        <v>241078323.35858226</v>
      </c>
      <c r="L16" s="5">
        <f t="shared" ref="L16:L18" si="10">+J16-K16</f>
        <v>-60405717.524534941</v>
      </c>
      <c r="M16" s="5"/>
      <c r="N16" s="5">
        <f>+'Links to Models'!N16</f>
        <v>0</v>
      </c>
      <c r="O16" s="5">
        <f>+'Links to Models'!O16</f>
        <v>0</v>
      </c>
      <c r="P16" s="5">
        <f t="shared" ref="P16:P18" si="11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26" t="s">
        <v>53</v>
      </c>
      <c r="B17" s="5">
        <f>+'Links to Models'!B17</f>
        <v>446679558.91286945</v>
      </c>
      <c r="C17" s="5">
        <f>+'Links to Models'!C17</f>
        <v>390670460.01001692</v>
      </c>
      <c r="D17" s="5">
        <f t="shared" si="8"/>
        <v>56009098.902852535</v>
      </c>
      <c r="E17" s="5"/>
      <c r="F17" s="5">
        <f>+'Links to Models'!F17</f>
        <v>293190161.10942125</v>
      </c>
      <c r="G17" s="5">
        <f>+'Links to Models'!G17</f>
        <v>357209796.64075875</v>
      </c>
      <c r="H17" s="5">
        <f t="shared" si="9"/>
        <v>-64019635.5313375</v>
      </c>
      <c r="I17" s="105"/>
      <c r="J17" s="5">
        <f>+'Links to Models'!J17</f>
        <v>446679558.91286945</v>
      </c>
      <c r="K17" s="5">
        <f>+'Links to Models'!K17</f>
        <v>390670460.01001692</v>
      </c>
      <c r="L17" s="5">
        <f t="shared" si="10"/>
        <v>56009098.902852535</v>
      </c>
      <c r="M17" s="5"/>
      <c r="N17" s="5">
        <f>+'Links to Models'!N17</f>
        <v>293190161.10942125</v>
      </c>
      <c r="O17" s="5">
        <f>+'Links to Models'!O17</f>
        <v>357209796.64075875</v>
      </c>
      <c r="P17" s="5">
        <f t="shared" si="11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x14ac:dyDescent="0.25">
      <c r="A18" s="26" t="s">
        <v>54</v>
      </c>
      <c r="B18" s="5">
        <f>+'Links to Models'!B19</f>
        <v>112334321.32462588</v>
      </c>
      <c r="C18" s="5">
        <f>+'Links to Models'!C19</f>
        <v>108374278.4084723</v>
      </c>
      <c r="D18" s="5">
        <f t="shared" si="8"/>
        <v>3960042.91615358</v>
      </c>
      <c r="E18" s="112"/>
      <c r="F18" s="5">
        <f>+'Links to Models'!F19</f>
        <v>0</v>
      </c>
      <c r="G18" s="5">
        <f>+'Links to Models'!G19</f>
        <v>0</v>
      </c>
      <c r="H18" s="5">
        <f t="shared" si="9"/>
        <v>0</v>
      </c>
      <c r="I18" s="105"/>
      <c r="J18" s="5">
        <f>+'Links to Models'!J19</f>
        <v>112334321.32462588</v>
      </c>
      <c r="K18" s="5">
        <f>+'Links to Models'!K19</f>
        <v>108374278.4084723</v>
      </c>
      <c r="L18" s="5">
        <f t="shared" si="10"/>
        <v>3960042.91615358</v>
      </c>
      <c r="M18" s="112"/>
      <c r="N18" s="5">
        <f>+'Links to Models'!N19</f>
        <v>0</v>
      </c>
      <c r="O18" s="5">
        <f>+'Links to Models'!O19</f>
        <v>0</v>
      </c>
      <c r="P18" s="5">
        <f t="shared" si="11"/>
        <v>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x14ac:dyDescent="0.25">
      <c r="A19" s="26" t="s">
        <v>85</v>
      </c>
      <c r="B19" s="5"/>
      <c r="C19" s="5"/>
      <c r="D19" s="5"/>
      <c r="E19" s="5"/>
      <c r="F19" s="5"/>
      <c r="G19" s="5"/>
      <c r="H19" s="5"/>
      <c r="I19" s="10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x14ac:dyDescent="0.25">
      <c r="A20" s="26" t="s">
        <v>55</v>
      </c>
      <c r="B20" s="5">
        <f>-'Links to Models'!B9</f>
        <v>-5469488.0226491988</v>
      </c>
      <c r="C20" s="5">
        <f>-'Links to Models'!C9</f>
        <v>-36228866.83523047</v>
      </c>
      <c r="D20" s="5">
        <f t="shared" si="8"/>
        <v>30759378.812581271</v>
      </c>
      <c r="E20" s="5"/>
      <c r="F20" s="5"/>
      <c r="G20" s="5"/>
      <c r="H20" s="5"/>
      <c r="I20" s="105"/>
      <c r="J20" s="5">
        <f>-'Links to Models'!J9</f>
        <v>-5469488.0226491988</v>
      </c>
      <c r="K20" s="5">
        <f>-'Links to Models'!K9</f>
        <v>-36228866.83523047</v>
      </c>
      <c r="L20" s="5">
        <f t="shared" ref="L20:L21" si="12">+J20-K20</f>
        <v>30759378.812581271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x14ac:dyDescent="0.25">
      <c r="A21" s="26" t="s">
        <v>56</v>
      </c>
      <c r="B21" s="5">
        <f>+'[3]Electric Adj'!$G$23</f>
        <v>-21415123.754653782</v>
      </c>
      <c r="C21" s="5">
        <v>-16223873.273980575</v>
      </c>
      <c r="D21" s="5">
        <f t="shared" si="8"/>
        <v>-5191250.480673207</v>
      </c>
      <c r="E21" s="5"/>
      <c r="F21" s="5"/>
      <c r="G21" s="5"/>
      <c r="H21" s="5"/>
      <c r="I21" s="105"/>
      <c r="J21" s="5">
        <f>+'[3]Electric Adj'!$G$23</f>
        <v>-21415123.754653782</v>
      </c>
      <c r="K21" s="5">
        <v>-16223873.273980575</v>
      </c>
      <c r="L21" s="5">
        <f t="shared" si="12"/>
        <v>-5191250.480673207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x14ac:dyDescent="0.25">
      <c r="A22" s="26" t="s">
        <v>57</v>
      </c>
      <c r="B22" s="29">
        <f t="shared" ref="B22:D22" si="13">SUM(B16:B21)</f>
        <v>712801874.29423964</v>
      </c>
      <c r="C22" s="29">
        <f t="shared" si="13"/>
        <v>687670321.66786039</v>
      </c>
      <c r="D22" s="106">
        <f t="shared" si="13"/>
        <v>25131552.626379237</v>
      </c>
      <c r="E22" s="5"/>
      <c r="F22" s="29">
        <f t="shared" ref="F22:H22" si="14">SUM(F16:F21)</f>
        <v>293190161.10942125</v>
      </c>
      <c r="G22" s="29">
        <f t="shared" si="14"/>
        <v>357209796.64075875</v>
      </c>
      <c r="H22" s="29">
        <f t="shared" si="14"/>
        <v>-64019635.5313375</v>
      </c>
      <c r="I22" s="105"/>
      <c r="J22" s="29">
        <f t="shared" ref="J22:L22" si="15">SUM(J16:J21)</f>
        <v>712801874.29423964</v>
      </c>
      <c r="K22" s="29">
        <f t="shared" si="15"/>
        <v>687670321.66786039</v>
      </c>
      <c r="L22" s="29">
        <f t="shared" si="15"/>
        <v>25131552.626379237</v>
      </c>
      <c r="M22" s="5"/>
      <c r="N22" s="29">
        <f t="shared" ref="N22:P22" si="16">SUM(N16:N21)</f>
        <v>293190161.10942125</v>
      </c>
      <c r="O22" s="29">
        <f t="shared" si="16"/>
        <v>357209796.64075875</v>
      </c>
      <c r="P22" s="29">
        <f t="shared" si="16"/>
        <v>-64019635.5313375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x14ac:dyDescent="0.25">
      <c r="A23" s="26"/>
      <c r="B23" s="5"/>
      <c r="C23" s="5"/>
      <c r="D23" s="105"/>
      <c r="E23" s="5"/>
      <c r="F23" s="5"/>
      <c r="G23" s="5"/>
      <c r="H23" s="5"/>
      <c r="I23" s="10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x14ac:dyDescent="0.25">
      <c r="A24" s="26" t="s">
        <v>58</v>
      </c>
      <c r="B24" s="5">
        <f>+'Links to Models'!B23</f>
        <v>109175792.16812748</v>
      </c>
      <c r="C24" s="5">
        <f>+'Links to Models'!C23</f>
        <v>138209148.65181684</v>
      </c>
      <c r="D24" s="105">
        <f t="shared" ref="D24:D37" si="17">+B24-C24</f>
        <v>-29033356.483689368</v>
      </c>
      <c r="E24" s="5"/>
      <c r="F24" s="5">
        <f>+'Links to Models'!F23</f>
        <v>6172164.8734382121</v>
      </c>
      <c r="G24" s="5">
        <f>+'Links to Models'!G23</f>
        <v>2455383.2057685088</v>
      </c>
      <c r="H24" s="5">
        <f t="shared" ref="H24:H37" si="18">+F24-G24</f>
        <v>3716781.6676697033</v>
      </c>
      <c r="I24" s="105"/>
      <c r="J24" s="5">
        <f>+'Links to Models'!J23</f>
        <v>109175792.16812748</v>
      </c>
      <c r="K24" s="5">
        <f>+'Links to Models'!K23</f>
        <v>138209148.65181684</v>
      </c>
      <c r="L24" s="5">
        <f t="shared" ref="L24:L37" si="19">+J24-K24</f>
        <v>-29033356.483689368</v>
      </c>
      <c r="M24" s="5"/>
      <c r="N24" s="5">
        <f>+'Links to Models'!N23</f>
        <v>6172164.8734382121</v>
      </c>
      <c r="O24" s="5">
        <f>+'Links to Models'!O23</f>
        <v>2455383.2057685088</v>
      </c>
      <c r="P24" s="5">
        <f t="shared" ref="P24:P37" si="20">+N24-O24</f>
        <v>3716781.6676697033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x14ac:dyDescent="0.25">
      <c r="A25" s="26" t="s">
        <v>59</v>
      </c>
      <c r="B25" s="5">
        <f>+'Links to Models'!B24</f>
        <v>24808255.482911851</v>
      </c>
      <c r="C25" s="5">
        <f>+'Links to Models'!C24</f>
        <v>20369033.610103901</v>
      </c>
      <c r="D25" s="105">
        <f t="shared" si="17"/>
        <v>4439221.8728079498</v>
      </c>
      <c r="E25" s="5"/>
      <c r="F25" s="5">
        <f>+'Links to Models'!F24</f>
        <v>2168.52</v>
      </c>
      <c r="G25" s="5">
        <f>+'Links to Models'!G24</f>
        <v>0</v>
      </c>
      <c r="H25" s="5">
        <f t="shared" si="18"/>
        <v>2168.52</v>
      </c>
      <c r="I25" s="105"/>
      <c r="J25" s="5">
        <f>+'Links to Models'!J24</f>
        <v>24808255.482911851</v>
      </c>
      <c r="K25" s="5">
        <f>+'Links to Models'!K24</f>
        <v>20369033.610103901</v>
      </c>
      <c r="L25" s="5">
        <f t="shared" si="19"/>
        <v>4439221.8728079498</v>
      </c>
      <c r="M25" s="5"/>
      <c r="N25" s="5">
        <f>+'Links to Models'!N24</f>
        <v>2168.52</v>
      </c>
      <c r="O25" s="5">
        <f>+'Links to Models'!O24</f>
        <v>0</v>
      </c>
      <c r="P25" s="5">
        <f t="shared" si="20"/>
        <v>2168.52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x14ac:dyDescent="0.25">
      <c r="A26" s="26" t="s">
        <v>60</v>
      </c>
      <c r="B26" s="5">
        <f>+'Links to Models'!B25</f>
        <v>85568806.870639399</v>
      </c>
      <c r="C26" s="5">
        <f>+'Links to Models'!C25</f>
        <v>83453080.807317317</v>
      </c>
      <c r="D26" s="105">
        <f t="shared" si="17"/>
        <v>2115726.0633220822</v>
      </c>
      <c r="E26" s="5"/>
      <c r="F26" s="5">
        <f>+'Links to Models'!F25</f>
        <v>62326448.760579765</v>
      </c>
      <c r="G26" s="5">
        <f>+'Links to Models'!G25</f>
        <v>56192922.523880765</v>
      </c>
      <c r="H26" s="5">
        <f t="shared" si="18"/>
        <v>6133526.236699</v>
      </c>
      <c r="I26" s="105"/>
      <c r="J26" s="5">
        <f>+'Links to Models'!J25</f>
        <v>85568806.870639399</v>
      </c>
      <c r="K26" s="5">
        <f>+'Links to Models'!K25</f>
        <v>83453080.807317317</v>
      </c>
      <c r="L26" s="5">
        <f t="shared" si="19"/>
        <v>2115726.0633220822</v>
      </c>
      <c r="M26" s="5"/>
      <c r="N26" s="5">
        <f>+'Links to Models'!N25</f>
        <v>62326448.760579765</v>
      </c>
      <c r="O26" s="5">
        <f>+'Links to Models'!O25</f>
        <v>56192922.523880765</v>
      </c>
      <c r="P26" s="5">
        <f t="shared" si="20"/>
        <v>6133526.236699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x14ac:dyDescent="0.25">
      <c r="A27" s="26" t="s">
        <v>61</v>
      </c>
      <c r="B27" s="5">
        <f>+'Links to Models'!B26</f>
        <v>52973622.979375705</v>
      </c>
      <c r="C27" s="5">
        <f>+'Links to Models'!C26</f>
        <v>48811930.122102022</v>
      </c>
      <c r="D27" s="105">
        <f t="shared" si="17"/>
        <v>4161692.857273683</v>
      </c>
      <c r="E27" s="5"/>
      <c r="F27" s="5">
        <f>+'Links to Models'!F26</f>
        <v>30145384.943650816</v>
      </c>
      <c r="G27" s="5">
        <f>+'Links to Models'!G26</f>
        <v>27936724.53953841</v>
      </c>
      <c r="H27" s="5">
        <f t="shared" si="18"/>
        <v>2208660.4041124061</v>
      </c>
      <c r="I27" s="105"/>
      <c r="J27" s="5">
        <f>+'Links to Models'!J26</f>
        <v>52087545.238958701</v>
      </c>
      <c r="K27" s="5">
        <f>+'Links to Models'!K26</f>
        <v>48572376.113886021</v>
      </c>
      <c r="L27" s="5">
        <f t="shared" si="19"/>
        <v>3515169.1250726804</v>
      </c>
      <c r="M27" s="5"/>
      <c r="N27" s="5">
        <f>+'Links to Models'!N26</f>
        <v>29704063.334614817</v>
      </c>
      <c r="O27" s="5">
        <f>+'Links to Models'!O26</f>
        <v>27972478.410378411</v>
      </c>
      <c r="P27" s="5">
        <f t="shared" si="20"/>
        <v>1731584.9242364056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x14ac:dyDescent="0.25">
      <c r="A28" s="26" t="s">
        <v>62</v>
      </c>
      <c r="B28" s="5">
        <f>+'Links to Models'!B27</f>
        <v>4083540.0869522342</v>
      </c>
      <c r="C28" s="5">
        <f>+'Links to Models'!C27</f>
        <v>2598614.8900138885</v>
      </c>
      <c r="D28" s="105">
        <f t="shared" si="17"/>
        <v>1484925.1969383457</v>
      </c>
      <c r="E28" s="5"/>
      <c r="F28" s="5">
        <f>+'Links to Models'!F27</f>
        <v>1794848.1805972925</v>
      </c>
      <c r="G28" s="5">
        <f>+'Links to Models'!G27</f>
        <v>2284140.5025152061</v>
      </c>
      <c r="H28" s="5">
        <f t="shared" si="18"/>
        <v>-489292.32191791362</v>
      </c>
      <c r="I28" s="105"/>
      <c r="J28" s="5">
        <f>+'Links to Models'!J27</f>
        <v>4083540.0869522342</v>
      </c>
      <c r="K28" s="5">
        <f>+'Links to Models'!K27</f>
        <v>2598614.8900138885</v>
      </c>
      <c r="L28" s="5">
        <f t="shared" si="19"/>
        <v>1484925.1969383457</v>
      </c>
      <c r="M28" s="5"/>
      <c r="N28" s="5">
        <f>+'Links to Models'!N27</f>
        <v>1794848.1805972925</v>
      </c>
      <c r="O28" s="5">
        <f>+'Links to Models'!O27</f>
        <v>2284140.5025152061</v>
      </c>
      <c r="P28" s="5">
        <f t="shared" si="20"/>
        <v>-489292.32191791362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x14ac:dyDescent="0.25">
      <c r="A29" s="26" t="s">
        <v>63</v>
      </c>
      <c r="B29" s="5">
        <f>+'Links to Models'!B28</f>
        <v>0</v>
      </c>
      <c r="C29" s="5">
        <f>+'Links to Models'!C28</f>
        <v>26209.79999999702</v>
      </c>
      <c r="D29" s="105">
        <f t="shared" si="17"/>
        <v>-26209.79999999702</v>
      </c>
      <c r="E29" s="5"/>
      <c r="F29" s="5">
        <f>+'Links to Models'!F28</f>
        <v>0</v>
      </c>
      <c r="G29" s="5">
        <f>+'Links to Models'!G28</f>
        <v>0</v>
      </c>
      <c r="H29" s="5">
        <f t="shared" si="18"/>
        <v>0</v>
      </c>
      <c r="I29" s="105"/>
      <c r="J29" s="5">
        <f>+'Links to Models'!J28</f>
        <v>0</v>
      </c>
      <c r="K29" s="5">
        <f>+'Links to Models'!K28</f>
        <v>26209.79999999702</v>
      </c>
      <c r="L29" s="5">
        <f t="shared" si="19"/>
        <v>-26209.79999999702</v>
      </c>
      <c r="M29" s="5"/>
      <c r="N29" s="5">
        <f>+'Links to Models'!N28</f>
        <v>0</v>
      </c>
      <c r="O29" s="5">
        <f>+'Links to Models'!O28</f>
        <v>0</v>
      </c>
      <c r="P29" s="5">
        <f t="shared" si="20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x14ac:dyDescent="0.25">
      <c r="A30" s="26" t="s">
        <v>64</v>
      </c>
      <c r="B30" s="5">
        <f>+'Links to Models'!B29</f>
        <v>127998996.11067097</v>
      </c>
      <c r="C30" s="5">
        <f>+'Links to Models'!C29</f>
        <v>116062781.07593183</v>
      </c>
      <c r="D30" s="105">
        <f t="shared" si="17"/>
        <v>11936215.034739137</v>
      </c>
      <c r="E30" s="5"/>
      <c r="F30" s="5">
        <f>+'Links to Models'!F29</f>
        <v>60782732.848756865</v>
      </c>
      <c r="G30" s="5">
        <f>+'Links to Models'!G29</f>
        <v>50486525.409146473</v>
      </c>
      <c r="H30" s="5">
        <f t="shared" si="18"/>
        <v>10296207.439610392</v>
      </c>
      <c r="I30" s="105"/>
      <c r="J30" s="5">
        <f>+'Links to Models'!J29</f>
        <v>127789990.86467096</v>
      </c>
      <c r="K30" s="5">
        <f>+'Links to Models'!K29</f>
        <v>115995838.49993183</v>
      </c>
      <c r="L30" s="5">
        <f t="shared" si="19"/>
        <v>11794152.364739135</v>
      </c>
      <c r="M30" s="5"/>
      <c r="N30" s="5">
        <f>+'Links to Models'!N29</f>
        <v>60610476.170756862</v>
      </c>
      <c r="O30" s="5">
        <f>+'Links to Models'!O29</f>
        <v>50500437.421146475</v>
      </c>
      <c r="P30" s="5">
        <f t="shared" si="20"/>
        <v>10110038.749610387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x14ac:dyDescent="0.25">
      <c r="A31" s="26" t="s">
        <v>65</v>
      </c>
      <c r="B31" s="5">
        <f>+'Links to Models'!B30</f>
        <v>346798358.68028539</v>
      </c>
      <c r="C31" s="5">
        <f>+'Links to Models'!C30</f>
        <v>321359285.25530386</v>
      </c>
      <c r="D31" s="105">
        <f t="shared" si="17"/>
        <v>25439073.424981534</v>
      </c>
      <c r="E31" s="5"/>
      <c r="F31" s="5">
        <f>+'Links to Models'!F30</f>
        <v>121820205.37902662</v>
      </c>
      <c r="G31" s="5">
        <f>+'Links to Models'!G30</f>
        <v>101800267.90256016</v>
      </c>
      <c r="H31" s="5">
        <f t="shared" si="18"/>
        <v>20019937.476466462</v>
      </c>
      <c r="I31" s="105"/>
      <c r="J31" s="5">
        <f>+'Links to Models'!J30</f>
        <v>346798358.68028539</v>
      </c>
      <c r="K31" s="5">
        <f>+'Links to Models'!K30</f>
        <v>321359285.25530386</v>
      </c>
      <c r="L31" s="5">
        <f t="shared" si="19"/>
        <v>25439073.424981534</v>
      </c>
      <c r="M31" s="5"/>
      <c r="N31" s="5">
        <f>+'Links to Models'!N30</f>
        <v>121820205.37902662</v>
      </c>
      <c r="O31" s="5">
        <f>+'Links to Models'!O30</f>
        <v>101800267.90256016</v>
      </c>
      <c r="P31" s="5">
        <f t="shared" si="20"/>
        <v>20019937.476466462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x14ac:dyDescent="0.25">
      <c r="A32" s="26" t="s">
        <v>66</v>
      </c>
      <c r="B32" s="5">
        <f>+'Links to Models'!B31</f>
        <v>94343659.774467438</v>
      </c>
      <c r="C32" s="5">
        <f>+'Links to Models'!C31</f>
        <v>48454182.193165764</v>
      </c>
      <c r="D32" s="105">
        <f t="shared" si="17"/>
        <v>45889477.581301674</v>
      </c>
      <c r="E32" s="5"/>
      <c r="F32" s="5">
        <f>+'Links to Models'!F31</f>
        <v>37336985.997634605</v>
      </c>
      <c r="G32" s="5">
        <f>+'Links to Models'!G31</f>
        <v>11657750.373275291</v>
      </c>
      <c r="H32" s="5">
        <f t="shared" si="18"/>
        <v>25679235.624359313</v>
      </c>
      <c r="I32" s="105"/>
      <c r="J32" s="5">
        <f>+'Links to Models'!J31</f>
        <v>94343659.774467438</v>
      </c>
      <c r="K32" s="5">
        <f>+'Links to Models'!K31</f>
        <v>48454182.193165764</v>
      </c>
      <c r="L32" s="5">
        <f t="shared" si="19"/>
        <v>45889477.581301674</v>
      </c>
      <c r="M32" s="5"/>
      <c r="N32" s="5">
        <f>+'Links to Models'!N31</f>
        <v>37336985.997634605</v>
      </c>
      <c r="O32" s="5">
        <f>+'Links to Models'!O31</f>
        <v>11657750.373275291</v>
      </c>
      <c r="P32" s="5">
        <f t="shared" si="20"/>
        <v>25679235.624359313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x14ac:dyDescent="0.25">
      <c r="A33" s="26" t="s">
        <v>67</v>
      </c>
      <c r="B33" s="5">
        <f>+'Links to Models'!B32</f>
        <v>43150399.323406145</v>
      </c>
      <c r="C33" s="5">
        <f>+'Links to Models'!C32</f>
        <v>35268060.945710272</v>
      </c>
      <c r="D33" s="105">
        <f t="shared" si="17"/>
        <v>7882338.3776958734</v>
      </c>
      <c r="E33" s="5"/>
      <c r="F33" s="5">
        <f>+'Links to Models'!F32</f>
        <v>0</v>
      </c>
      <c r="G33" s="5">
        <f>+'Links to Models'!G32</f>
        <v>0</v>
      </c>
      <c r="H33" s="5">
        <f t="shared" si="18"/>
        <v>0</v>
      </c>
      <c r="I33" s="105"/>
      <c r="J33" s="5">
        <f>+'Links to Models'!J32</f>
        <v>43150399.323406145</v>
      </c>
      <c r="K33" s="5">
        <f>+'Links to Models'!K32</f>
        <v>35268060.945710272</v>
      </c>
      <c r="L33" s="5">
        <f t="shared" si="19"/>
        <v>7882338.3776958734</v>
      </c>
      <c r="M33" s="5"/>
      <c r="N33" s="5">
        <f>+'Links to Models'!N32</f>
        <v>0</v>
      </c>
      <c r="O33" s="5">
        <f>+'Links to Models'!O32</f>
        <v>0</v>
      </c>
      <c r="P33" s="5">
        <f t="shared" si="20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x14ac:dyDescent="0.25">
      <c r="A34" s="26" t="s">
        <v>68</v>
      </c>
      <c r="B34" s="5">
        <f>+'Links to Models'!B33</f>
        <v>16774566.453813115</v>
      </c>
      <c r="C34" s="5">
        <f>+'Links to Models'!C33</f>
        <v>6441008.8884076755</v>
      </c>
      <c r="D34" s="105">
        <f t="shared" si="17"/>
        <v>10333557.56540544</v>
      </c>
      <c r="E34" s="5"/>
      <c r="F34" s="5">
        <f>+'Links to Models'!F33</f>
        <v>15144087.136379622</v>
      </c>
      <c r="G34" s="5">
        <f>+'Links to Models'!G33</f>
        <v>8533977.2135456186</v>
      </c>
      <c r="H34" s="5">
        <f t="shared" si="18"/>
        <v>6610109.9228340033</v>
      </c>
      <c r="I34" s="105"/>
      <c r="J34" s="5">
        <f>+'Links to Models'!J33</f>
        <v>16774566.453813115</v>
      </c>
      <c r="K34" s="5">
        <f>+'Links to Models'!K33</f>
        <v>6441008.8884076755</v>
      </c>
      <c r="L34" s="5">
        <f t="shared" si="19"/>
        <v>10333557.56540544</v>
      </c>
      <c r="M34" s="5"/>
      <c r="N34" s="5">
        <f>+'Links to Models'!N33</f>
        <v>15144087.136379622</v>
      </c>
      <c r="O34" s="5">
        <f>+'Links to Models'!O33</f>
        <v>8533977.2135456186</v>
      </c>
      <c r="P34" s="5">
        <f t="shared" si="20"/>
        <v>6610109.9228340033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x14ac:dyDescent="0.25">
      <c r="A35" s="26" t="s">
        <v>69</v>
      </c>
      <c r="B35" s="5">
        <f>+'Links to Models'!B35</f>
        <v>90509090.243886322</v>
      </c>
      <c r="C35" s="5">
        <f>+'Links to Models'!C35</f>
        <v>87852728.493684098</v>
      </c>
      <c r="D35" s="105">
        <f t="shared" si="17"/>
        <v>2656361.7502022237</v>
      </c>
      <c r="E35" s="5"/>
      <c r="F35" s="5">
        <f>+'Links to Models'!F35</f>
        <v>39683735.81393379</v>
      </c>
      <c r="G35" s="5">
        <f>+'Links to Models'!G35</f>
        <v>34093864.82113409</v>
      </c>
      <c r="H35" s="5">
        <f t="shared" si="18"/>
        <v>5589870.9927996993</v>
      </c>
      <c r="I35" s="105"/>
      <c r="J35" s="5">
        <f>+'Links to Models'!J35</f>
        <v>86495562.504948318</v>
      </c>
      <c r="K35" s="5">
        <f>+'Links to Models'!K35</f>
        <v>86565523.171068102</v>
      </c>
      <c r="L35" s="5">
        <f t="shared" si="19"/>
        <v>-69960.666119784117</v>
      </c>
      <c r="M35" s="5"/>
      <c r="N35" s="5">
        <f>+'Links to Models'!N35</f>
        <v>36383039.47843679</v>
      </c>
      <c r="O35" s="5">
        <f>+'Links to Models'!O35</f>
        <v>34360432.883066088</v>
      </c>
      <c r="P35" s="5">
        <f t="shared" si="20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x14ac:dyDescent="0.25">
      <c r="A36" s="26" t="s">
        <v>70</v>
      </c>
      <c r="B36" s="5">
        <f>+'Links to Models'!B36</f>
        <v>95090861.364620134</v>
      </c>
      <c r="C36" s="5">
        <f>+'Links to Models'!C36</f>
        <v>41918431.160766065</v>
      </c>
      <c r="D36" s="105">
        <f t="shared" si="17"/>
        <v>53172430.203854069</v>
      </c>
      <c r="E36" s="5"/>
      <c r="F36" s="5">
        <f>+'Links to Models'!F36</f>
        <v>19251531.110428918</v>
      </c>
      <c r="G36" s="5">
        <f>+'Links to Models'!G36</f>
        <v>-1185127.2780907163</v>
      </c>
      <c r="H36" s="5">
        <f t="shared" si="18"/>
        <v>20436658.388519634</v>
      </c>
      <c r="I36" s="105"/>
      <c r="J36" s="5">
        <f>+'Links to Models'!J36</f>
        <v>74218134.462338135</v>
      </c>
      <c r="K36" s="5">
        <f>+'Links to Models'!K36</f>
        <v>35224140.089478061</v>
      </c>
      <c r="L36" s="5">
        <f t="shared" si="19"/>
        <v>38993994.372860074</v>
      </c>
      <c r="M36" s="5"/>
      <c r="N36" s="5">
        <f>+'Links to Models'!N36</f>
        <v>1986588.7878449191</v>
      </c>
      <c r="O36" s="5">
        <f>+'Links to Models'!O36</f>
        <v>209224.99262728356</v>
      </c>
      <c r="P36" s="5">
        <f t="shared" si="20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x14ac:dyDescent="0.25">
      <c r="A37" s="26" t="s">
        <v>71</v>
      </c>
      <c r="B37" s="5">
        <f>+'Links to Models'!B37</f>
        <v>-60815173.145295337</v>
      </c>
      <c r="C37" s="5">
        <f>+'Links to Models'!C37</f>
        <v>24596425.290600121</v>
      </c>
      <c r="D37" s="105">
        <f t="shared" si="17"/>
        <v>-85411598.435895458</v>
      </c>
      <c r="E37" s="5"/>
      <c r="F37" s="5">
        <f>+'Links to Models'!F37</f>
        <v>-199310.85898487445</v>
      </c>
      <c r="G37" s="5">
        <f>+'Links to Models'!G37</f>
        <v>23138865.581999995</v>
      </c>
      <c r="H37" s="5">
        <f t="shared" si="18"/>
        <v>-23338176.440984868</v>
      </c>
      <c r="I37" s="105"/>
      <c r="J37" s="5">
        <f>+'Links to Models'!J37</f>
        <v>-60815173.145295337</v>
      </c>
      <c r="K37" s="5">
        <f>+'Links to Models'!K37</f>
        <v>24596425.290600121</v>
      </c>
      <c r="L37" s="5">
        <f t="shared" si="19"/>
        <v>-85411598.435895458</v>
      </c>
      <c r="M37" s="5"/>
      <c r="N37" s="5">
        <f>+'Links to Models'!N37</f>
        <v>-199310.85898487445</v>
      </c>
      <c r="O37" s="5">
        <f>+'Links to Models'!O37</f>
        <v>23138865.581999995</v>
      </c>
      <c r="P37" s="5">
        <f t="shared" si="20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x14ac:dyDescent="0.25">
      <c r="A38" s="26" t="s">
        <v>72</v>
      </c>
      <c r="B38" s="29">
        <f>SUM(B22:B37)</f>
        <v>1743262650.6881006</v>
      </c>
      <c r="C38" s="29">
        <f>SUM(C22:C37)</f>
        <v>1663091242.8527839</v>
      </c>
      <c r="D38" s="106">
        <f>SUM(D22:D37)</f>
        <v>80171407.835316435</v>
      </c>
      <c r="E38" s="5"/>
      <c r="F38" s="29">
        <f>SUM(F22:F37)</f>
        <v>687451143.81486297</v>
      </c>
      <c r="G38" s="29">
        <f>SUM(G22:G37)</f>
        <v>674605091.43603253</v>
      </c>
      <c r="H38" s="29">
        <f>SUM(H22:H37)</f>
        <v>12846052.378830336</v>
      </c>
      <c r="I38" s="105"/>
      <c r="J38" s="29">
        <f>SUM(J22:J37)</f>
        <v>1717281313.0604637</v>
      </c>
      <c r="K38" s="29">
        <f>SUM(K22:K37)</f>
        <v>1654803249.8746641</v>
      </c>
      <c r="L38" s="29">
        <f>SUM(L22:L37)</f>
        <v>62478063.185799405</v>
      </c>
      <c r="M38" s="5"/>
      <c r="N38" s="29">
        <f>SUM(N22:N37)</f>
        <v>666271926.86974597</v>
      </c>
      <c r="O38" s="29">
        <f>SUM(O22:O37)</f>
        <v>676315677.6515224</v>
      </c>
      <c r="P38" s="29">
        <f>SUM(P22:P37)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x14ac:dyDescent="0.25">
      <c r="A39" s="26"/>
      <c r="B39" s="5"/>
      <c r="C39" s="5"/>
      <c r="D39" s="5"/>
      <c r="E39" s="5"/>
      <c r="F39" s="5"/>
      <c r="G39" s="5"/>
      <c r="H39" s="5"/>
      <c r="I39" s="10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5.75" thickBot="1" x14ac:dyDescent="0.3">
      <c r="A40" s="26" t="s">
        <v>29</v>
      </c>
      <c r="B40" s="31">
        <f>+B12-B38</f>
        <v>413658411.48164058</v>
      </c>
      <c r="C40" s="31">
        <f>+C12-C38</f>
        <v>392656605.28302407</v>
      </c>
      <c r="D40" s="31">
        <f>+D12-D38</f>
        <v>21001806.19861722</v>
      </c>
      <c r="E40" s="5"/>
      <c r="F40" s="31">
        <f>+F12-F38</f>
        <v>160985657.35530853</v>
      </c>
      <c r="G40" s="31">
        <f>+G12-G38</f>
        <v>134173210.16788554</v>
      </c>
      <c r="H40" s="31">
        <f>+H12-H38</f>
        <v>26812447.187422998</v>
      </c>
      <c r="I40" s="105"/>
      <c r="J40" s="31">
        <f>+J12-J38</f>
        <v>335137126.10927796</v>
      </c>
      <c r="K40" s="31">
        <f>+K12-K38</f>
        <v>367473310.26114368</v>
      </c>
      <c r="L40" s="31">
        <f>+L12-L38</f>
        <v>-32336184.151865635</v>
      </c>
      <c r="M40" s="5"/>
      <c r="N40" s="31">
        <f>+N12-N38</f>
        <v>96036535.300425529</v>
      </c>
      <c r="O40" s="31">
        <f>+O12-O38</f>
        <v>139418629.95239568</v>
      </c>
      <c r="P40" s="31">
        <f>+P12-P38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5.75" thickTop="1" x14ac:dyDescent="0.25">
      <c r="A41" s="33" t="s">
        <v>73</v>
      </c>
      <c r="B41" s="32">
        <f>+'Links to Models'!B40-B40</f>
        <v>0</v>
      </c>
      <c r="C41" s="32">
        <f>+'Links to Models'!C40-C40</f>
        <v>0</v>
      </c>
      <c r="D41" s="32">
        <f>+'Links to Models'!D40-D40</f>
        <v>0</v>
      </c>
      <c r="F41" s="32">
        <f>+'Links to Models'!F40-F40</f>
        <v>0</v>
      </c>
      <c r="G41" s="32">
        <f>+'Links to Models'!G40-G40</f>
        <v>0</v>
      </c>
      <c r="H41" s="32">
        <f>+'Links to Models'!H40-H40</f>
        <v>0</v>
      </c>
      <c r="I41" s="105"/>
      <c r="J41" s="32">
        <f>+'Links to Models'!J40-J40</f>
        <v>0</v>
      </c>
      <c r="K41" s="32">
        <f>+'Links to Models'!K40-K40</f>
        <v>0</v>
      </c>
      <c r="L41" s="32">
        <f>+'Links to Models'!L40-L40</f>
        <v>0</v>
      </c>
      <c r="N41" s="32">
        <f>+'Links to Models'!N40-N40</f>
        <v>0</v>
      </c>
      <c r="O41" s="32">
        <f>+'Links to Models'!O40-O40</f>
        <v>0</v>
      </c>
      <c r="P41" s="32">
        <f>+'Links to Models'!P40-P40</f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x14ac:dyDescent="0.25">
      <c r="B42" s="5"/>
      <c r="C42" s="5"/>
      <c r="D42" s="5"/>
      <c r="F42" s="5"/>
      <c r="G42" s="5"/>
      <c r="H42" s="5"/>
      <c r="I42" s="105"/>
      <c r="J42" s="5"/>
      <c r="K42" s="5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x14ac:dyDescent="0.25">
      <c r="A43" s="34" t="s">
        <v>74</v>
      </c>
      <c r="B43" s="5"/>
      <c r="C43" s="5"/>
      <c r="D43" s="5"/>
      <c r="E43" s="5"/>
      <c r="F43" s="5"/>
      <c r="G43" s="5"/>
      <c r="H43" s="5"/>
      <c r="I43" s="10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x14ac:dyDescent="0.25">
      <c r="B44" s="5"/>
      <c r="C44" s="5"/>
      <c r="D44" s="5"/>
      <c r="E44" s="5"/>
      <c r="F44" s="5"/>
      <c r="G44" s="5"/>
      <c r="H44" s="5"/>
      <c r="I44" s="10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x14ac:dyDescent="0.25">
      <c r="A45" t="s">
        <v>75</v>
      </c>
      <c r="B45" s="36">
        <f>+B9+B10</f>
        <v>2101505006.9412317</v>
      </c>
      <c r="C45" s="36">
        <f>+C9+C10</f>
        <v>1996974762.2598822</v>
      </c>
      <c r="D45" s="36">
        <f>+B45-C45</f>
        <v>104530244.68134952</v>
      </c>
      <c r="E45" s="37"/>
      <c r="F45" s="36">
        <f>+F9+F10</f>
        <v>838086507.20017147</v>
      </c>
      <c r="G45" s="36">
        <f>+G9+G10</f>
        <v>795727158.91391814</v>
      </c>
      <c r="H45" s="36">
        <f>+F45-G45</f>
        <v>42359348.286253333</v>
      </c>
      <c r="I45" s="105"/>
      <c r="J45" s="36">
        <f>+J9+J10</f>
        <v>1997002383.941232</v>
      </c>
      <c r="K45" s="36">
        <f>+K9+K10</f>
        <v>1963503474.259882</v>
      </c>
      <c r="L45" s="36">
        <f>+J45-K45</f>
        <v>33498909.681349993</v>
      </c>
      <c r="M45" s="37"/>
      <c r="N45" s="36">
        <f>+N9+N10</f>
        <v>751958168.20017147</v>
      </c>
      <c r="O45" s="36">
        <f>+O9+O10</f>
        <v>802683164.91391814</v>
      </c>
      <c r="P45" s="36">
        <f>+N45-O45</f>
        <v>-50724996.713746667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x14ac:dyDescent="0.25">
      <c r="A46" t="s">
        <v>81</v>
      </c>
      <c r="B46" s="36">
        <f>+B11</f>
        <v>55416055.228509635</v>
      </c>
      <c r="C46" s="36">
        <f>+C11</f>
        <v>58773085.875925675</v>
      </c>
      <c r="D46" s="36">
        <f>+D11</f>
        <v>-3357030.6474160403</v>
      </c>
      <c r="E46" s="37"/>
      <c r="F46" s="36">
        <f>+F11</f>
        <v>10350293.969999997</v>
      </c>
      <c r="G46" s="36">
        <f>+G11</f>
        <v>13051142.689999998</v>
      </c>
      <c r="H46" s="36">
        <f>+H11</f>
        <v>-2700848.7200000007</v>
      </c>
      <c r="I46" s="105"/>
      <c r="J46" s="36">
        <f>+J11</f>
        <v>55416055.228509635</v>
      </c>
      <c r="K46" s="36">
        <f>+K11</f>
        <v>58773085.875925675</v>
      </c>
      <c r="L46" s="36">
        <f>+L11</f>
        <v>-3357030.6474160403</v>
      </c>
      <c r="M46" s="37"/>
      <c r="N46" s="36">
        <f>+N11</f>
        <v>10350293.969999997</v>
      </c>
      <c r="O46" s="36">
        <f>+O11</f>
        <v>13051142.689999998</v>
      </c>
      <c r="P46" s="36">
        <f>+P11</f>
        <v>-2700848.7200000007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x14ac:dyDescent="0.25">
      <c r="A47" t="s">
        <v>82</v>
      </c>
      <c r="B47" s="35">
        <f t="shared" ref="B47:D47" si="21">SUM(B45:B46)</f>
        <v>2156921062.1697412</v>
      </c>
      <c r="C47" s="35">
        <f t="shared" si="21"/>
        <v>2055747848.135808</v>
      </c>
      <c r="D47" s="35">
        <f t="shared" si="21"/>
        <v>101173214.03393348</v>
      </c>
      <c r="E47" s="37"/>
      <c r="F47" s="35">
        <f t="shared" ref="F47:H47" si="22">SUM(F45:F46)</f>
        <v>848436801.1701715</v>
      </c>
      <c r="G47" s="35">
        <f t="shared" si="22"/>
        <v>808778301.60391808</v>
      </c>
      <c r="H47" s="35">
        <f t="shared" si="22"/>
        <v>39658499.566253334</v>
      </c>
      <c r="I47" s="105"/>
      <c r="J47" s="35">
        <f t="shared" ref="J47:L47" si="23">SUM(J45:J46)</f>
        <v>2052418439.1697416</v>
      </c>
      <c r="K47" s="35">
        <f t="shared" si="23"/>
        <v>2022276560.1358078</v>
      </c>
      <c r="L47" s="35">
        <f t="shared" si="23"/>
        <v>30141879.033933952</v>
      </c>
      <c r="M47" s="37"/>
      <c r="N47" s="35">
        <f t="shared" ref="N47:P47" si="24">SUM(N45:N46)</f>
        <v>762308462.1701715</v>
      </c>
      <c r="O47" s="35">
        <f t="shared" si="24"/>
        <v>815734307.60391808</v>
      </c>
      <c r="P47" s="35">
        <f t="shared" si="24"/>
        <v>-53425845.433746666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x14ac:dyDescent="0.25">
      <c r="B48" s="5"/>
      <c r="C48" s="5"/>
      <c r="D48" s="5"/>
      <c r="E48" s="38"/>
      <c r="F48" s="5"/>
      <c r="G48" s="5"/>
      <c r="H48" s="5"/>
      <c r="I48" s="105"/>
      <c r="J48" s="5"/>
      <c r="K48" s="5"/>
      <c r="L48" s="5"/>
      <c r="M48" s="3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x14ac:dyDescent="0.25">
      <c r="A49" t="s">
        <v>76</v>
      </c>
      <c r="B49" s="5">
        <f>+B22</f>
        <v>712801874.29423964</v>
      </c>
      <c r="C49" s="5">
        <f>+C22</f>
        <v>687670321.66786039</v>
      </c>
      <c r="D49" s="5">
        <f>+B49-C49</f>
        <v>25131552.626379251</v>
      </c>
      <c r="E49" s="38"/>
      <c r="F49" s="5">
        <f>+F22</f>
        <v>293190161.10942125</v>
      </c>
      <c r="G49" s="5">
        <f>+G22</f>
        <v>357209796.64075875</v>
      </c>
      <c r="H49" s="5">
        <f>+F49-G49</f>
        <v>-64019635.5313375</v>
      </c>
      <c r="I49" s="105"/>
      <c r="J49" s="5">
        <f>+J22</f>
        <v>712801874.29423964</v>
      </c>
      <c r="K49" s="5">
        <f>+K22</f>
        <v>687670321.66786039</v>
      </c>
      <c r="L49" s="5">
        <f>+J49-K49</f>
        <v>25131552.626379251</v>
      </c>
      <c r="M49" s="38"/>
      <c r="N49" s="5">
        <f>+N22</f>
        <v>293190161.10942125</v>
      </c>
      <c r="O49" s="5">
        <f>+O22</f>
        <v>357209796.64075875</v>
      </c>
      <c r="P49" s="5">
        <f>+N49-O49</f>
        <v>-64019635.5313375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x14ac:dyDescent="0.25">
      <c r="A50" t="s">
        <v>77</v>
      </c>
      <c r="B50" s="5">
        <f>+B24</f>
        <v>109175792.16812748</v>
      </c>
      <c r="C50" s="5">
        <f>+C24</f>
        <v>138209148.65181684</v>
      </c>
      <c r="D50" s="5">
        <f>+D24</f>
        <v>-29033356.483689368</v>
      </c>
      <c r="E50" s="38"/>
      <c r="F50" s="5">
        <f>+F24</f>
        <v>6172164.8734382121</v>
      </c>
      <c r="G50" s="5">
        <f>+G24</f>
        <v>2455383.2057685088</v>
      </c>
      <c r="H50" s="5">
        <f>+H24</f>
        <v>3716781.6676697033</v>
      </c>
      <c r="I50" s="105"/>
      <c r="J50" s="5">
        <f>+J24</f>
        <v>109175792.16812748</v>
      </c>
      <c r="K50" s="5">
        <f>+K24</f>
        <v>138209148.65181684</v>
      </c>
      <c r="L50" s="5">
        <f>+L24</f>
        <v>-29033356.483689368</v>
      </c>
      <c r="M50" s="38"/>
      <c r="N50" s="5">
        <f>+N24</f>
        <v>6172164.8734382121</v>
      </c>
      <c r="O50" s="5">
        <f>+O24</f>
        <v>2455383.2057685088</v>
      </c>
      <c r="P50" s="5">
        <f>+P24</f>
        <v>3716781.6676697033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x14ac:dyDescent="0.25">
      <c r="A51" t="s">
        <v>78</v>
      </c>
      <c r="B51" s="5">
        <f>SUM(B25:B30)</f>
        <v>295433221.53055018</v>
      </c>
      <c r="C51" s="5">
        <f>SUM(C25:C30)</f>
        <v>271321650.30546898</v>
      </c>
      <c r="D51" s="5">
        <f>SUM(D25:D30)</f>
        <v>24111571.225081198</v>
      </c>
      <c r="E51" s="38"/>
      <c r="F51" s="5">
        <f>SUM(F25:F30)</f>
        <v>155051583.25358474</v>
      </c>
      <c r="G51" s="5">
        <f>SUM(G25:G30)</f>
        <v>136900312.97508085</v>
      </c>
      <c r="H51" s="5">
        <f>SUM(H25:H30)</f>
        <v>18151270.278503884</v>
      </c>
      <c r="I51" s="105"/>
      <c r="J51" s="5">
        <f>SUM(J25:J30)</f>
        <v>294338138.54413319</v>
      </c>
      <c r="K51" s="5">
        <f>SUM(K25:K30)</f>
        <v>271015153.72125298</v>
      </c>
      <c r="L51" s="5">
        <f>SUM(L25:L30)</f>
        <v>23322984.822880194</v>
      </c>
      <c r="M51" s="38"/>
      <c r="N51" s="5">
        <f>SUM(N25:N30)</f>
        <v>154438004.96654874</v>
      </c>
      <c r="O51" s="5">
        <f>SUM(O25:O30)</f>
        <v>136949978.85792086</v>
      </c>
      <c r="P51" s="5">
        <f>SUM(P25:P30)</f>
        <v>17488026.108627878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x14ac:dyDescent="0.25">
      <c r="A52" t="s">
        <v>65</v>
      </c>
      <c r="B52" s="5">
        <f>SUM(B31:B32)</f>
        <v>441142018.4547528</v>
      </c>
      <c r="C52" s="5">
        <f>SUM(C31:C32)</f>
        <v>369813467.44846964</v>
      </c>
      <c r="D52" s="5">
        <f>SUM(D31:D32)</f>
        <v>71328551.006283209</v>
      </c>
      <c r="E52" s="38"/>
      <c r="F52" s="5">
        <f>SUM(F31:F32)</f>
        <v>159157191.37666124</v>
      </c>
      <c r="G52" s="5">
        <f>SUM(G31:G32)</f>
        <v>113458018.27583545</v>
      </c>
      <c r="H52" s="5">
        <f>SUM(H31:H32)</f>
        <v>45699173.100825772</v>
      </c>
      <c r="I52" s="105"/>
      <c r="J52" s="5">
        <f>SUM(J31:J32)</f>
        <v>441142018.4547528</v>
      </c>
      <c r="K52" s="5">
        <f>SUM(K31:K32)</f>
        <v>369813467.44846964</v>
      </c>
      <c r="L52" s="5">
        <f>SUM(L31:L32)</f>
        <v>71328551.006283209</v>
      </c>
      <c r="M52" s="38"/>
      <c r="N52" s="5">
        <f>SUM(N31:N32)</f>
        <v>159157191.37666124</v>
      </c>
      <c r="O52" s="5">
        <f>SUM(O31:O32)</f>
        <v>113458018.27583545</v>
      </c>
      <c r="P52" s="5">
        <f>SUM(P31:P32)</f>
        <v>45699173.100825772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x14ac:dyDescent="0.25">
      <c r="A53" t="s">
        <v>84</v>
      </c>
      <c r="B53" s="5">
        <f>+B33</f>
        <v>43150399.323406145</v>
      </c>
      <c r="C53" s="5">
        <f>+C33</f>
        <v>35268060.945710272</v>
      </c>
      <c r="D53" s="5">
        <f>+D33</f>
        <v>7882338.3776958734</v>
      </c>
      <c r="E53" s="38"/>
      <c r="F53" s="5">
        <f>+F33</f>
        <v>0</v>
      </c>
      <c r="G53" s="5">
        <f>+G33</f>
        <v>0</v>
      </c>
      <c r="H53" s="5">
        <f>+H33</f>
        <v>0</v>
      </c>
      <c r="I53" s="105"/>
      <c r="J53" s="5">
        <f>+J33</f>
        <v>43150399.323406145</v>
      </c>
      <c r="K53" s="5">
        <f>+K33</f>
        <v>35268060.945710272</v>
      </c>
      <c r="L53" s="5">
        <f>+L33</f>
        <v>7882338.3776958734</v>
      </c>
      <c r="M53" s="38"/>
      <c r="N53" s="5">
        <f>+N33</f>
        <v>0</v>
      </c>
      <c r="O53" s="5">
        <f>+O33</f>
        <v>0</v>
      </c>
      <c r="P53" s="5">
        <f>+P33</f>
        <v>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x14ac:dyDescent="0.25">
      <c r="A54" t="s">
        <v>79</v>
      </c>
      <c r="B54" s="5">
        <f>SUM(B36:B37)</f>
        <v>34275688.219324797</v>
      </c>
      <c r="C54" s="5">
        <f>SUM(C36:C37)</f>
        <v>66514856.451366186</v>
      </c>
      <c r="D54" s="5">
        <f>SUM(D36:D37)</f>
        <v>-32239168.232041389</v>
      </c>
      <c r="E54" s="38"/>
      <c r="F54" s="5">
        <f>SUM(F36:F37)</f>
        <v>19052220.251444045</v>
      </c>
      <c r="G54" s="5">
        <f>SUM(G36:G37)</f>
        <v>21953738.303909279</v>
      </c>
      <c r="H54" s="5">
        <f>SUM(H36:H37)</f>
        <v>-2901518.052465234</v>
      </c>
      <c r="I54" s="105"/>
      <c r="J54" s="5">
        <f>SUM(J36:J37)</f>
        <v>13402961.317042798</v>
      </c>
      <c r="K54" s="5">
        <f>SUM(K36:K37)</f>
        <v>59820565.380078182</v>
      </c>
      <c r="L54" s="5">
        <f>SUM(L36:L37)</f>
        <v>-46417604.063035384</v>
      </c>
      <c r="M54" s="38"/>
      <c r="N54" s="5">
        <f>SUM(N36:N37)</f>
        <v>1787277.9288600446</v>
      </c>
      <c r="O54" s="5">
        <f>SUM(O36:O37)</f>
        <v>23348090.57462728</v>
      </c>
      <c r="P54" s="5">
        <f>SUM(P36:P37)</f>
        <v>-21560812.645767231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x14ac:dyDescent="0.25">
      <c r="A55" t="s">
        <v>80</v>
      </c>
      <c r="B55" s="5">
        <f>SUM(B34:B35)</f>
        <v>107283656.69769944</v>
      </c>
      <c r="C55" s="5">
        <f>SUM(C34:C35)</f>
        <v>94293737.382091776</v>
      </c>
      <c r="D55" s="5">
        <f>SUM(D34:D35)</f>
        <v>12989919.315607663</v>
      </c>
      <c r="E55" s="38"/>
      <c r="F55" s="5">
        <f>SUM(F34:F35)</f>
        <v>54827822.950313412</v>
      </c>
      <c r="G55" s="5">
        <f>SUM(G34:G35)</f>
        <v>42627842.034679711</v>
      </c>
      <c r="H55" s="5">
        <f>SUM(H34:H35)</f>
        <v>12199980.915633703</v>
      </c>
      <c r="I55" s="105"/>
      <c r="J55" s="5">
        <f>SUM(J34:J35)</f>
        <v>103270128.95876144</v>
      </c>
      <c r="K55" s="5">
        <f>SUM(K34:K35)</f>
        <v>93006532.05947578</v>
      </c>
      <c r="L55" s="5">
        <f>SUM(L34:L35)</f>
        <v>10263596.899285655</v>
      </c>
      <c r="M55" s="38"/>
      <c r="N55" s="5">
        <f>SUM(N34:N35)</f>
        <v>51527126.614816412</v>
      </c>
      <c r="O55" s="5">
        <f>SUM(O34:O35)</f>
        <v>42894410.096611708</v>
      </c>
      <c r="P55" s="5">
        <f>SUM(P34:P35)</f>
        <v>8632716.5182047058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x14ac:dyDescent="0.25">
      <c r="A56" t="s">
        <v>83</v>
      </c>
      <c r="B56" s="35">
        <f t="shared" ref="B56:D56" si="25">SUM(B49:B55)</f>
        <v>1743262650.6881006</v>
      </c>
      <c r="C56" s="35">
        <f t="shared" si="25"/>
        <v>1663091242.8527839</v>
      </c>
      <c r="D56" s="35">
        <f t="shared" si="25"/>
        <v>80171407.835316435</v>
      </c>
      <c r="E56" s="38"/>
      <c r="F56" s="35">
        <f>SUM(F49:F55)</f>
        <v>687451143.81486309</v>
      </c>
      <c r="G56" s="35">
        <f>SUM(G49:G55)</f>
        <v>674605091.43603253</v>
      </c>
      <c r="H56" s="35">
        <f>SUM(H49:H55)</f>
        <v>12846052.378830334</v>
      </c>
      <c r="I56" s="105"/>
      <c r="J56" s="35">
        <f t="shared" ref="J56:L56" si="26">SUM(J49:J55)</f>
        <v>1717281313.0604637</v>
      </c>
      <c r="K56" s="35">
        <f t="shared" si="26"/>
        <v>1654803249.8746638</v>
      </c>
      <c r="L56" s="35">
        <f t="shared" si="26"/>
        <v>62478063.185799435</v>
      </c>
      <c r="M56" s="38"/>
      <c r="N56" s="35">
        <f>SUM(N49:N55)</f>
        <v>666271926.86974597</v>
      </c>
      <c r="O56" s="35">
        <f>SUM(O49:O55)</f>
        <v>676315677.65152252</v>
      </c>
      <c r="P56" s="35">
        <f>SUM(P49:P55)</f>
        <v>-10043750.781776669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x14ac:dyDescent="0.25">
      <c r="B57" s="5"/>
      <c r="C57" s="5"/>
      <c r="D57" s="5"/>
      <c r="E57" s="38"/>
      <c r="F57" s="5"/>
      <c r="G57" s="5"/>
      <c r="H57" s="5"/>
      <c r="I57" s="105"/>
      <c r="J57" s="5"/>
      <c r="K57" s="5"/>
      <c r="L57" s="5"/>
      <c r="M57" s="3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x14ac:dyDescent="0.25">
      <c r="B58" s="5">
        <f t="shared" ref="B58:D58" si="27">+B47-B56</f>
        <v>413658411.48164058</v>
      </c>
      <c r="C58" s="5">
        <f t="shared" si="27"/>
        <v>392656605.28302407</v>
      </c>
      <c r="D58" s="5">
        <f t="shared" si="27"/>
        <v>21001806.198617041</v>
      </c>
      <c r="E58" s="38"/>
      <c r="F58" s="5">
        <f>+F47-F56</f>
        <v>160985657.35530841</v>
      </c>
      <c r="G58" s="5">
        <f>+G47-G56</f>
        <v>134173210.16788554</v>
      </c>
      <c r="H58" s="5">
        <f>+H47-H56</f>
        <v>26812447.187422998</v>
      </c>
      <c r="I58" s="105"/>
      <c r="J58" s="5">
        <f t="shared" ref="J58:L58" si="28">+J47-J56</f>
        <v>335137126.10927796</v>
      </c>
      <c r="K58" s="5">
        <f t="shared" si="28"/>
        <v>367473310.26114392</v>
      </c>
      <c r="L58" s="5">
        <f t="shared" si="28"/>
        <v>-32336184.151865482</v>
      </c>
      <c r="M58" s="38"/>
      <c r="N58" s="5">
        <f>+N47-N56</f>
        <v>96036535.300425529</v>
      </c>
      <c r="O58" s="5">
        <f>+O47-O56</f>
        <v>139418629.95239556</v>
      </c>
      <c r="P58" s="5">
        <f>+P47-P56</f>
        <v>-43382094.651969999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25">
      <c r="A59" s="33" t="s">
        <v>73</v>
      </c>
      <c r="B59" s="32">
        <f>+B58-B40</f>
        <v>0</v>
      </c>
      <c r="C59" s="32">
        <f t="shared" ref="C59:H59" si="29">+C58-C40</f>
        <v>0</v>
      </c>
      <c r="D59" s="32">
        <f t="shared" si="29"/>
        <v>-1.7881393432617188E-7</v>
      </c>
      <c r="F59" s="32">
        <f t="shared" si="29"/>
        <v>0</v>
      </c>
      <c r="G59" s="32">
        <f t="shared" si="29"/>
        <v>0</v>
      </c>
      <c r="H59" s="32">
        <f t="shared" si="29"/>
        <v>0</v>
      </c>
      <c r="I59" s="105"/>
      <c r="J59" s="32">
        <f>+J58-J40</f>
        <v>0</v>
      </c>
      <c r="K59" s="32">
        <f t="shared" ref="K59:L59" si="30">+K58-K40</f>
        <v>0</v>
      </c>
      <c r="L59" s="32">
        <f t="shared" si="30"/>
        <v>1.5273690223693848E-7</v>
      </c>
      <c r="N59" s="32">
        <f t="shared" ref="N59:P59" si="31">+N58-N40</f>
        <v>0</v>
      </c>
      <c r="O59" s="32">
        <f t="shared" si="31"/>
        <v>0</v>
      </c>
      <c r="P59" s="32">
        <f t="shared" si="31"/>
        <v>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25">
      <c r="B60" s="5"/>
      <c r="C60" s="5"/>
      <c r="D60" s="41"/>
      <c r="E60" s="5"/>
      <c r="F60" s="5"/>
      <c r="G60" s="5"/>
      <c r="H60" s="5"/>
      <c r="I60" s="105"/>
      <c r="J60" s="5"/>
      <c r="K60" s="5"/>
      <c r="L60" s="4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25">
      <c r="B61" s="5"/>
      <c r="C61" s="43"/>
      <c r="D61" s="5"/>
      <c r="E61" s="5"/>
      <c r="F61" s="5"/>
      <c r="G61" s="5"/>
      <c r="H61" s="5"/>
      <c r="I61" s="105"/>
      <c r="J61" s="5"/>
      <c r="K61" s="4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25">
      <c r="B62" s="5"/>
      <c r="C62" s="5"/>
      <c r="D62" s="5"/>
      <c r="E62" s="5"/>
      <c r="F62" s="5"/>
      <c r="G62" s="5"/>
      <c r="H62" s="5"/>
      <c r="I62" s="10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25">
      <c r="B63" s="5"/>
      <c r="C63" s="5"/>
      <c r="D63" s="5"/>
      <c r="E63" s="5"/>
      <c r="F63" s="5"/>
      <c r="G63" s="5"/>
      <c r="H63" s="5"/>
      <c r="I63" s="10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25">
      <c r="A64" s="2"/>
      <c r="B64" s="5"/>
      <c r="C64" s="5"/>
      <c r="D64" s="5"/>
      <c r="E64" s="5"/>
      <c r="F64" s="5"/>
      <c r="G64" s="5"/>
      <c r="H64" s="5"/>
      <c r="I64" s="10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25">
      <c r="A65" s="1"/>
      <c r="B65" s="43"/>
      <c r="C65" s="43"/>
      <c r="D65" s="5"/>
      <c r="E65" s="5"/>
      <c r="F65" s="42"/>
      <c r="G65" s="42"/>
      <c r="H65" s="5"/>
      <c r="I65" s="10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25">
      <c r="A66" s="1"/>
      <c r="B66" s="5"/>
      <c r="C66" s="5"/>
      <c r="D66" s="5"/>
      <c r="E66" s="5"/>
      <c r="F66" s="5"/>
      <c r="G66" s="5"/>
      <c r="H66" s="5"/>
      <c r="I66" s="10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25">
      <c r="A67" s="2"/>
      <c r="B67" s="5"/>
      <c r="C67" s="5"/>
      <c r="D67" s="5"/>
      <c r="E67" s="5"/>
      <c r="F67" s="5"/>
      <c r="G67" s="5"/>
      <c r="H67" s="5"/>
      <c r="I67" s="10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25">
      <c r="A68" s="2"/>
      <c r="B68" s="5"/>
      <c r="C68" s="5"/>
      <c r="D68" s="5"/>
      <c r="E68" s="5"/>
      <c r="F68" s="5"/>
      <c r="G68" s="5"/>
      <c r="H68" s="5"/>
      <c r="I68" s="10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25">
      <c r="A69" s="1"/>
      <c r="B69" s="5"/>
      <c r="C69" s="5"/>
      <c r="D69" s="5"/>
      <c r="E69" s="5"/>
      <c r="F69" s="5"/>
      <c r="G69" s="5"/>
      <c r="H69" s="5"/>
      <c r="I69" s="10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25">
      <c r="A70" s="1"/>
      <c r="B70" s="5"/>
      <c r="C70" s="5"/>
      <c r="D70" s="5"/>
      <c r="E70" s="5"/>
      <c r="F70" s="5"/>
      <c r="G70" s="5"/>
      <c r="H70" s="5"/>
      <c r="I70" s="10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25">
      <c r="A71" s="2"/>
      <c r="B71" s="5"/>
      <c r="C71" s="5"/>
      <c r="D71" s="5"/>
      <c r="E71" s="5"/>
      <c r="F71" s="5"/>
      <c r="G71" s="5"/>
      <c r="H71" s="5"/>
      <c r="I71" s="10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25">
      <c r="A72" s="2"/>
      <c r="B72" s="5"/>
      <c r="C72" s="5"/>
      <c r="D72" s="5"/>
      <c r="E72" s="5"/>
      <c r="F72" s="5"/>
      <c r="G72" s="5"/>
      <c r="H72" s="5"/>
      <c r="I72" s="10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25">
      <c r="A73" s="2"/>
      <c r="B73" s="5"/>
      <c r="C73" s="5"/>
      <c r="D73" s="5"/>
      <c r="E73" s="5"/>
      <c r="F73" s="5"/>
      <c r="G73" s="5"/>
      <c r="H73" s="5"/>
      <c r="I73" s="10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25">
      <c r="A74" s="1"/>
      <c r="B74" s="5"/>
      <c r="C74" s="5"/>
      <c r="D74" s="5"/>
      <c r="E74" s="5"/>
      <c r="F74" s="5"/>
      <c r="G74" s="5"/>
      <c r="H74" s="5"/>
      <c r="I74" s="10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25">
      <c r="A75" s="2"/>
      <c r="B75" s="5"/>
      <c r="C75" s="5"/>
      <c r="D75" s="5"/>
      <c r="E75" s="5"/>
      <c r="F75" s="5"/>
      <c r="G75" s="5"/>
      <c r="H75" s="5"/>
      <c r="I75" s="10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25">
      <c r="B76" s="5"/>
      <c r="C76" s="5"/>
      <c r="D76" s="5"/>
      <c r="E76" s="5"/>
      <c r="F76" s="5"/>
      <c r="G76" s="5"/>
      <c r="H76" s="5"/>
      <c r="I76" s="10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25">
      <c r="B77" s="5"/>
      <c r="C77" s="5"/>
      <c r="D77" s="5"/>
      <c r="E77" s="5"/>
      <c r="F77" s="5"/>
      <c r="G77" s="5"/>
      <c r="H77" s="5"/>
      <c r="I77" s="10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25">
      <c r="B78" s="5"/>
      <c r="C78" s="5"/>
      <c r="D78" s="5"/>
      <c r="E78" s="5"/>
      <c r="F78" s="5"/>
      <c r="G78" s="5"/>
      <c r="H78" s="5"/>
      <c r="I78" s="10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25">
      <c r="B79" s="5"/>
      <c r="C79" s="5"/>
      <c r="D79" s="5"/>
      <c r="E79" s="5"/>
      <c r="F79" s="5"/>
      <c r="G79" s="5"/>
      <c r="H79" s="5"/>
      <c r="I79" s="10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25">
      <c r="B80" s="5"/>
      <c r="C80" s="5"/>
      <c r="D80" s="5"/>
      <c r="E80" s="5"/>
      <c r="F80" s="5"/>
      <c r="G80" s="5"/>
      <c r="H80" s="5"/>
      <c r="I80" s="10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2:42" x14ac:dyDescent="0.25">
      <c r="B81" s="5"/>
      <c r="C81" s="5"/>
      <c r="D81" s="5"/>
      <c r="E81" s="5"/>
      <c r="F81" s="5"/>
      <c r="G81" s="5"/>
      <c r="H81" s="5"/>
      <c r="I81" s="10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2:42" x14ac:dyDescent="0.25">
      <c r="B82" s="5"/>
      <c r="C82" s="5"/>
      <c r="D82" s="5"/>
      <c r="E82" s="5"/>
      <c r="F82" s="5"/>
      <c r="G82" s="5"/>
      <c r="H82" s="5"/>
      <c r="I82" s="10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2:42" x14ac:dyDescent="0.25">
      <c r="B83" s="5"/>
      <c r="C83" s="5"/>
      <c r="D83" s="5"/>
      <c r="E83" s="5"/>
      <c r="F83" s="5"/>
      <c r="G83" s="5"/>
      <c r="H83" s="5"/>
      <c r="I83" s="10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2:42" x14ac:dyDescent="0.25">
      <c r="B84" s="5"/>
      <c r="C84" s="5"/>
      <c r="D84" s="5"/>
      <c r="E84" s="5"/>
      <c r="F84" s="5"/>
      <c r="G84" s="5"/>
      <c r="H84" s="5"/>
      <c r="I84" s="10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2:42" x14ac:dyDescent="0.25">
      <c r="B85" s="5"/>
      <c r="C85" s="5"/>
      <c r="D85" s="5"/>
      <c r="E85" s="5"/>
      <c r="F85" s="5"/>
      <c r="G85" s="5"/>
      <c r="H85" s="5"/>
      <c r="I85" s="10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2:42" x14ac:dyDescent="0.25">
      <c r="B86" s="5"/>
      <c r="C86" s="5"/>
      <c r="D86" s="5"/>
      <c r="E86" s="5"/>
      <c r="F86" s="5"/>
      <c r="G86" s="5"/>
      <c r="H86" s="5"/>
      <c r="I86" s="10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2:42" x14ac:dyDescent="0.25">
      <c r="B87" s="5"/>
      <c r="C87" s="5"/>
      <c r="D87" s="5"/>
      <c r="E87" s="5"/>
      <c r="F87" s="5"/>
      <c r="G87" s="5"/>
      <c r="H87" s="5"/>
      <c r="I87" s="10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2:42" x14ac:dyDescent="0.25">
      <c r="B88" s="5"/>
      <c r="C88" s="5"/>
      <c r="D88" s="5"/>
      <c r="E88" s="5"/>
      <c r="F88" s="5"/>
      <c r="G88" s="5"/>
      <c r="H88" s="5"/>
      <c r="I88" s="10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2:42" x14ac:dyDescent="0.25">
      <c r="B89" s="5"/>
      <c r="C89" s="5"/>
      <c r="D89" s="5"/>
      <c r="E89" s="5"/>
      <c r="F89" s="5"/>
      <c r="G89" s="5"/>
      <c r="H89" s="5"/>
      <c r="I89" s="10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2:42" x14ac:dyDescent="0.25">
      <c r="B90" s="5"/>
      <c r="C90" s="5"/>
      <c r="D90" s="5"/>
      <c r="E90" s="5"/>
      <c r="F90" s="5"/>
      <c r="G90" s="5"/>
      <c r="H90" s="5"/>
      <c r="I90" s="10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2:42" x14ac:dyDescent="0.25">
      <c r="B91" s="5"/>
      <c r="C91" s="5"/>
      <c r="D91" s="5"/>
      <c r="E91" s="5"/>
      <c r="F91" s="5"/>
      <c r="G91" s="5"/>
      <c r="H91" s="5"/>
      <c r="I91" s="10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2:42" x14ac:dyDescent="0.25">
      <c r="B92" s="5"/>
      <c r="C92" s="5"/>
      <c r="D92" s="5"/>
      <c r="E92" s="5"/>
      <c r="F92" s="5"/>
      <c r="G92" s="5"/>
      <c r="H92" s="5"/>
      <c r="I92" s="10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:42" x14ac:dyDescent="0.25">
      <c r="B93" s="5"/>
      <c r="C93" s="5"/>
      <c r="D93" s="5"/>
      <c r="E93" s="5"/>
      <c r="F93" s="5"/>
      <c r="G93" s="5"/>
      <c r="H93" s="5"/>
      <c r="I93" s="10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2:42" x14ac:dyDescent="0.25">
      <c r="B94" s="5"/>
      <c r="C94" s="5"/>
      <c r="D94" s="5"/>
      <c r="E94" s="5"/>
      <c r="F94" s="5"/>
      <c r="G94" s="5"/>
      <c r="H94" s="5"/>
      <c r="I94" s="10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2:42" x14ac:dyDescent="0.25">
      <c r="B95" s="5"/>
      <c r="C95" s="5"/>
      <c r="D95" s="5"/>
      <c r="E95" s="5"/>
      <c r="F95" s="5"/>
      <c r="G95" s="5"/>
      <c r="H95" s="5"/>
      <c r="I95" s="10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2:42" x14ac:dyDescent="0.25">
      <c r="B96" s="5"/>
      <c r="C96" s="5"/>
      <c r="D96" s="5"/>
      <c r="E96" s="5"/>
      <c r="F96" s="5"/>
      <c r="G96" s="5"/>
      <c r="H96" s="5"/>
      <c r="I96" s="10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2:42" x14ac:dyDescent="0.25">
      <c r="B97" s="5"/>
      <c r="C97" s="5"/>
      <c r="D97" s="5"/>
      <c r="E97" s="5"/>
      <c r="F97" s="5"/>
      <c r="G97" s="5"/>
      <c r="H97" s="5"/>
      <c r="I97" s="10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2:42" x14ac:dyDescent="0.25">
      <c r="B98" s="5"/>
      <c r="C98" s="5"/>
      <c r="D98" s="5"/>
      <c r="E98" s="5"/>
      <c r="F98" s="5"/>
      <c r="G98" s="5"/>
      <c r="H98" s="5"/>
      <c r="I98" s="10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:42" x14ac:dyDescent="0.25">
      <c r="B99" s="5"/>
      <c r="C99" s="5"/>
      <c r="D99" s="5"/>
      <c r="E99" s="5"/>
      <c r="F99" s="5"/>
      <c r="G99" s="5"/>
      <c r="H99" s="5"/>
      <c r="I99" s="10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2:42" x14ac:dyDescent="0.25">
      <c r="B100" s="5"/>
      <c r="C100" s="5"/>
      <c r="D100" s="5"/>
      <c r="E100" s="5"/>
      <c r="F100" s="5"/>
      <c r="G100" s="5"/>
      <c r="H100" s="5"/>
      <c r="I100" s="10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2:42" x14ac:dyDescent="0.25">
      <c r="B101" s="5"/>
      <c r="C101" s="5"/>
      <c r="D101" s="5"/>
      <c r="E101" s="5"/>
      <c r="F101" s="5"/>
      <c r="G101" s="5"/>
      <c r="H101" s="5"/>
      <c r="I101" s="10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2:42" x14ac:dyDescent="0.25">
      <c r="B102" s="5"/>
      <c r="C102" s="5"/>
      <c r="D102" s="5"/>
      <c r="E102" s="5"/>
      <c r="F102" s="5"/>
      <c r="G102" s="5"/>
      <c r="H102" s="5"/>
      <c r="I102" s="10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2:42" x14ac:dyDescent="0.25">
      <c r="B103" s="5"/>
      <c r="C103" s="5"/>
      <c r="D103" s="5"/>
      <c r="E103" s="5"/>
      <c r="F103" s="5"/>
      <c r="G103" s="5"/>
      <c r="H103" s="5"/>
      <c r="I103" s="10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2:42" x14ac:dyDescent="0.25">
      <c r="B104" s="5"/>
      <c r="C104" s="5"/>
      <c r="D104" s="5"/>
      <c r="E104" s="5"/>
      <c r="F104" s="5"/>
      <c r="G104" s="5"/>
      <c r="H104" s="5"/>
      <c r="I104" s="10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2:42" x14ac:dyDescent="0.25">
      <c r="B105" s="5"/>
      <c r="C105" s="5"/>
      <c r="D105" s="5"/>
      <c r="E105" s="5"/>
      <c r="F105" s="5"/>
      <c r="G105" s="5"/>
      <c r="H105" s="5"/>
      <c r="I105" s="10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:42" x14ac:dyDescent="0.25">
      <c r="B106" s="5"/>
      <c r="C106" s="5"/>
      <c r="D106" s="5"/>
      <c r="E106" s="5"/>
      <c r="F106" s="5"/>
      <c r="G106" s="5"/>
      <c r="H106" s="5"/>
      <c r="I106" s="10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2:42" x14ac:dyDescent="0.25">
      <c r="B107" s="5"/>
      <c r="C107" s="5"/>
      <c r="D107" s="5"/>
      <c r="E107" s="5"/>
      <c r="F107" s="5"/>
      <c r="G107" s="5"/>
      <c r="H107" s="5"/>
      <c r="I107" s="10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2:42" x14ac:dyDescent="0.25">
      <c r="B108" s="5"/>
      <c r="C108" s="5"/>
      <c r="D108" s="5"/>
      <c r="E108" s="5"/>
      <c r="F108" s="5"/>
      <c r="G108" s="5"/>
      <c r="H108" s="5"/>
      <c r="I108" s="10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2:42" x14ac:dyDescent="0.25">
      <c r="B109" s="5"/>
      <c r="C109" s="5"/>
      <c r="D109" s="5"/>
      <c r="E109" s="5"/>
      <c r="F109" s="5"/>
      <c r="G109" s="5"/>
      <c r="H109" s="5"/>
      <c r="I109" s="10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2:42" x14ac:dyDescent="0.25">
      <c r="B110" s="5"/>
      <c r="C110" s="5"/>
      <c r="D110" s="5"/>
      <c r="E110" s="5"/>
      <c r="F110" s="5"/>
      <c r="G110" s="5"/>
      <c r="H110" s="5"/>
      <c r="I110" s="10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2:42" x14ac:dyDescent="0.25">
      <c r="B111" s="5"/>
      <c r="C111" s="5"/>
      <c r="D111" s="5"/>
      <c r="E111" s="5"/>
      <c r="F111" s="5"/>
      <c r="G111" s="5"/>
      <c r="H111" s="5"/>
      <c r="I111" s="10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2:42" x14ac:dyDescent="0.25">
      <c r="B112" s="5"/>
      <c r="C112" s="5"/>
      <c r="D112" s="5"/>
      <c r="E112" s="5"/>
      <c r="F112" s="5"/>
      <c r="G112" s="5"/>
      <c r="H112" s="5"/>
      <c r="I112" s="10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2:42" x14ac:dyDescent="0.25">
      <c r="B113" s="5"/>
      <c r="C113" s="5"/>
      <c r="D113" s="5"/>
      <c r="E113" s="5"/>
      <c r="F113" s="5"/>
      <c r="G113" s="5"/>
      <c r="H113" s="5"/>
      <c r="I113" s="10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:42" x14ac:dyDescent="0.25">
      <c r="B114" s="5"/>
      <c r="C114" s="5"/>
      <c r="D114" s="5"/>
      <c r="E114" s="5"/>
      <c r="F114" s="5"/>
      <c r="G114" s="5"/>
      <c r="H114" s="5"/>
      <c r="I114" s="10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:42" x14ac:dyDescent="0.25">
      <c r="B115" s="5"/>
      <c r="C115" s="5"/>
      <c r="D115" s="5"/>
      <c r="E115" s="5"/>
      <c r="F115" s="5"/>
      <c r="G115" s="5"/>
      <c r="H115" s="5"/>
      <c r="I115" s="10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2:42" x14ac:dyDescent="0.25">
      <c r="B116" s="5"/>
      <c r="C116" s="5"/>
      <c r="D116" s="5"/>
      <c r="E116" s="5"/>
      <c r="F116" s="5"/>
      <c r="G116" s="5"/>
      <c r="H116" s="5"/>
      <c r="I116" s="10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2:42" x14ac:dyDescent="0.25">
      <c r="B117" s="5"/>
      <c r="C117" s="5"/>
      <c r="D117" s="5"/>
      <c r="E117" s="5"/>
      <c r="F117" s="5"/>
      <c r="G117" s="5"/>
      <c r="H117" s="5"/>
      <c r="I117" s="10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2:42" x14ac:dyDescent="0.25">
      <c r="B118" s="5"/>
      <c r="C118" s="5"/>
      <c r="D118" s="5"/>
      <c r="E118" s="5"/>
      <c r="F118" s="5"/>
      <c r="G118" s="5"/>
      <c r="H118" s="5"/>
      <c r="I118" s="10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2:42" x14ac:dyDescent="0.25">
      <c r="B119" s="5"/>
      <c r="C119" s="5"/>
      <c r="D119" s="5"/>
      <c r="E119" s="5"/>
      <c r="F119" s="5"/>
      <c r="G119" s="5"/>
      <c r="H119" s="5"/>
      <c r="I119" s="10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2:42" x14ac:dyDescent="0.25">
      <c r="B120" s="5"/>
      <c r="C120" s="5"/>
      <c r="D120" s="5"/>
      <c r="E120" s="5"/>
      <c r="F120" s="5"/>
      <c r="G120" s="5"/>
      <c r="H120" s="5"/>
      <c r="I120" s="10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2:42" x14ac:dyDescent="0.25">
      <c r="B121" s="5"/>
      <c r="C121" s="5"/>
      <c r="D121" s="5"/>
      <c r="E121" s="5"/>
      <c r="F121" s="5"/>
      <c r="G121" s="5"/>
      <c r="H121" s="5"/>
      <c r="I121" s="10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2:42" x14ac:dyDescent="0.25">
      <c r="B122" s="5"/>
      <c r="C122" s="5"/>
      <c r="D122" s="5"/>
      <c r="E122" s="5"/>
      <c r="F122" s="5"/>
      <c r="G122" s="5"/>
      <c r="H122" s="5"/>
      <c r="I122" s="10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2:42" x14ac:dyDescent="0.25">
      <c r="B123" s="5"/>
      <c r="C123" s="5"/>
      <c r="D123" s="5"/>
      <c r="E123" s="5"/>
      <c r="F123" s="5"/>
      <c r="G123" s="5"/>
      <c r="H123" s="5"/>
      <c r="I123" s="10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2:42" x14ac:dyDescent="0.25">
      <c r="B124" s="5"/>
      <c r="C124" s="5"/>
      <c r="D124" s="5"/>
      <c r="E124" s="5"/>
      <c r="F124" s="5"/>
      <c r="G124" s="5"/>
      <c r="H124" s="5"/>
      <c r="I124" s="10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2:42" x14ac:dyDescent="0.25">
      <c r="B125" s="5"/>
      <c r="C125" s="5"/>
      <c r="D125" s="5"/>
      <c r="E125" s="5"/>
      <c r="F125" s="5"/>
      <c r="G125" s="5"/>
      <c r="H125" s="5"/>
      <c r="I125" s="10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2:42" x14ac:dyDescent="0.25">
      <c r="B126" s="5"/>
      <c r="C126" s="5"/>
      <c r="D126" s="5"/>
      <c r="E126" s="5"/>
      <c r="F126" s="5"/>
      <c r="G126" s="5"/>
      <c r="H126" s="5"/>
      <c r="I126" s="10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2:42" x14ac:dyDescent="0.25">
      <c r="B127" s="5"/>
      <c r="C127" s="5"/>
      <c r="D127" s="5"/>
      <c r="E127" s="5"/>
      <c r="F127" s="5"/>
      <c r="G127" s="5"/>
      <c r="H127" s="5"/>
      <c r="I127" s="10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2:42" x14ac:dyDescent="0.25">
      <c r="B128" s="5"/>
      <c r="C128" s="5"/>
      <c r="D128" s="5"/>
      <c r="E128" s="5"/>
      <c r="F128" s="5"/>
      <c r="G128" s="5"/>
      <c r="H128" s="5"/>
      <c r="I128" s="10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2:42" x14ac:dyDescent="0.25">
      <c r="B129" s="5"/>
      <c r="C129" s="5"/>
      <c r="D129" s="5"/>
      <c r="E129" s="5"/>
      <c r="F129" s="5"/>
      <c r="G129" s="5"/>
      <c r="H129" s="5"/>
      <c r="I129" s="10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2:42" x14ac:dyDescent="0.25">
      <c r="B130" s="5"/>
      <c r="C130" s="5"/>
      <c r="D130" s="5"/>
      <c r="E130" s="5"/>
      <c r="F130" s="5"/>
      <c r="G130" s="5"/>
      <c r="H130" s="5"/>
      <c r="I130" s="10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2:42" x14ac:dyDescent="0.25">
      <c r="B131" s="5"/>
      <c r="C131" s="5"/>
      <c r="D131" s="5"/>
      <c r="E131" s="5"/>
      <c r="F131" s="5"/>
      <c r="G131" s="5"/>
      <c r="H131" s="5"/>
      <c r="I131" s="10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2:42" x14ac:dyDescent="0.25">
      <c r="B132" s="5"/>
      <c r="C132" s="5"/>
      <c r="D132" s="5"/>
      <c r="E132" s="5"/>
      <c r="F132" s="5"/>
      <c r="G132" s="5"/>
      <c r="H132" s="5"/>
      <c r="I132" s="10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2:42" x14ac:dyDescent="0.25">
      <c r="B133" s="5"/>
      <c r="C133" s="5"/>
      <c r="D133" s="5"/>
      <c r="E133" s="5"/>
      <c r="F133" s="5"/>
      <c r="G133" s="5"/>
      <c r="H133" s="5"/>
      <c r="I133" s="10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2:42" x14ac:dyDescent="0.25">
      <c r="B134" s="5"/>
      <c r="C134" s="5"/>
      <c r="D134" s="5"/>
      <c r="E134" s="5"/>
      <c r="F134" s="5"/>
      <c r="G134" s="5"/>
      <c r="H134" s="5"/>
      <c r="I134" s="10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2:42" x14ac:dyDescent="0.25">
      <c r="B135" s="5"/>
      <c r="C135" s="5"/>
      <c r="D135" s="5"/>
      <c r="E135" s="5"/>
      <c r="F135" s="5"/>
      <c r="G135" s="5"/>
      <c r="H135" s="5"/>
      <c r="I135" s="10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2:42" x14ac:dyDescent="0.25">
      <c r="B136" s="5"/>
      <c r="C136" s="5"/>
      <c r="D136" s="5"/>
      <c r="E136" s="5"/>
      <c r="F136" s="5"/>
      <c r="G136" s="5"/>
      <c r="H136" s="5"/>
      <c r="I136" s="10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2:42" x14ac:dyDescent="0.25">
      <c r="B137" s="5"/>
      <c r="C137" s="5"/>
      <c r="D137" s="5"/>
      <c r="E137" s="5"/>
      <c r="F137" s="5"/>
      <c r="G137" s="5"/>
      <c r="H137" s="5"/>
      <c r="I137" s="10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2:42" x14ac:dyDescent="0.25">
      <c r="B138" s="5"/>
      <c r="C138" s="5"/>
      <c r="D138" s="5"/>
      <c r="E138" s="5"/>
      <c r="F138" s="5"/>
      <c r="G138" s="5"/>
      <c r="H138" s="5"/>
      <c r="I138" s="10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2:42" x14ac:dyDescent="0.25">
      <c r="B139" s="5"/>
      <c r="C139" s="5"/>
      <c r="D139" s="5"/>
      <c r="E139" s="5"/>
      <c r="F139" s="5"/>
      <c r="G139" s="5"/>
      <c r="H139" s="5"/>
      <c r="I139" s="10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2:42" x14ac:dyDescent="0.25">
      <c r="B140" s="5"/>
      <c r="C140" s="5"/>
      <c r="D140" s="5"/>
      <c r="E140" s="5"/>
      <c r="F140" s="5"/>
      <c r="G140" s="5"/>
      <c r="H140" s="5"/>
      <c r="I140" s="10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2:42" x14ac:dyDescent="0.25">
      <c r="B141" s="5"/>
      <c r="C141" s="5"/>
      <c r="D141" s="5"/>
      <c r="E141" s="5"/>
      <c r="F141" s="5"/>
      <c r="G141" s="5"/>
      <c r="H141" s="5"/>
      <c r="I141" s="10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2:42" x14ac:dyDescent="0.25">
      <c r="B142" s="5"/>
      <c r="C142" s="5"/>
      <c r="D142" s="5"/>
      <c r="E142" s="5"/>
      <c r="F142" s="5"/>
      <c r="G142" s="5"/>
      <c r="H142" s="5"/>
      <c r="I142" s="10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2:42" x14ac:dyDescent="0.25">
      <c r="B143" s="5"/>
      <c r="C143" s="5"/>
      <c r="D143" s="5"/>
      <c r="E143" s="5"/>
      <c r="F143" s="5"/>
      <c r="G143" s="5"/>
      <c r="H143" s="5"/>
      <c r="I143" s="10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2:42" x14ac:dyDescent="0.25">
      <c r="B144" s="5"/>
      <c r="C144" s="5"/>
      <c r="D144" s="5"/>
      <c r="E144" s="5"/>
      <c r="F144" s="5"/>
      <c r="G144" s="5"/>
      <c r="H144" s="5"/>
      <c r="I144" s="10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2:42" x14ac:dyDescent="0.25">
      <c r="B145" s="5"/>
      <c r="C145" s="5"/>
      <c r="D145" s="5"/>
      <c r="E145" s="5"/>
      <c r="F145" s="5"/>
      <c r="G145" s="5"/>
      <c r="H145" s="5"/>
      <c r="I145" s="10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2:42" x14ac:dyDescent="0.25">
      <c r="B146" s="5"/>
      <c r="C146" s="5"/>
      <c r="D146" s="5"/>
      <c r="E146" s="5"/>
      <c r="F146" s="5"/>
      <c r="G146" s="5"/>
      <c r="H146" s="5"/>
      <c r="I146" s="10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2:42" x14ac:dyDescent="0.25">
      <c r="B147" s="5"/>
      <c r="C147" s="5"/>
      <c r="D147" s="5"/>
      <c r="E147" s="5"/>
      <c r="F147" s="5"/>
      <c r="G147" s="5"/>
      <c r="H147" s="5"/>
      <c r="I147" s="10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2:42" x14ac:dyDescent="0.25">
      <c r="B148" s="5"/>
      <c r="C148" s="5"/>
      <c r="D148" s="5"/>
      <c r="E148" s="5"/>
      <c r="F148" s="5"/>
      <c r="G148" s="5"/>
      <c r="H148" s="5"/>
      <c r="I148" s="10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2:42" x14ac:dyDescent="0.25">
      <c r="B149" s="5"/>
      <c r="C149" s="5"/>
      <c r="D149" s="5"/>
      <c r="E149" s="5"/>
      <c r="F149" s="5"/>
      <c r="G149" s="5"/>
      <c r="H149" s="5"/>
      <c r="I149" s="10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2:42" x14ac:dyDescent="0.25">
      <c r="B150" s="5"/>
      <c r="C150" s="5"/>
      <c r="D150" s="5"/>
      <c r="E150" s="5"/>
      <c r="F150" s="5"/>
      <c r="G150" s="5"/>
      <c r="H150" s="5"/>
      <c r="I150" s="10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2:42" x14ac:dyDescent="0.25">
      <c r="B151" s="5"/>
      <c r="C151" s="5"/>
      <c r="D151" s="5"/>
      <c r="E151" s="5"/>
      <c r="F151" s="5"/>
      <c r="G151" s="5"/>
      <c r="H151" s="5"/>
      <c r="I151" s="10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2:42" x14ac:dyDescent="0.25">
      <c r="B152" s="5"/>
      <c r="C152" s="5"/>
      <c r="D152" s="5"/>
      <c r="E152" s="5"/>
      <c r="F152" s="5"/>
      <c r="G152" s="5"/>
      <c r="H152" s="5"/>
      <c r="I152" s="10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2:42" x14ac:dyDescent="0.25">
      <c r="B153" s="5"/>
      <c r="C153" s="5"/>
      <c r="D153" s="5"/>
      <c r="E153" s="5"/>
      <c r="F153" s="5"/>
      <c r="G153" s="5"/>
      <c r="H153" s="5"/>
      <c r="I153" s="10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2:42" x14ac:dyDescent="0.25">
      <c r="B154" s="5"/>
      <c r="C154" s="5"/>
      <c r="D154" s="5"/>
      <c r="E154" s="5"/>
      <c r="F154" s="5"/>
      <c r="G154" s="5"/>
      <c r="H154" s="5"/>
      <c r="I154" s="10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2:42" x14ac:dyDescent="0.25">
      <c r="B155" s="5"/>
      <c r="C155" s="5"/>
      <c r="D155" s="5"/>
      <c r="E155" s="5"/>
      <c r="F155" s="5"/>
      <c r="G155" s="5"/>
      <c r="H155" s="5"/>
      <c r="I155" s="10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2:42" x14ac:dyDescent="0.25">
      <c r="B156" s="5"/>
      <c r="C156" s="5"/>
      <c r="D156" s="5"/>
      <c r="E156" s="5"/>
      <c r="F156" s="5"/>
      <c r="G156" s="5"/>
      <c r="H156" s="5"/>
      <c r="I156" s="10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2:42" x14ac:dyDescent="0.25">
      <c r="B157" s="5"/>
      <c r="C157" s="5"/>
      <c r="D157" s="5"/>
      <c r="E157" s="5"/>
      <c r="F157" s="5"/>
      <c r="G157" s="5"/>
      <c r="H157" s="5"/>
      <c r="I157" s="10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2:42" x14ac:dyDescent="0.25">
      <c r="B158" s="5"/>
      <c r="C158" s="5"/>
      <c r="D158" s="5"/>
      <c r="E158" s="5"/>
      <c r="F158" s="5"/>
      <c r="G158" s="5"/>
      <c r="H158" s="5"/>
      <c r="I158" s="10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2:42" x14ac:dyDescent="0.25">
      <c r="B159" s="5"/>
      <c r="C159" s="5"/>
      <c r="D159" s="5"/>
      <c r="E159" s="5"/>
      <c r="F159" s="5"/>
      <c r="G159" s="5"/>
      <c r="H159" s="5"/>
      <c r="I159" s="10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2:42" x14ac:dyDescent="0.25">
      <c r="B160" s="5"/>
      <c r="C160" s="5"/>
      <c r="D160" s="5"/>
      <c r="E160" s="5"/>
      <c r="F160" s="5"/>
      <c r="G160" s="5"/>
      <c r="H160" s="5"/>
      <c r="I160" s="10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2:42" x14ac:dyDescent="0.25">
      <c r="B161" s="5"/>
      <c r="C161" s="5"/>
      <c r="D161" s="5"/>
      <c r="E161" s="5"/>
      <c r="F161" s="5"/>
      <c r="G161" s="5"/>
      <c r="H161" s="5"/>
      <c r="I161" s="10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2:42" x14ac:dyDescent="0.25">
      <c r="B162" s="5"/>
      <c r="C162" s="5"/>
      <c r="D162" s="5"/>
      <c r="E162" s="5"/>
      <c r="F162" s="5"/>
      <c r="G162" s="5"/>
      <c r="H162" s="5"/>
      <c r="I162" s="10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2:42" x14ac:dyDescent="0.25">
      <c r="B163" s="5"/>
      <c r="C163" s="5"/>
      <c r="D163" s="5"/>
      <c r="E163" s="5"/>
      <c r="F163" s="5"/>
      <c r="G163" s="5"/>
      <c r="H163" s="5"/>
      <c r="I163" s="10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2:42" x14ac:dyDescent="0.25">
      <c r="B164" s="5"/>
      <c r="C164" s="5"/>
      <c r="D164" s="5"/>
      <c r="E164" s="5"/>
      <c r="F164" s="5"/>
      <c r="G164" s="5"/>
      <c r="H164" s="5"/>
      <c r="I164" s="10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2:42" x14ac:dyDescent="0.25">
      <c r="B165" s="5"/>
      <c r="C165" s="5"/>
      <c r="D165" s="5"/>
      <c r="E165" s="5"/>
      <c r="F165" s="5"/>
      <c r="G165" s="5"/>
      <c r="H165" s="5"/>
      <c r="I165" s="10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2:42" x14ac:dyDescent="0.25">
      <c r="B166" s="5"/>
      <c r="C166" s="5"/>
      <c r="D166" s="5"/>
      <c r="E166" s="5"/>
      <c r="F166" s="5"/>
      <c r="G166" s="5"/>
      <c r="H166" s="5"/>
      <c r="I166" s="10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2:42" x14ac:dyDescent="0.25">
      <c r="B167" s="5"/>
      <c r="C167" s="5"/>
      <c r="D167" s="5"/>
      <c r="E167" s="5"/>
      <c r="F167" s="5"/>
      <c r="G167" s="5"/>
      <c r="H167" s="5"/>
      <c r="I167" s="10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2:42" x14ac:dyDescent="0.25">
      <c r="B168" s="5"/>
      <c r="C168" s="5"/>
      <c r="D168" s="5"/>
      <c r="E168" s="5"/>
      <c r="F168" s="5"/>
      <c r="G168" s="5"/>
      <c r="H168" s="5"/>
      <c r="I168" s="10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2:42" x14ac:dyDescent="0.25">
      <c r="B169" s="5"/>
      <c r="C169" s="5"/>
      <c r="D169" s="5"/>
      <c r="E169" s="5"/>
      <c r="F169" s="5"/>
      <c r="G169" s="5"/>
      <c r="H169" s="5"/>
      <c r="I169" s="10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2:42" x14ac:dyDescent="0.25">
      <c r="B170" s="5"/>
      <c r="C170" s="5"/>
      <c r="D170" s="5"/>
      <c r="E170" s="5"/>
      <c r="F170" s="5"/>
      <c r="G170" s="5"/>
      <c r="H170" s="5"/>
      <c r="I170" s="10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2:42" x14ac:dyDescent="0.25">
      <c r="B171" s="5"/>
      <c r="C171" s="5"/>
      <c r="D171" s="5"/>
      <c r="E171" s="5"/>
      <c r="F171" s="5"/>
      <c r="G171" s="5"/>
      <c r="H171" s="5"/>
      <c r="I171" s="10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2:42" x14ac:dyDescent="0.25">
      <c r="B172" s="5"/>
      <c r="C172" s="5"/>
      <c r="D172" s="5"/>
      <c r="E172" s="5"/>
      <c r="F172" s="5"/>
      <c r="G172" s="5"/>
      <c r="H172" s="5"/>
      <c r="I172" s="10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2:42" x14ac:dyDescent="0.25">
      <c r="B173" s="5"/>
      <c r="C173" s="5"/>
      <c r="D173" s="5"/>
      <c r="E173" s="5"/>
      <c r="F173" s="5"/>
      <c r="G173" s="5"/>
      <c r="H173" s="5"/>
      <c r="I173" s="10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2:42" x14ac:dyDescent="0.25">
      <c r="B174" s="5"/>
      <c r="C174" s="5"/>
      <c r="D174" s="5"/>
      <c r="E174" s="5"/>
      <c r="F174" s="5"/>
      <c r="G174" s="5"/>
      <c r="H174" s="5"/>
      <c r="I174" s="10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2:42" x14ac:dyDescent="0.25">
      <c r="B175" s="5"/>
      <c r="C175" s="5"/>
      <c r="D175" s="5"/>
      <c r="E175" s="5"/>
      <c r="F175" s="5"/>
      <c r="G175" s="5"/>
      <c r="H175" s="5"/>
      <c r="I175" s="10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2:42" x14ac:dyDescent="0.25">
      <c r="B176" s="5"/>
      <c r="C176" s="5"/>
      <c r="D176" s="5"/>
      <c r="E176" s="5"/>
      <c r="F176" s="5"/>
      <c r="G176" s="5"/>
      <c r="H176" s="5"/>
      <c r="I176" s="10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2:42" x14ac:dyDescent="0.25">
      <c r="B177" s="5"/>
      <c r="C177" s="5"/>
      <c r="D177" s="5"/>
      <c r="E177" s="5"/>
      <c r="F177" s="5"/>
      <c r="G177" s="5"/>
      <c r="H177" s="5"/>
      <c r="I177" s="10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2:42" x14ac:dyDescent="0.25">
      <c r="B178" s="5"/>
      <c r="C178" s="5"/>
      <c r="D178" s="5"/>
      <c r="E178" s="5"/>
      <c r="F178" s="5"/>
      <c r="G178" s="5"/>
      <c r="H178" s="5"/>
      <c r="I178" s="10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2:42" x14ac:dyDescent="0.25">
      <c r="B179" s="5"/>
      <c r="C179" s="5"/>
      <c r="D179" s="5"/>
      <c r="E179" s="5"/>
      <c r="F179" s="5"/>
      <c r="G179" s="5"/>
      <c r="H179" s="5"/>
      <c r="I179" s="10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2:42" x14ac:dyDescent="0.25">
      <c r="B180" s="5"/>
      <c r="C180" s="5"/>
      <c r="D180" s="5"/>
      <c r="E180" s="5"/>
      <c r="F180" s="5"/>
      <c r="G180" s="5"/>
      <c r="H180" s="5"/>
      <c r="I180" s="10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2:42" x14ac:dyDescent="0.25">
      <c r="B181" s="5"/>
      <c r="C181" s="5"/>
      <c r="D181" s="5"/>
      <c r="E181" s="5"/>
      <c r="F181" s="5"/>
      <c r="G181" s="5"/>
      <c r="H181" s="5"/>
      <c r="I181" s="10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2:42" x14ac:dyDescent="0.25">
      <c r="B182" s="5"/>
      <c r="C182" s="5"/>
      <c r="D182" s="5"/>
      <c r="E182" s="5"/>
      <c r="F182" s="5"/>
      <c r="G182" s="5"/>
      <c r="H182" s="5"/>
      <c r="I182" s="10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2:42" x14ac:dyDescent="0.25">
      <c r="B183" s="5"/>
      <c r="C183" s="5"/>
      <c r="D183" s="5"/>
      <c r="E183" s="5"/>
      <c r="F183" s="5"/>
      <c r="G183" s="5"/>
      <c r="H183" s="5"/>
      <c r="I183" s="10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2:42" x14ac:dyDescent="0.25">
      <c r="B184" s="5"/>
      <c r="C184" s="5"/>
      <c r="D184" s="5"/>
      <c r="E184" s="5"/>
      <c r="F184" s="5"/>
      <c r="G184" s="5"/>
      <c r="H184" s="5"/>
      <c r="I184" s="10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2:42" x14ac:dyDescent="0.25">
      <c r="B185" s="5"/>
      <c r="C185" s="5"/>
      <c r="D185" s="5"/>
      <c r="E185" s="5"/>
      <c r="F185" s="5"/>
      <c r="G185" s="5"/>
      <c r="H185" s="5"/>
      <c r="I185" s="10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2:42" x14ac:dyDescent="0.25">
      <c r="B186" s="5"/>
      <c r="C186" s="5"/>
      <c r="D186" s="5"/>
      <c r="E186" s="5"/>
      <c r="F186" s="5"/>
      <c r="G186" s="5"/>
      <c r="H186" s="5"/>
      <c r="I186" s="10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2:42" x14ac:dyDescent="0.25">
      <c r="B187" s="5"/>
      <c r="C187" s="5"/>
      <c r="D187" s="5"/>
      <c r="E187" s="5"/>
      <c r="F187" s="5"/>
      <c r="G187" s="5"/>
      <c r="H187" s="5"/>
      <c r="I187" s="10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2:42" x14ac:dyDescent="0.25">
      <c r="B188" s="5"/>
      <c r="C188" s="5"/>
      <c r="D188" s="5"/>
      <c r="E188" s="5"/>
      <c r="F188" s="5"/>
      <c r="G188" s="5"/>
      <c r="H188" s="5"/>
      <c r="I188" s="10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2:42" x14ac:dyDescent="0.25">
      <c r="B189" s="5"/>
      <c r="C189" s="5"/>
      <c r="D189" s="5"/>
      <c r="E189" s="5"/>
      <c r="F189" s="5"/>
      <c r="G189" s="5"/>
      <c r="H189" s="5"/>
      <c r="I189" s="10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2:42" x14ac:dyDescent="0.25">
      <c r="B190" s="5"/>
      <c r="C190" s="5"/>
      <c r="D190" s="5"/>
      <c r="E190" s="5"/>
      <c r="F190" s="5"/>
      <c r="G190" s="5"/>
      <c r="H190" s="5"/>
      <c r="I190" s="10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2:42" x14ac:dyDescent="0.25">
      <c r="B191" s="5"/>
      <c r="C191" s="5"/>
      <c r="D191" s="5"/>
      <c r="E191" s="5"/>
      <c r="F191" s="5"/>
      <c r="G191" s="5"/>
      <c r="H191" s="5"/>
      <c r="I191" s="10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2:42" x14ac:dyDescent="0.25">
      <c r="B192" s="5"/>
      <c r="C192" s="5"/>
      <c r="D192" s="5"/>
      <c r="E192" s="5"/>
      <c r="F192" s="5"/>
      <c r="G192" s="5"/>
      <c r="H192" s="5"/>
      <c r="I192" s="10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2:42" x14ac:dyDescent="0.25">
      <c r="B193" s="5"/>
      <c r="C193" s="5"/>
      <c r="D193" s="5"/>
      <c r="E193" s="5"/>
      <c r="F193" s="5"/>
      <c r="G193" s="5"/>
      <c r="H193" s="5"/>
      <c r="I193" s="10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2:42" x14ac:dyDescent="0.25">
      <c r="B194" s="5"/>
      <c r="C194" s="5"/>
      <c r="D194" s="5"/>
      <c r="E194" s="5"/>
      <c r="F194" s="5"/>
      <c r="G194" s="5"/>
      <c r="H194" s="5"/>
      <c r="I194" s="10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x14ac:dyDescent="0.25">
      <c r="B195" s="5"/>
      <c r="C195" s="5"/>
      <c r="D195" s="5"/>
      <c r="E195" s="5"/>
      <c r="F195" s="5"/>
      <c r="G195" s="5"/>
      <c r="H195" s="5"/>
      <c r="I195" s="10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x14ac:dyDescent="0.25">
      <c r="B196" s="5"/>
      <c r="C196" s="5"/>
      <c r="D196" s="5"/>
      <c r="E196" s="5"/>
      <c r="F196" s="5"/>
      <c r="G196" s="5"/>
      <c r="H196" s="5"/>
      <c r="I196" s="10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x14ac:dyDescent="0.25">
      <c r="B197" s="5"/>
      <c r="C197" s="5"/>
      <c r="D197" s="5"/>
      <c r="E197" s="5"/>
      <c r="F197" s="5"/>
      <c r="G197" s="5"/>
      <c r="H197" s="5"/>
      <c r="I197" s="10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x14ac:dyDescent="0.25">
      <c r="B198" s="5"/>
      <c r="C198" s="5"/>
      <c r="D198" s="5"/>
      <c r="E198" s="5"/>
      <c r="F198" s="5"/>
      <c r="G198" s="5"/>
      <c r="H198" s="5"/>
      <c r="I198" s="10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x14ac:dyDescent="0.25">
      <c r="B199" s="5"/>
      <c r="C199" s="5"/>
      <c r="D199" s="5"/>
      <c r="E199" s="5"/>
      <c r="F199" s="5"/>
      <c r="G199" s="5"/>
      <c r="H199" s="5"/>
      <c r="I199" s="10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x14ac:dyDescent="0.25">
      <c r="B200" s="5"/>
      <c r="C200" s="5"/>
      <c r="D200" s="5"/>
      <c r="E200" s="5"/>
      <c r="F200" s="5"/>
      <c r="G200" s="5"/>
      <c r="H200" s="5"/>
      <c r="I200" s="10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2:42" x14ac:dyDescent="0.25">
      <c r="B201" s="5"/>
      <c r="C201" s="5"/>
      <c r="D201" s="5"/>
      <c r="E201" s="5"/>
      <c r="F201" s="5"/>
      <c r="G201" s="5"/>
      <c r="H201" s="5"/>
      <c r="I201" s="10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2:42" x14ac:dyDescent="0.25">
      <c r="B202" s="5"/>
      <c r="C202" s="5"/>
      <c r="D202" s="5"/>
      <c r="E202" s="5"/>
      <c r="F202" s="5"/>
      <c r="G202" s="5"/>
      <c r="H202" s="5"/>
      <c r="I202" s="10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2:42" x14ac:dyDescent="0.25">
      <c r="B203" s="5"/>
      <c r="C203" s="5"/>
      <c r="D203" s="5"/>
      <c r="E203" s="5"/>
      <c r="F203" s="5"/>
      <c r="G203" s="5"/>
      <c r="H203" s="5"/>
      <c r="I203" s="10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2:42" x14ac:dyDescent="0.25">
      <c r="B204" s="5"/>
      <c r="C204" s="5"/>
      <c r="D204" s="5"/>
      <c r="E204" s="5"/>
      <c r="F204" s="5"/>
      <c r="G204" s="5"/>
      <c r="H204" s="5"/>
      <c r="I204" s="10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2:42" x14ac:dyDescent="0.25">
      <c r="B205" s="5"/>
      <c r="C205" s="5"/>
      <c r="D205" s="5"/>
      <c r="E205" s="5"/>
      <c r="F205" s="5"/>
      <c r="G205" s="5"/>
      <c r="H205" s="5"/>
      <c r="I205" s="10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2:42" x14ac:dyDescent="0.25">
      <c r="B206" s="5"/>
      <c r="C206" s="5"/>
      <c r="D206" s="5"/>
      <c r="E206" s="5"/>
      <c r="F206" s="5"/>
      <c r="G206" s="5"/>
      <c r="H206" s="5"/>
      <c r="I206" s="10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2:42" x14ac:dyDescent="0.25">
      <c r="B207" s="5"/>
      <c r="C207" s="5"/>
      <c r="D207" s="5"/>
      <c r="E207" s="5"/>
      <c r="F207" s="5"/>
      <c r="G207" s="5"/>
      <c r="H207" s="5"/>
      <c r="I207" s="10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2:42" x14ac:dyDescent="0.25">
      <c r="B208" s="5"/>
      <c r="C208" s="5"/>
      <c r="D208" s="5"/>
      <c r="E208" s="5"/>
      <c r="F208" s="5"/>
      <c r="G208" s="5"/>
      <c r="H208" s="5"/>
      <c r="I208" s="10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2:42" x14ac:dyDescent="0.25">
      <c r="B209" s="5"/>
      <c r="C209" s="5"/>
      <c r="D209" s="5"/>
      <c r="E209" s="5"/>
      <c r="F209" s="5"/>
      <c r="G209" s="5"/>
      <c r="H209" s="5"/>
      <c r="I209" s="10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2:42" x14ac:dyDescent="0.25">
      <c r="B210" s="5"/>
      <c r="C210" s="5"/>
      <c r="D210" s="5"/>
      <c r="E210" s="5"/>
      <c r="F210" s="5"/>
      <c r="G210" s="5"/>
      <c r="H210" s="5"/>
      <c r="I210" s="10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2:42" x14ac:dyDescent="0.25">
      <c r="B211" s="5"/>
      <c r="C211" s="5"/>
      <c r="D211" s="5"/>
      <c r="E211" s="5"/>
      <c r="F211" s="5"/>
      <c r="G211" s="5"/>
      <c r="H211" s="5"/>
      <c r="I211" s="10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2:42" x14ac:dyDescent="0.25">
      <c r="B212" s="5"/>
      <c r="C212" s="5"/>
      <c r="D212" s="5"/>
      <c r="E212" s="5"/>
      <c r="F212" s="5"/>
      <c r="G212" s="5"/>
      <c r="H212" s="5"/>
      <c r="I212" s="10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2:42" x14ac:dyDescent="0.25">
      <c r="B213" s="5"/>
      <c r="C213" s="5"/>
      <c r="D213" s="5"/>
      <c r="E213" s="5"/>
      <c r="F213" s="5"/>
      <c r="G213" s="5"/>
      <c r="H213" s="5"/>
      <c r="I213" s="10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2:42" x14ac:dyDescent="0.25">
      <c r="B214" s="5"/>
      <c r="C214" s="5"/>
      <c r="D214" s="5"/>
      <c r="E214" s="5"/>
      <c r="F214" s="5"/>
      <c r="G214" s="5"/>
      <c r="H214" s="5"/>
      <c r="I214" s="10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2:42" x14ac:dyDescent="0.25">
      <c r="B215" s="5"/>
      <c r="C215" s="5"/>
      <c r="D215" s="5"/>
      <c r="E215" s="5"/>
      <c r="F215" s="5"/>
      <c r="G215" s="5"/>
      <c r="H215" s="5"/>
      <c r="I215" s="10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2:42" x14ac:dyDescent="0.25">
      <c r="B216" s="5"/>
      <c r="C216" s="5"/>
      <c r="D216" s="5"/>
      <c r="E216" s="5"/>
      <c r="F216" s="5"/>
      <c r="G216" s="5"/>
      <c r="H216" s="5"/>
      <c r="I216" s="10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2:42" x14ac:dyDescent="0.25">
      <c r="B217" s="5"/>
      <c r="C217" s="5"/>
      <c r="D217" s="5"/>
      <c r="E217" s="5"/>
      <c r="F217" s="5"/>
      <c r="G217" s="5"/>
      <c r="H217" s="5"/>
      <c r="I217" s="10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2:42" x14ac:dyDescent="0.25">
      <c r="B218" s="5"/>
      <c r="C218" s="5"/>
      <c r="D218" s="5"/>
      <c r="E218" s="5"/>
      <c r="F218" s="5"/>
      <c r="G218" s="5"/>
      <c r="H218" s="5"/>
      <c r="I218" s="10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2:42" x14ac:dyDescent="0.25">
      <c r="B219" s="5"/>
      <c r="C219" s="5"/>
      <c r="D219" s="5"/>
      <c r="E219" s="5"/>
      <c r="F219" s="5"/>
      <c r="G219" s="5"/>
      <c r="H219" s="5"/>
      <c r="I219" s="10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2:42" x14ac:dyDescent="0.25">
      <c r="B220" s="5"/>
      <c r="C220" s="5"/>
      <c r="D220" s="5"/>
      <c r="E220" s="5"/>
      <c r="F220" s="5"/>
      <c r="G220" s="5"/>
      <c r="H220" s="5"/>
      <c r="I220" s="10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2:42" x14ac:dyDescent="0.25">
      <c r="B221" s="5"/>
      <c r="C221" s="5"/>
      <c r="D221" s="5"/>
      <c r="E221" s="5"/>
      <c r="F221" s="5"/>
      <c r="G221" s="5"/>
      <c r="H221" s="5"/>
      <c r="I221" s="10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2:42" x14ac:dyDescent="0.25">
      <c r="B222" s="5"/>
      <c r="C222" s="5"/>
      <c r="D222" s="5"/>
      <c r="E222" s="5"/>
      <c r="F222" s="5"/>
      <c r="G222" s="5"/>
      <c r="H222" s="5"/>
      <c r="I222" s="10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2:42" x14ac:dyDescent="0.25">
      <c r="B223" s="5"/>
      <c r="C223" s="5"/>
      <c r="D223" s="5"/>
      <c r="E223" s="5"/>
      <c r="F223" s="5"/>
      <c r="G223" s="5"/>
      <c r="H223" s="5"/>
      <c r="I223" s="10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2:42" x14ac:dyDescent="0.25">
      <c r="B224" s="5"/>
      <c r="C224" s="5"/>
      <c r="D224" s="5"/>
      <c r="E224" s="5"/>
      <c r="F224" s="5"/>
      <c r="G224" s="5"/>
      <c r="H224" s="5"/>
      <c r="I224" s="10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2:42" x14ac:dyDescent="0.25">
      <c r="B225" s="5"/>
      <c r="C225" s="5"/>
      <c r="D225" s="5"/>
      <c r="E225" s="5"/>
      <c r="F225" s="5"/>
      <c r="G225" s="5"/>
      <c r="H225" s="5"/>
      <c r="I225" s="10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2:42" x14ac:dyDescent="0.25">
      <c r="B226" s="5"/>
      <c r="C226" s="5"/>
      <c r="D226" s="5"/>
      <c r="E226" s="5"/>
      <c r="F226" s="5"/>
      <c r="G226" s="5"/>
      <c r="H226" s="5"/>
      <c r="I226" s="10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2:42" x14ac:dyDescent="0.25">
      <c r="B227" s="5"/>
      <c r="C227" s="5"/>
      <c r="D227" s="5"/>
      <c r="E227" s="5"/>
      <c r="F227" s="5"/>
      <c r="G227" s="5"/>
      <c r="H227" s="5"/>
      <c r="I227" s="10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2:42" x14ac:dyDescent="0.25">
      <c r="B228" s="5"/>
      <c r="C228" s="5"/>
      <c r="D228" s="5"/>
      <c r="E228" s="5"/>
      <c r="F228" s="5"/>
      <c r="G228" s="5"/>
      <c r="H228" s="5"/>
      <c r="I228" s="10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2:42" x14ac:dyDescent="0.25">
      <c r="B229" s="5"/>
      <c r="C229" s="5"/>
      <c r="D229" s="5"/>
      <c r="E229" s="5"/>
      <c r="F229" s="5"/>
      <c r="G229" s="5"/>
      <c r="H229" s="5"/>
      <c r="I229" s="10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2:42" x14ac:dyDescent="0.25">
      <c r="B230" s="5"/>
      <c r="C230" s="5"/>
      <c r="D230" s="5"/>
      <c r="E230" s="5"/>
      <c r="F230" s="5"/>
      <c r="G230" s="5"/>
      <c r="H230" s="5"/>
      <c r="I230" s="10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2:42" x14ac:dyDescent="0.25">
      <c r="B231" s="5"/>
      <c r="C231" s="5"/>
      <c r="D231" s="5"/>
      <c r="E231" s="5"/>
      <c r="F231" s="5"/>
      <c r="G231" s="5"/>
      <c r="H231" s="5"/>
      <c r="I231" s="10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2:42" x14ac:dyDescent="0.25">
      <c r="B232" s="5"/>
      <c r="C232" s="5"/>
      <c r="D232" s="5"/>
      <c r="E232" s="5"/>
      <c r="F232" s="5"/>
      <c r="G232" s="5"/>
      <c r="H232" s="5"/>
      <c r="I232" s="10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2:42" x14ac:dyDescent="0.25">
      <c r="B233" s="5"/>
      <c r="C233" s="5"/>
      <c r="D233" s="5"/>
      <c r="E233" s="5"/>
      <c r="F233" s="5"/>
      <c r="G233" s="5"/>
      <c r="H233" s="5"/>
      <c r="I233" s="10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2:42" x14ac:dyDescent="0.25">
      <c r="B234" s="5"/>
      <c r="C234" s="5"/>
      <c r="D234" s="5"/>
      <c r="E234" s="5"/>
      <c r="F234" s="5"/>
      <c r="G234" s="5"/>
      <c r="H234" s="5"/>
      <c r="I234" s="10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2:42" x14ac:dyDescent="0.25">
      <c r="B235" s="5"/>
      <c r="C235" s="5"/>
      <c r="D235" s="5"/>
      <c r="E235" s="5"/>
      <c r="F235" s="5"/>
      <c r="G235" s="5"/>
      <c r="H235" s="5"/>
      <c r="I235" s="10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2:42" x14ac:dyDescent="0.25">
      <c r="B236" s="5"/>
      <c r="C236" s="5"/>
      <c r="D236" s="5"/>
      <c r="E236" s="5"/>
      <c r="F236" s="5"/>
      <c r="G236" s="5"/>
      <c r="H236" s="5"/>
      <c r="I236" s="10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2:42" x14ac:dyDescent="0.25">
      <c r="B237" s="5"/>
      <c r="C237" s="5"/>
      <c r="D237" s="5"/>
      <c r="E237" s="5"/>
      <c r="F237" s="5"/>
      <c r="G237" s="5"/>
      <c r="H237" s="5"/>
      <c r="I237" s="10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2:42" x14ac:dyDescent="0.25">
      <c r="B238" s="5"/>
      <c r="C238" s="5"/>
      <c r="D238" s="5"/>
      <c r="E238" s="5"/>
      <c r="F238" s="5"/>
      <c r="G238" s="5"/>
      <c r="H238" s="5"/>
      <c r="I238" s="10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2:42" x14ac:dyDescent="0.25">
      <c r="B239" s="5"/>
      <c r="C239" s="5"/>
      <c r="D239" s="5"/>
      <c r="E239" s="5"/>
      <c r="F239" s="5"/>
      <c r="G239" s="5"/>
      <c r="H239" s="5"/>
      <c r="I239" s="10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2:42" x14ac:dyDescent="0.25">
      <c r="B240" s="5"/>
      <c r="C240" s="5"/>
      <c r="D240" s="5"/>
      <c r="E240" s="5"/>
      <c r="F240" s="5"/>
      <c r="G240" s="5"/>
      <c r="H240" s="5"/>
      <c r="I240" s="10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2:42" x14ac:dyDescent="0.25">
      <c r="B241" s="5"/>
      <c r="C241" s="5"/>
      <c r="D241" s="5"/>
      <c r="E241" s="5"/>
      <c r="F241" s="5"/>
      <c r="G241" s="5"/>
      <c r="H241" s="5"/>
      <c r="I241" s="10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2:42" x14ac:dyDescent="0.25">
      <c r="B242" s="5"/>
      <c r="C242" s="5"/>
      <c r="D242" s="5"/>
      <c r="E242" s="5"/>
      <c r="F242" s="5"/>
      <c r="G242" s="5"/>
      <c r="H242" s="5"/>
      <c r="I242" s="10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2:42" x14ac:dyDescent="0.25">
      <c r="B243" s="5"/>
      <c r="C243" s="5"/>
      <c r="D243" s="5"/>
      <c r="E243" s="5"/>
      <c r="F243" s="5"/>
      <c r="G243" s="5"/>
      <c r="H243" s="5"/>
      <c r="I243" s="10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2:42" x14ac:dyDescent="0.25">
      <c r="B244" s="5"/>
      <c r="C244" s="5"/>
      <c r="D244" s="5"/>
      <c r="E244" s="5"/>
      <c r="F244" s="5"/>
      <c r="G244" s="5"/>
      <c r="H244" s="5"/>
      <c r="I244" s="10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2:42" x14ac:dyDescent="0.25">
      <c r="B245" s="5"/>
      <c r="C245" s="5"/>
      <c r="D245" s="5"/>
      <c r="E245" s="5"/>
      <c r="F245" s="5"/>
      <c r="G245" s="5"/>
      <c r="H245" s="5"/>
      <c r="I245" s="10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2:42" x14ac:dyDescent="0.25">
      <c r="B246" s="5"/>
      <c r="C246" s="5"/>
      <c r="D246" s="5"/>
      <c r="E246" s="5"/>
      <c r="F246" s="5"/>
      <c r="G246" s="5"/>
      <c r="H246" s="5"/>
      <c r="I246" s="10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2:42" x14ac:dyDescent="0.25">
      <c r="B247" s="5"/>
      <c r="C247" s="5"/>
      <c r="D247" s="5"/>
      <c r="E247" s="5"/>
      <c r="F247" s="5"/>
      <c r="G247" s="5"/>
      <c r="H247" s="5"/>
      <c r="I247" s="10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2:42" x14ac:dyDescent="0.25">
      <c r="B248" s="5"/>
      <c r="C248" s="5"/>
      <c r="D248" s="5"/>
      <c r="E248" s="5"/>
      <c r="F248" s="5"/>
      <c r="G248" s="5"/>
      <c r="H248" s="5"/>
      <c r="I248" s="10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2:42" x14ac:dyDescent="0.25">
      <c r="B249" s="5"/>
      <c r="C249" s="5"/>
      <c r="D249" s="5"/>
      <c r="E249" s="5"/>
      <c r="F249" s="5"/>
      <c r="G249" s="5"/>
      <c r="H249" s="5"/>
      <c r="I249" s="10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2:42" x14ac:dyDescent="0.25">
      <c r="B250" s="5"/>
      <c r="C250" s="5"/>
      <c r="D250" s="5"/>
      <c r="E250" s="5"/>
      <c r="F250" s="5"/>
      <c r="G250" s="5"/>
      <c r="H250" s="5"/>
      <c r="I250" s="10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2:42" x14ac:dyDescent="0.25">
      <c r="B251" s="5"/>
      <c r="C251" s="5"/>
      <c r="D251" s="5"/>
      <c r="E251" s="5"/>
      <c r="F251" s="5"/>
      <c r="G251" s="5"/>
      <c r="H251" s="5"/>
      <c r="I251" s="10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2:42" x14ac:dyDescent="0.25">
      <c r="B252" s="5"/>
      <c r="C252" s="5"/>
      <c r="D252" s="5"/>
      <c r="E252" s="5"/>
      <c r="F252" s="5"/>
      <c r="G252" s="5"/>
      <c r="H252" s="5"/>
      <c r="I252" s="10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2:42" x14ac:dyDescent="0.25">
      <c r="B253" s="5"/>
      <c r="C253" s="5"/>
      <c r="D253" s="5"/>
      <c r="E253" s="5"/>
      <c r="F253" s="5"/>
      <c r="G253" s="5"/>
      <c r="H253" s="5"/>
      <c r="I253" s="10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2:42" x14ac:dyDescent="0.25">
      <c r="B254" s="5"/>
      <c r="C254" s="5"/>
      <c r="D254" s="5"/>
      <c r="E254" s="5"/>
      <c r="F254" s="5"/>
      <c r="G254" s="5"/>
      <c r="H254" s="5"/>
      <c r="I254" s="10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2:42" x14ac:dyDescent="0.25">
      <c r="B255" s="5"/>
      <c r="C255" s="5"/>
      <c r="D255" s="5"/>
      <c r="E255" s="5"/>
      <c r="F255" s="5"/>
      <c r="G255" s="5"/>
      <c r="H255" s="5"/>
      <c r="I255" s="10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2:42" x14ac:dyDescent="0.25">
      <c r="B256" s="5"/>
      <c r="C256" s="5"/>
      <c r="D256" s="5"/>
      <c r="E256" s="5"/>
      <c r="F256" s="5"/>
      <c r="G256" s="5"/>
      <c r="H256" s="5"/>
      <c r="I256" s="10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2:42" x14ac:dyDescent="0.25">
      <c r="B257" s="5"/>
      <c r="C257" s="5"/>
      <c r="D257" s="5"/>
      <c r="E257" s="5"/>
      <c r="F257" s="5"/>
      <c r="G257" s="5"/>
      <c r="H257" s="5"/>
      <c r="I257" s="10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2:42" x14ac:dyDescent="0.25">
      <c r="B258" s="5"/>
      <c r="C258" s="5"/>
      <c r="D258" s="5"/>
      <c r="E258" s="5"/>
      <c r="F258" s="5"/>
      <c r="G258" s="5"/>
      <c r="H258" s="5"/>
      <c r="I258" s="10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2:42" x14ac:dyDescent="0.25">
      <c r="B259" s="5"/>
      <c r="C259" s="5"/>
      <c r="D259" s="5"/>
      <c r="E259" s="5"/>
      <c r="F259" s="5"/>
      <c r="G259" s="5"/>
      <c r="H259" s="5"/>
      <c r="I259" s="10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2:42" x14ac:dyDescent="0.25">
      <c r="B260" s="5"/>
      <c r="C260" s="5"/>
      <c r="D260" s="5"/>
      <c r="E260" s="5"/>
      <c r="F260" s="5"/>
      <c r="G260" s="5"/>
      <c r="H260" s="5"/>
      <c r="I260" s="10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2:42" x14ac:dyDescent="0.25">
      <c r="B261" s="5"/>
      <c r="C261" s="5"/>
      <c r="D261" s="5"/>
      <c r="E261" s="5"/>
      <c r="F261" s="5"/>
      <c r="G261" s="5"/>
      <c r="H261" s="5"/>
      <c r="I261" s="10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2:42" x14ac:dyDescent="0.25">
      <c r="B262" s="5"/>
      <c r="C262" s="5"/>
      <c r="D262" s="5"/>
      <c r="E262" s="5"/>
      <c r="F262" s="5"/>
      <c r="G262" s="5"/>
      <c r="H262" s="5"/>
      <c r="I262" s="10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2:42" x14ac:dyDescent="0.25">
      <c r="B263" s="5"/>
      <c r="C263" s="5"/>
      <c r="D263" s="5"/>
      <c r="E263" s="5"/>
      <c r="F263" s="5"/>
      <c r="G263" s="5"/>
      <c r="H263" s="5"/>
      <c r="I263" s="10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2:42" x14ac:dyDescent="0.25">
      <c r="B264" s="5"/>
      <c r="C264" s="5"/>
      <c r="D264" s="5"/>
      <c r="E264" s="5"/>
      <c r="F264" s="5"/>
      <c r="G264" s="5"/>
      <c r="H264" s="5"/>
      <c r="I264" s="10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2:42" x14ac:dyDescent="0.25">
      <c r="B265" s="5"/>
      <c r="C265" s="5"/>
      <c r="D265" s="5"/>
      <c r="E265" s="5"/>
      <c r="F265" s="5"/>
      <c r="G265" s="5"/>
      <c r="H265" s="5"/>
      <c r="I265" s="10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2:42" x14ac:dyDescent="0.25">
      <c r="B266" s="5"/>
      <c r="C266" s="5"/>
      <c r="D266" s="5"/>
      <c r="E266" s="5"/>
      <c r="F266" s="5"/>
      <c r="G266" s="5"/>
      <c r="H266" s="5"/>
      <c r="I266" s="10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2:42" x14ac:dyDescent="0.25">
      <c r="B267" s="5"/>
      <c r="C267" s="5"/>
      <c r="D267" s="5"/>
      <c r="E267" s="5"/>
      <c r="F267" s="5"/>
      <c r="G267" s="5"/>
      <c r="H267" s="5"/>
      <c r="I267" s="10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2:42" x14ac:dyDescent="0.25">
      <c r="B268" s="5"/>
      <c r="C268" s="5"/>
      <c r="D268" s="5"/>
      <c r="E268" s="5"/>
      <c r="F268" s="5"/>
      <c r="G268" s="5"/>
      <c r="H268" s="5"/>
      <c r="I268" s="10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2:42" x14ac:dyDescent="0.25">
      <c r="B269" s="5"/>
      <c r="C269" s="5"/>
      <c r="D269" s="5"/>
      <c r="E269" s="5"/>
      <c r="F269" s="5"/>
      <c r="G269" s="5"/>
      <c r="H269" s="5"/>
      <c r="I269" s="10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2:42" x14ac:dyDescent="0.25">
      <c r="B270" s="5"/>
      <c r="C270" s="5"/>
      <c r="D270" s="5"/>
      <c r="E270" s="5"/>
      <c r="F270" s="5"/>
      <c r="G270" s="5"/>
      <c r="H270" s="5"/>
      <c r="I270" s="10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2:42" x14ac:dyDescent="0.25">
      <c r="B271" s="5"/>
      <c r="C271" s="5"/>
      <c r="D271" s="5"/>
      <c r="E271" s="5"/>
      <c r="F271" s="5"/>
      <c r="G271" s="5"/>
      <c r="H271" s="5"/>
      <c r="I271" s="10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2:42" x14ac:dyDescent="0.25">
      <c r="B272" s="5"/>
      <c r="C272" s="5"/>
      <c r="D272" s="5"/>
      <c r="E272" s="5"/>
      <c r="F272" s="5"/>
      <c r="G272" s="5"/>
      <c r="H272" s="5"/>
      <c r="I272" s="10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2:42" x14ac:dyDescent="0.25">
      <c r="B273" s="5"/>
      <c r="C273" s="5"/>
      <c r="D273" s="5"/>
      <c r="E273" s="5"/>
      <c r="F273" s="5"/>
      <c r="G273" s="5"/>
      <c r="H273" s="5"/>
      <c r="I273" s="10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2:42" x14ac:dyDescent="0.25">
      <c r="B274" s="5"/>
      <c r="C274" s="5"/>
      <c r="D274" s="5"/>
      <c r="E274" s="5"/>
      <c r="F274" s="5"/>
      <c r="G274" s="5"/>
      <c r="H274" s="5"/>
      <c r="I274" s="10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2:42" x14ac:dyDescent="0.25">
      <c r="B275" s="5"/>
      <c r="C275" s="5"/>
      <c r="D275" s="5"/>
      <c r="E275" s="5"/>
      <c r="F275" s="5"/>
      <c r="G275" s="5"/>
      <c r="H275" s="5"/>
      <c r="I275" s="10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2:42" x14ac:dyDescent="0.25">
      <c r="B276" s="5"/>
      <c r="C276" s="5"/>
      <c r="D276" s="5"/>
      <c r="E276" s="5"/>
      <c r="F276" s="5"/>
      <c r="G276" s="5"/>
      <c r="H276" s="5"/>
      <c r="I276" s="10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2:42" x14ac:dyDescent="0.25">
      <c r="B277" s="5"/>
      <c r="C277" s="5"/>
      <c r="D277" s="5"/>
      <c r="E277" s="5"/>
      <c r="F277" s="5"/>
      <c r="G277" s="5"/>
      <c r="H277" s="5"/>
      <c r="I277" s="10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2:42" x14ac:dyDescent="0.25">
      <c r="B278" s="5"/>
      <c r="C278" s="5"/>
      <c r="D278" s="5"/>
      <c r="E278" s="5"/>
      <c r="F278" s="5"/>
      <c r="G278" s="5"/>
      <c r="H278" s="5"/>
      <c r="I278" s="10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2:42" x14ac:dyDescent="0.25">
      <c r="B279" s="5"/>
      <c r="C279" s="5"/>
      <c r="D279" s="5"/>
      <c r="E279" s="5"/>
      <c r="F279" s="5"/>
      <c r="G279" s="5"/>
      <c r="H279" s="5"/>
      <c r="I279" s="10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2:42" x14ac:dyDescent="0.25">
      <c r="B280" s="5"/>
      <c r="C280" s="5"/>
      <c r="D280" s="5"/>
      <c r="E280" s="5"/>
      <c r="F280" s="5"/>
      <c r="G280" s="5"/>
      <c r="H280" s="5"/>
      <c r="I280" s="10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2:42" x14ac:dyDescent="0.25">
      <c r="B281" s="5"/>
      <c r="C281" s="5"/>
      <c r="D281" s="5"/>
      <c r="E281" s="5"/>
      <c r="F281" s="5"/>
      <c r="G281" s="5"/>
      <c r="H281" s="5"/>
      <c r="I281" s="10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2:42" x14ac:dyDescent="0.25">
      <c r="B282" s="5"/>
      <c r="C282" s="5"/>
      <c r="D282" s="5"/>
      <c r="E282" s="5"/>
      <c r="F282" s="5"/>
      <c r="G282" s="5"/>
      <c r="H282" s="5"/>
      <c r="I282" s="10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2:42" x14ac:dyDescent="0.25">
      <c r="B283" s="5"/>
      <c r="C283" s="5"/>
      <c r="D283" s="5"/>
      <c r="E283" s="5"/>
      <c r="F283" s="5"/>
      <c r="G283" s="5"/>
      <c r="H283" s="5"/>
      <c r="I283" s="10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2:42" x14ac:dyDescent="0.25">
      <c r="B284" s="5"/>
      <c r="C284" s="5"/>
      <c r="D284" s="5"/>
      <c r="E284" s="5"/>
      <c r="F284" s="5"/>
      <c r="G284" s="5"/>
      <c r="H284" s="5"/>
      <c r="I284" s="10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2:42" x14ac:dyDescent="0.25">
      <c r="B285" s="5"/>
      <c r="C285" s="5"/>
      <c r="D285" s="5"/>
      <c r="E285" s="5"/>
      <c r="F285" s="5"/>
      <c r="G285" s="5"/>
      <c r="H285" s="5"/>
      <c r="I285" s="10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2:42" x14ac:dyDescent="0.25">
      <c r="B286" s="5"/>
      <c r="C286" s="5"/>
      <c r="D286" s="5"/>
      <c r="E286" s="5"/>
      <c r="F286" s="5"/>
      <c r="G286" s="5"/>
      <c r="H286" s="5"/>
      <c r="I286" s="10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2:42" x14ac:dyDescent="0.25">
      <c r="B287" s="5"/>
      <c r="C287" s="5"/>
      <c r="D287" s="5"/>
      <c r="E287" s="5"/>
      <c r="F287" s="5"/>
      <c r="G287" s="5"/>
      <c r="H287" s="5"/>
      <c r="I287" s="10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2:42" x14ac:dyDescent="0.25">
      <c r="B288" s="5"/>
      <c r="C288" s="5"/>
      <c r="D288" s="5"/>
      <c r="E288" s="5"/>
      <c r="F288" s="5"/>
      <c r="G288" s="5"/>
      <c r="H288" s="5"/>
      <c r="I288" s="10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2:42" x14ac:dyDescent="0.25">
      <c r="B289" s="5"/>
      <c r="C289" s="5"/>
      <c r="D289" s="5"/>
      <c r="E289" s="5"/>
      <c r="F289" s="5"/>
      <c r="G289" s="5"/>
      <c r="H289" s="5"/>
      <c r="I289" s="10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2:42" x14ac:dyDescent="0.25">
      <c r="B290" s="5"/>
      <c r="C290" s="5"/>
      <c r="D290" s="5"/>
      <c r="E290" s="5"/>
      <c r="F290" s="5"/>
      <c r="G290" s="5"/>
      <c r="H290" s="5"/>
      <c r="I290" s="10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2:42" x14ac:dyDescent="0.25">
      <c r="B291" s="5"/>
      <c r="C291" s="5"/>
      <c r="D291" s="5"/>
      <c r="E291" s="5"/>
      <c r="F291" s="5"/>
      <c r="G291" s="5"/>
      <c r="H291" s="5"/>
      <c r="I291" s="10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2:42" x14ac:dyDescent="0.25">
      <c r="B292" s="5"/>
      <c r="C292" s="5"/>
      <c r="D292" s="5"/>
      <c r="E292" s="5"/>
      <c r="F292" s="5"/>
      <c r="G292" s="5"/>
      <c r="H292" s="5"/>
      <c r="I292" s="10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2:42" x14ac:dyDescent="0.25">
      <c r="B293" s="5"/>
      <c r="C293" s="5"/>
      <c r="D293" s="5"/>
      <c r="E293" s="5"/>
      <c r="F293" s="5"/>
      <c r="G293" s="5"/>
      <c r="H293" s="5"/>
      <c r="I293" s="10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2:42" x14ac:dyDescent="0.25">
      <c r="B294" s="5"/>
      <c r="C294" s="5"/>
      <c r="D294" s="5"/>
      <c r="E294" s="5"/>
      <c r="F294" s="5"/>
      <c r="G294" s="5"/>
      <c r="H294" s="5"/>
      <c r="I294" s="10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2:42" x14ac:dyDescent="0.25">
      <c r="B295" s="5"/>
      <c r="C295" s="5"/>
      <c r="D295" s="5"/>
      <c r="E295" s="5"/>
      <c r="F295" s="5"/>
      <c r="G295" s="5"/>
      <c r="H295" s="5"/>
      <c r="I295" s="10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2:42" x14ac:dyDescent="0.25">
      <c r="B296" s="5"/>
      <c r="C296" s="5"/>
      <c r="D296" s="5"/>
      <c r="E296" s="5"/>
      <c r="F296" s="5"/>
      <c r="G296" s="5"/>
      <c r="H296" s="5"/>
      <c r="I296" s="10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2:42" x14ac:dyDescent="0.25">
      <c r="B297" s="5"/>
      <c r="C297" s="5"/>
      <c r="D297" s="5"/>
      <c r="E297" s="5"/>
      <c r="F297" s="5"/>
      <c r="G297" s="5"/>
      <c r="H297" s="5"/>
      <c r="I297" s="10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2:42" x14ac:dyDescent="0.25">
      <c r="B298" s="5"/>
      <c r="C298" s="5"/>
      <c r="D298" s="5"/>
      <c r="E298" s="5"/>
      <c r="F298" s="5"/>
      <c r="G298" s="5"/>
      <c r="H298" s="5"/>
      <c r="I298" s="10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2:42" x14ac:dyDescent="0.25">
      <c r="B299" s="5"/>
      <c r="C299" s="5"/>
      <c r="D299" s="5"/>
      <c r="E299" s="5"/>
      <c r="F299" s="5"/>
      <c r="G299" s="5"/>
      <c r="H299" s="5"/>
      <c r="I299" s="10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2:42" x14ac:dyDescent="0.25">
      <c r="B300" s="5"/>
      <c r="C300" s="5"/>
      <c r="D300" s="5"/>
      <c r="E300" s="5"/>
      <c r="F300" s="5"/>
      <c r="G300" s="5"/>
      <c r="H300" s="5"/>
      <c r="I300" s="10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2:42" x14ac:dyDescent="0.25">
      <c r="B301" s="5"/>
      <c r="C301" s="5"/>
      <c r="D301" s="5"/>
      <c r="E301" s="5"/>
      <c r="F301" s="5"/>
      <c r="G301" s="5"/>
      <c r="H301" s="5"/>
      <c r="I301" s="10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2:42" x14ac:dyDescent="0.25">
      <c r="B302" s="5"/>
      <c r="C302" s="5"/>
      <c r="D302" s="5"/>
      <c r="E302" s="5"/>
      <c r="F302" s="5"/>
      <c r="G302" s="5"/>
      <c r="H302" s="5"/>
      <c r="I302" s="10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2:42" x14ac:dyDescent="0.25">
      <c r="B303" s="5"/>
      <c r="C303" s="5"/>
      <c r="D303" s="5"/>
      <c r="E303" s="5"/>
      <c r="F303" s="5"/>
      <c r="G303" s="5"/>
      <c r="H303" s="5"/>
      <c r="I303" s="10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2:42" x14ac:dyDescent="0.25">
      <c r="B304" s="5"/>
      <c r="C304" s="5"/>
      <c r="D304" s="5"/>
      <c r="E304" s="5"/>
      <c r="F304" s="5"/>
      <c r="G304" s="5"/>
      <c r="H304" s="5"/>
      <c r="I304" s="10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2:42" x14ac:dyDescent="0.25">
      <c r="B305" s="5"/>
      <c r="C305" s="5"/>
      <c r="D305" s="5"/>
      <c r="E305" s="5"/>
      <c r="F305" s="5"/>
      <c r="G305" s="5"/>
      <c r="H305" s="5"/>
      <c r="I305" s="10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2:42" x14ac:dyDescent="0.25">
      <c r="B306" s="5"/>
      <c r="C306" s="5"/>
      <c r="D306" s="5"/>
      <c r="E306" s="5"/>
      <c r="F306" s="5"/>
      <c r="G306" s="5"/>
      <c r="H306" s="5"/>
      <c r="I306" s="10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2:42" x14ac:dyDescent="0.25">
      <c r="B307" s="5"/>
      <c r="C307" s="5"/>
      <c r="D307" s="5"/>
      <c r="E307" s="5"/>
      <c r="F307" s="5"/>
      <c r="G307" s="5"/>
      <c r="H307" s="5"/>
      <c r="I307" s="10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2:42" x14ac:dyDescent="0.25">
      <c r="B308" s="5"/>
      <c r="C308" s="5"/>
      <c r="D308" s="5"/>
      <c r="E308" s="5"/>
      <c r="F308" s="5"/>
      <c r="G308" s="5"/>
      <c r="H308" s="5"/>
      <c r="I308" s="10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2:42" x14ac:dyDescent="0.25">
      <c r="B309" s="5"/>
      <c r="C309" s="5"/>
      <c r="D309" s="5"/>
      <c r="E309" s="5"/>
      <c r="F309" s="5"/>
      <c r="G309" s="5"/>
      <c r="H309" s="5"/>
      <c r="I309" s="10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2:42" x14ac:dyDescent="0.25">
      <c r="B310" s="5"/>
      <c r="C310" s="5"/>
      <c r="D310" s="5"/>
      <c r="E310" s="5"/>
      <c r="F310" s="5"/>
      <c r="G310" s="5"/>
      <c r="H310" s="5"/>
      <c r="I310" s="10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2:42" x14ac:dyDescent="0.25">
      <c r="B311" s="5"/>
      <c r="C311" s="5"/>
      <c r="D311" s="5"/>
      <c r="E311" s="5"/>
      <c r="F311" s="5"/>
      <c r="G311" s="5"/>
      <c r="H311" s="5"/>
      <c r="I311" s="10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2:42" x14ac:dyDescent="0.25">
      <c r="B312" s="5"/>
      <c r="C312" s="5"/>
      <c r="D312" s="5"/>
      <c r="E312" s="5"/>
      <c r="F312" s="5"/>
      <c r="G312" s="5"/>
      <c r="H312" s="5"/>
      <c r="I312" s="10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2:42" x14ac:dyDescent="0.25">
      <c r="B313" s="5"/>
      <c r="C313" s="5"/>
      <c r="D313" s="5"/>
      <c r="E313" s="5"/>
      <c r="F313" s="5"/>
      <c r="G313" s="5"/>
      <c r="H313" s="5"/>
      <c r="I313" s="10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2:42" x14ac:dyDescent="0.25">
      <c r="B314" s="5"/>
      <c r="C314" s="5"/>
      <c r="D314" s="5"/>
      <c r="E314" s="5"/>
      <c r="F314" s="5"/>
      <c r="G314" s="5"/>
      <c r="H314" s="5"/>
      <c r="I314" s="10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2:42" x14ac:dyDescent="0.25">
      <c r="B315" s="5"/>
      <c r="C315" s="5"/>
      <c r="D315" s="5"/>
      <c r="E315" s="5"/>
      <c r="F315" s="5"/>
      <c r="G315" s="5"/>
      <c r="H315" s="5"/>
      <c r="I315" s="10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2:42" x14ac:dyDescent="0.25">
      <c r="B316" s="5"/>
      <c r="C316" s="5"/>
      <c r="D316" s="5"/>
      <c r="E316" s="5"/>
      <c r="F316" s="5"/>
      <c r="G316" s="5"/>
      <c r="H316" s="5"/>
      <c r="I316" s="10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2:42" x14ac:dyDescent="0.25">
      <c r="B317" s="5"/>
      <c r="C317" s="5"/>
      <c r="D317" s="5"/>
      <c r="E317" s="5"/>
      <c r="F317" s="5"/>
      <c r="G317" s="5"/>
      <c r="H317" s="5"/>
      <c r="I317" s="10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2:42" x14ac:dyDescent="0.25">
      <c r="B318" s="5"/>
      <c r="C318" s="5"/>
      <c r="D318" s="5"/>
      <c r="E318" s="5"/>
      <c r="F318" s="5"/>
      <c r="G318" s="5"/>
      <c r="H318" s="5"/>
      <c r="I318" s="10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2:42" x14ac:dyDescent="0.25">
      <c r="B319" s="5"/>
      <c r="C319" s="5"/>
      <c r="D319" s="5"/>
      <c r="E319" s="5"/>
      <c r="F319" s="5"/>
      <c r="G319" s="5"/>
      <c r="H319" s="5"/>
      <c r="I319" s="10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4:C22"/>
  <sheetViews>
    <sheetView workbookViewId="0">
      <selection activeCell="C9" sqref="C9"/>
    </sheetView>
  </sheetViews>
  <sheetFormatPr defaultRowHeight="15" x14ac:dyDescent="0.25"/>
  <cols>
    <col min="1" max="1" width="26.28515625" bestFit="1" customWidth="1"/>
    <col min="2" max="2" width="12.28515625" bestFit="1" customWidth="1"/>
    <col min="3" max="3" width="13.42578125" bestFit="1" customWidth="1"/>
    <col min="5" max="5" width="12.28515625" bestFit="1" customWidth="1"/>
  </cols>
  <sheetData>
    <row r="4" spans="1:3" x14ac:dyDescent="0.25">
      <c r="B4" s="17" t="s">
        <v>348</v>
      </c>
      <c r="C4" s="17" t="s">
        <v>349</v>
      </c>
    </row>
    <row r="5" spans="1:3" x14ac:dyDescent="0.25">
      <c r="A5" s="87" t="s">
        <v>169</v>
      </c>
      <c r="B5" s="87" t="s">
        <v>42</v>
      </c>
      <c r="C5" s="87" t="s">
        <v>43</v>
      </c>
    </row>
    <row r="7" spans="1:3" x14ac:dyDescent="0.25">
      <c r="A7" t="s">
        <v>168</v>
      </c>
      <c r="B7" s="28">
        <f>+'[1]GRC Impacts'!$X$37*1000</f>
        <v>-3117000</v>
      </c>
      <c r="C7" s="28">
        <v>0</v>
      </c>
    </row>
    <row r="8" spans="1:3" x14ac:dyDescent="0.25">
      <c r="A8" t="s">
        <v>171</v>
      </c>
      <c r="B8" s="81"/>
      <c r="C8" s="81">
        <f>+'[2]Combined Impacts'!$O$41</f>
        <v>-10620091.678408889</v>
      </c>
    </row>
    <row r="9" spans="1:3" x14ac:dyDescent="0.25">
      <c r="A9" t="s">
        <v>166</v>
      </c>
      <c r="B9" s="81">
        <f>+'[1]GRC Impacts'!$V$37*1000</f>
        <v>-25799000</v>
      </c>
      <c r="C9" s="81">
        <f>+'[2]Combined Impacts'!$I$41</f>
        <v>-27975683.393576138</v>
      </c>
    </row>
    <row r="10" spans="1:3" x14ac:dyDescent="0.25">
      <c r="A10" t="s">
        <v>167</v>
      </c>
      <c r="B10" s="81">
        <f>+'[1]GRC Impacts'!$W$37*1000</f>
        <v>25799000</v>
      </c>
      <c r="C10" s="81">
        <f>+'[2]Combined Impacts'!$L$41</f>
        <v>6187109.090210814</v>
      </c>
    </row>
    <row r="11" spans="1:3" x14ac:dyDescent="0.25">
      <c r="B11" s="108"/>
      <c r="C11" s="108"/>
    </row>
    <row r="12" spans="1:3" ht="15.75" thickBot="1" x14ac:dyDescent="0.3">
      <c r="A12" t="s">
        <v>170</v>
      </c>
      <c r="B12" s="109">
        <f>SUM(B7:B11)</f>
        <v>-3117000</v>
      </c>
      <c r="C12" s="109">
        <f>SUM(C7:C11)</f>
        <v>-32408665.981774215</v>
      </c>
    </row>
    <row r="13" spans="1:3" ht="15.75" thickTop="1" x14ac:dyDescent="0.25">
      <c r="B13" s="81"/>
      <c r="C13" s="81"/>
    </row>
    <row r="14" spans="1:3" x14ac:dyDescent="0.25">
      <c r="B14" s="81"/>
      <c r="C14" s="81"/>
    </row>
    <row r="15" spans="1:3" x14ac:dyDescent="0.25">
      <c r="B15" s="81"/>
      <c r="C15" s="81"/>
    </row>
    <row r="16" spans="1:3" x14ac:dyDescent="0.25">
      <c r="B16" s="81"/>
      <c r="C16" s="81"/>
    </row>
    <row r="17" spans="2:3" x14ac:dyDescent="0.25">
      <c r="B17" s="81"/>
      <c r="C17" s="81"/>
    </row>
    <row r="18" spans="2:3" x14ac:dyDescent="0.25">
      <c r="B18" s="81"/>
      <c r="C18" s="81"/>
    </row>
    <row r="19" spans="2:3" x14ac:dyDescent="0.25">
      <c r="B19" s="81"/>
      <c r="C19" s="81"/>
    </row>
    <row r="20" spans="2:3" x14ac:dyDescent="0.25">
      <c r="B20" s="81"/>
      <c r="C20" s="81"/>
    </row>
    <row r="21" spans="2:3" x14ac:dyDescent="0.25">
      <c r="B21" s="81"/>
      <c r="C21" s="81"/>
    </row>
    <row r="22" spans="2:3" x14ac:dyDescent="0.25">
      <c r="B22" s="81"/>
      <c r="C22" s="81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C22" sqref="C22"/>
    </sheetView>
  </sheetViews>
  <sheetFormatPr defaultRowHeight="15" x14ac:dyDescent="0.25"/>
  <cols>
    <col min="1" max="1" width="43.85546875" customWidth="1"/>
    <col min="2" max="2" width="8.5703125" customWidth="1"/>
    <col min="3" max="3" width="15.28515625" bestFit="1" customWidth="1"/>
    <col min="4" max="4" width="15.28515625" customWidth="1"/>
    <col min="5" max="6" width="13.7109375" bestFit="1" customWidth="1"/>
  </cols>
  <sheetData>
    <row r="2" spans="1:6" x14ac:dyDescent="0.25">
      <c r="B2" s="183" t="s">
        <v>177</v>
      </c>
      <c r="C2" s="47" t="s">
        <v>41</v>
      </c>
      <c r="D2" s="47"/>
      <c r="E2" s="47" t="s">
        <v>40</v>
      </c>
      <c r="F2" s="18" t="s">
        <v>86</v>
      </c>
    </row>
    <row r="3" spans="1:6" x14ac:dyDescent="0.25">
      <c r="A3" s="18" t="s">
        <v>276</v>
      </c>
      <c r="B3" s="183"/>
      <c r="C3" s="47"/>
      <c r="D3" s="47"/>
      <c r="E3" s="47"/>
      <c r="F3" s="18"/>
    </row>
    <row r="4" spans="1:6" x14ac:dyDescent="0.25">
      <c r="A4" s="26" t="s">
        <v>47</v>
      </c>
      <c r="B4" s="34"/>
      <c r="C4" s="54">
        <f>+'[5]Revenue Exhibit'!$Q$39</f>
        <v>307157819.0095886</v>
      </c>
      <c r="D4" s="54"/>
      <c r="E4" s="54">
        <f>+'2017-Gas-GRC'!U36</f>
        <v>373707980.24993521</v>
      </c>
      <c r="F4" s="54">
        <f>+C4-E4</f>
        <v>-66550161.240346611</v>
      </c>
    </row>
    <row r="5" spans="1:6" x14ac:dyDescent="0.25">
      <c r="A5" s="18" t="s">
        <v>277</v>
      </c>
      <c r="B5" s="34"/>
      <c r="C5" s="54"/>
      <c r="D5" s="54"/>
      <c r="E5" s="54"/>
      <c r="F5" s="54"/>
    </row>
    <row r="6" spans="1:6" x14ac:dyDescent="0.25">
      <c r="A6" s="26" t="s">
        <v>53</v>
      </c>
      <c r="B6" s="34"/>
      <c r="C6" s="62">
        <f>+'[5]Revenue Exhibit'!$Q$40</f>
        <v>293190161.10942233</v>
      </c>
      <c r="D6" s="62"/>
      <c r="E6" s="62">
        <f>+'2017-Gas-GRC'!U35</f>
        <v>356713828.63051236</v>
      </c>
      <c r="F6" s="62">
        <f t="shared" ref="F6:F9" si="0">+C6-E6</f>
        <v>-63523667.521090031</v>
      </c>
    </row>
    <row r="7" spans="1:6" x14ac:dyDescent="0.25">
      <c r="A7" t="s">
        <v>174</v>
      </c>
      <c r="B7">
        <f>+'[4]COC, Def, ConvF'!$M$12</f>
        <v>5.1240000000000001E-3</v>
      </c>
      <c r="C7" s="62">
        <f>+C4*B7</f>
        <v>1573876.6646051321</v>
      </c>
      <c r="D7">
        <v>7.1570000000000002E-3</v>
      </c>
      <c r="E7" s="62">
        <f>+E4*D7</f>
        <v>2674628.0146487863</v>
      </c>
      <c r="F7" s="62">
        <f t="shared" si="0"/>
        <v>-1100751.3500436542</v>
      </c>
    </row>
    <row r="8" spans="1:6" x14ac:dyDescent="0.25">
      <c r="A8" t="s">
        <v>175</v>
      </c>
      <c r="B8">
        <f>+'[4]COC, Def, ConvF'!$M$13</f>
        <v>2E-3</v>
      </c>
      <c r="C8" s="62">
        <f>+B8*C4</f>
        <v>614315.63801917725</v>
      </c>
      <c r="D8">
        <v>2E-3</v>
      </c>
      <c r="E8" s="62">
        <f>+D8*E4</f>
        <v>747415.96049987047</v>
      </c>
      <c r="F8" s="62">
        <f t="shared" si="0"/>
        <v>-133100.32248069323</v>
      </c>
    </row>
    <row r="9" spans="1:6" x14ac:dyDescent="0.25">
      <c r="A9" t="s">
        <v>176</v>
      </c>
      <c r="B9">
        <f>+'[4]COC, Def, ConvF'!$M$14</f>
        <v>3.8323000000000003E-2</v>
      </c>
      <c r="C9" s="62">
        <f>+B9*C4+8256</f>
        <v>11779465.097904464</v>
      </c>
      <c r="D9">
        <v>3.8456999999999998E-2</v>
      </c>
      <c r="E9" s="62">
        <f>+D9*E4-799580</f>
        <v>13572107.796471758</v>
      </c>
      <c r="F9" s="62">
        <f t="shared" si="0"/>
        <v>-1792642.6985672936</v>
      </c>
    </row>
    <row r="10" spans="1:6" x14ac:dyDescent="0.25">
      <c r="C10" s="113">
        <f>+C4-SUM(C6:C9)</f>
        <v>0.49963748455047607</v>
      </c>
      <c r="D10" s="113"/>
      <c r="E10" s="113">
        <f>+E4-SUM(E6:E9)</f>
        <v>-0.15219759941101074</v>
      </c>
      <c r="F10" s="113">
        <f>+F4-SUM(F6:F9)</f>
        <v>0.65183506160974503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6"/>
  <sheetViews>
    <sheetView topLeftCell="A10" workbookViewId="0">
      <selection activeCell="F40" sqref="F40"/>
    </sheetView>
  </sheetViews>
  <sheetFormatPr defaultRowHeight="12.75" x14ac:dyDescent="0.2"/>
  <cols>
    <col min="1" max="1" width="2.42578125" style="114" customWidth="1"/>
    <col min="2" max="2" width="4.85546875" style="114" customWidth="1"/>
    <col min="3" max="3" width="37.140625" style="114" customWidth="1"/>
    <col min="4" max="4" width="13.42578125" style="117" bestFit="1" customWidth="1"/>
    <col min="5" max="5" width="13.42578125" style="114" customWidth="1"/>
    <col min="6" max="6" width="12.85546875" style="114" customWidth="1"/>
    <col min="7" max="7" width="11.85546875" style="114" customWidth="1"/>
    <col min="8" max="9" width="12.140625" style="114" customWidth="1"/>
    <col min="10" max="10" width="12.85546875" style="114" bestFit="1" customWidth="1"/>
    <col min="11" max="11" width="12.28515625" style="114" customWidth="1"/>
    <col min="12" max="12" width="13.42578125" style="114" customWidth="1"/>
    <col min="13" max="13" width="12.28515625" style="114" customWidth="1"/>
    <col min="14" max="14" width="12.85546875" style="114" bestFit="1" customWidth="1"/>
    <col min="15" max="16" width="14" style="117" customWidth="1"/>
    <col min="17" max="17" width="13.140625" style="117" customWidth="1"/>
    <col min="18" max="18" width="13.42578125" style="114" bestFit="1" customWidth="1"/>
    <col min="19" max="19" width="13.42578125" style="114" customWidth="1"/>
    <col min="20" max="20" width="14" style="114" bestFit="1" customWidth="1"/>
    <col min="21" max="21" width="18.7109375" style="114" bestFit="1" customWidth="1"/>
    <col min="22" max="22" width="2.7109375" style="116" customWidth="1"/>
    <col min="23" max="23" width="5.140625" style="116" customWidth="1"/>
    <col min="24" max="24" width="40.140625" style="116" customWidth="1"/>
    <col min="25" max="25" width="15.5703125" style="116" bestFit="1" customWidth="1"/>
    <col min="26" max="26" width="13.42578125" style="116" bestFit="1" customWidth="1"/>
    <col min="27" max="27" width="13.140625" style="116" customWidth="1"/>
    <col min="28" max="28" width="9.140625" style="114"/>
    <col min="29" max="29" width="12.85546875" style="114" bestFit="1" customWidth="1"/>
    <col min="30" max="16384" width="9.140625" style="114"/>
  </cols>
  <sheetData>
    <row r="1" spans="1:30" x14ac:dyDescent="0.2">
      <c r="A1" s="180"/>
      <c r="B1" s="182" t="s">
        <v>275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74"/>
      <c r="W1" s="174"/>
      <c r="X1" s="174"/>
      <c r="Y1" s="174"/>
      <c r="Z1" s="174"/>
      <c r="AA1" s="174"/>
    </row>
    <row r="2" spans="1:30" x14ac:dyDescent="0.2">
      <c r="A2" s="180"/>
      <c r="B2" s="182" t="s">
        <v>274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74"/>
      <c r="W2" s="174"/>
      <c r="X2" s="174"/>
      <c r="Y2" s="174"/>
      <c r="Z2" s="174"/>
      <c r="AA2" s="174"/>
    </row>
    <row r="3" spans="1:30" x14ac:dyDescent="0.2">
      <c r="B3" s="182" t="s">
        <v>273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74"/>
      <c r="W3" s="174"/>
      <c r="X3" s="174"/>
      <c r="Y3" s="174"/>
      <c r="Z3" s="174"/>
      <c r="AA3" s="174"/>
    </row>
    <row r="4" spans="1:30" x14ac:dyDescent="0.2">
      <c r="B4" s="182" t="s">
        <v>272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74"/>
      <c r="W4" s="174"/>
      <c r="X4" s="174"/>
      <c r="Y4" s="174"/>
      <c r="Z4" s="174"/>
      <c r="AA4" s="174"/>
    </row>
    <row r="5" spans="1:30" x14ac:dyDescent="0.2">
      <c r="B5" s="180"/>
      <c r="C5" s="180"/>
      <c r="D5" s="179"/>
      <c r="E5" s="180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T5" s="180"/>
      <c r="U5" s="180"/>
      <c r="V5" s="174"/>
      <c r="W5" s="174"/>
      <c r="X5" s="174"/>
      <c r="Y5" s="174"/>
      <c r="Z5" s="176"/>
      <c r="AA5" s="176"/>
    </row>
    <row r="6" spans="1:30" x14ac:dyDescent="0.2">
      <c r="B6" s="181" t="s">
        <v>271</v>
      </c>
      <c r="D6" s="179"/>
      <c r="E6" s="180"/>
      <c r="F6" s="179"/>
      <c r="G6" s="179"/>
      <c r="H6" s="179"/>
      <c r="I6" s="179"/>
      <c r="J6" s="179"/>
      <c r="K6" s="179"/>
      <c r="L6" s="179"/>
      <c r="M6" s="179"/>
      <c r="N6" s="179"/>
      <c r="O6" s="178"/>
      <c r="P6" s="178"/>
      <c r="Q6" s="178"/>
      <c r="T6" s="171"/>
      <c r="U6" s="171"/>
      <c r="V6" s="174"/>
      <c r="W6" s="177" t="s">
        <v>270</v>
      </c>
      <c r="X6" s="114"/>
      <c r="Y6" s="177"/>
      <c r="Z6" s="177"/>
      <c r="AA6" s="176"/>
    </row>
    <row r="7" spans="1:30" x14ac:dyDescent="0.2">
      <c r="C7" s="117"/>
      <c r="D7" s="172"/>
      <c r="E7" s="175"/>
      <c r="F7" s="172"/>
      <c r="G7" s="172"/>
      <c r="H7" s="172"/>
      <c r="I7" s="172"/>
      <c r="J7" s="172"/>
      <c r="K7" s="172"/>
      <c r="L7" s="172"/>
      <c r="M7" s="172"/>
      <c r="N7" s="172" t="s">
        <v>268</v>
      </c>
      <c r="T7" s="119"/>
      <c r="U7" s="166" t="s">
        <v>264</v>
      </c>
      <c r="V7" s="174"/>
      <c r="W7" s="114"/>
      <c r="X7" s="173"/>
    </row>
    <row r="8" spans="1:30" x14ac:dyDescent="0.2">
      <c r="C8" s="164"/>
      <c r="D8" s="164" t="s">
        <v>269</v>
      </c>
      <c r="E8" s="166" t="s">
        <v>268</v>
      </c>
      <c r="F8" s="172" t="s">
        <v>268</v>
      </c>
      <c r="G8" s="172" t="s">
        <v>268</v>
      </c>
      <c r="H8" s="172" t="s">
        <v>268</v>
      </c>
      <c r="I8" s="172" t="s">
        <v>268</v>
      </c>
      <c r="J8" s="172" t="s">
        <v>268</v>
      </c>
      <c r="K8" s="172" t="s">
        <v>268</v>
      </c>
      <c r="L8" s="172" t="s">
        <v>268</v>
      </c>
      <c r="M8" s="172" t="s">
        <v>268</v>
      </c>
      <c r="N8" s="164" t="s">
        <v>267</v>
      </c>
      <c r="O8" s="164" t="s">
        <v>113</v>
      </c>
      <c r="P8" s="164">
        <v>2015</v>
      </c>
      <c r="Q8" s="164">
        <v>2016</v>
      </c>
      <c r="R8" s="166" t="s">
        <v>266</v>
      </c>
      <c r="S8" s="166"/>
      <c r="T8" s="163"/>
      <c r="U8" s="166" t="s">
        <v>265</v>
      </c>
      <c r="V8" s="163"/>
      <c r="W8" s="114"/>
      <c r="X8" s="114"/>
      <c r="Y8" s="166" t="s">
        <v>264</v>
      </c>
      <c r="Z8" s="166" t="s">
        <v>264</v>
      </c>
      <c r="AA8" s="166"/>
    </row>
    <row r="9" spans="1:30" x14ac:dyDescent="0.2">
      <c r="B9" s="166"/>
      <c r="C9" s="164"/>
      <c r="D9" s="164" t="s">
        <v>263</v>
      </c>
      <c r="E9" s="164" t="s">
        <v>262</v>
      </c>
      <c r="F9" s="164" t="s">
        <v>261</v>
      </c>
      <c r="G9" s="164" t="s">
        <v>260</v>
      </c>
      <c r="H9" s="164" t="s">
        <v>259</v>
      </c>
      <c r="I9" s="164" t="s">
        <v>258</v>
      </c>
      <c r="J9" s="164" t="s">
        <v>257</v>
      </c>
      <c r="K9" s="164" t="s">
        <v>256</v>
      </c>
      <c r="L9" s="164" t="s">
        <v>255</v>
      </c>
      <c r="M9" s="164" t="s">
        <v>254</v>
      </c>
      <c r="N9" s="164" t="s">
        <v>66</v>
      </c>
      <c r="O9" s="164" t="s">
        <v>253</v>
      </c>
      <c r="P9" s="164" t="s">
        <v>252</v>
      </c>
      <c r="Q9" s="164" t="s">
        <v>252</v>
      </c>
      <c r="R9" s="166" t="s">
        <v>251</v>
      </c>
      <c r="S9" s="166" t="s">
        <v>250</v>
      </c>
      <c r="T9" s="166" t="s">
        <v>121</v>
      </c>
      <c r="U9" s="166" t="s">
        <v>249</v>
      </c>
      <c r="V9" s="163"/>
      <c r="W9" s="114"/>
      <c r="X9" s="114"/>
      <c r="Y9" s="163" t="s">
        <v>248</v>
      </c>
      <c r="Z9" s="163" t="s">
        <v>248</v>
      </c>
      <c r="AA9" s="163" t="s">
        <v>247</v>
      </c>
      <c r="AD9" s="117"/>
    </row>
    <row r="10" spans="1:30" x14ac:dyDescent="0.2">
      <c r="B10" s="169" t="s">
        <v>134</v>
      </c>
      <c r="C10" s="169" t="s">
        <v>231</v>
      </c>
      <c r="D10" s="170" t="s">
        <v>246</v>
      </c>
      <c r="E10" s="169" t="s">
        <v>245</v>
      </c>
      <c r="F10" s="170" t="s">
        <v>244</v>
      </c>
      <c r="G10" s="170" t="s">
        <v>243</v>
      </c>
      <c r="H10" s="170" t="s">
        <v>242</v>
      </c>
      <c r="I10" s="170" t="s">
        <v>241</v>
      </c>
      <c r="J10" s="170" t="s">
        <v>240</v>
      </c>
      <c r="K10" s="170" t="s">
        <v>239</v>
      </c>
      <c r="L10" s="170" t="s">
        <v>238</v>
      </c>
      <c r="M10" s="170" t="s">
        <v>237</v>
      </c>
      <c r="N10" s="170" t="s">
        <v>236</v>
      </c>
      <c r="O10" s="170" t="s">
        <v>233</v>
      </c>
      <c r="P10" s="170" t="s">
        <v>235</v>
      </c>
      <c r="Q10" s="170" t="s">
        <v>235</v>
      </c>
      <c r="R10" s="169" t="s">
        <v>235</v>
      </c>
      <c r="S10" s="169" t="s">
        <v>234</v>
      </c>
      <c r="T10" s="168" t="s">
        <v>233</v>
      </c>
      <c r="U10" s="169" t="s">
        <v>232</v>
      </c>
      <c r="V10" s="163"/>
      <c r="W10" s="169" t="s">
        <v>134</v>
      </c>
      <c r="X10" s="169" t="s">
        <v>231</v>
      </c>
      <c r="Y10" s="168" t="s">
        <v>230</v>
      </c>
      <c r="Z10" s="168" t="s">
        <v>229</v>
      </c>
      <c r="AA10" s="167" t="s">
        <v>228</v>
      </c>
      <c r="AC10" s="164" t="s">
        <v>178</v>
      </c>
      <c r="AD10" s="117"/>
    </row>
    <row r="11" spans="1:30" x14ac:dyDescent="0.2">
      <c r="B11" s="166"/>
      <c r="C11" s="166" t="s">
        <v>227</v>
      </c>
      <c r="D11" s="164" t="s">
        <v>226</v>
      </c>
      <c r="E11" s="164" t="s">
        <v>225</v>
      </c>
      <c r="F11" s="166" t="s">
        <v>224</v>
      </c>
      <c r="G11" s="166" t="s">
        <v>223</v>
      </c>
      <c r="H11" s="166" t="s">
        <v>222</v>
      </c>
      <c r="I11" s="166" t="s">
        <v>221</v>
      </c>
      <c r="J11" s="164" t="s">
        <v>220</v>
      </c>
      <c r="K11" s="164" t="s">
        <v>219</v>
      </c>
      <c r="L11" s="164" t="s">
        <v>218</v>
      </c>
      <c r="M11" s="164" t="s">
        <v>217</v>
      </c>
      <c r="N11" s="166" t="s">
        <v>216</v>
      </c>
      <c r="O11" s="166" t="s">
        <v>215</v>
      </c>
      <c r="P11" s="166" t="s">
        <v>214</v>
      </c>
      <c r="Q11" s="166" t="s">
        <v>213</v>
      </c>
      <c r="R11" s="164" t="s">
        <v>212</v>
      </c>
      <c r="S11" s="164" t="s">
        <v>211</v>
      </c>
      <c r="T11" s="164" t="s">
        <v>210</v>
      </c>
      <c r="U11" s="164" t="s">
        <v>209</v>
      </c>
      <c r="V11" s="163"/>
      <c r="W11" s="114"/>
      <c r="X11" s="164" t="s">
        <v>208</v>
      </c>
      <c r="Y11" s="165" t="s">
        <v>207</v>
      </c>
      <c r="Z11" s="164" t="s">
        <v>206</v>
      </c>
      <c r="AA11" s="164" t="s">
        <v>205</v>
      </c>
    </row>
    <row r="12" spans="1:30" x14ac:dyDescent="0.2">
      <c r="B12" s="160">
        <v>1</v>
      </c>
      <c r="C12" s="132" t="s">
        <v>204</v>
      </c>
      <c r="D12" s="162">
        <v>10429.75</v>
      </c>
      <c r="E12" s="139">
        <v>-424.04999999999995</v>
      </c>
      <c r="F12" s="139">
        <v>-0.88898700000000064</v>
      </c>
      <c r="G12" s="139">
        <v>0</v>
      </c>
      <c r="H12" s="139">
        <v>35.842666052631579</v>
      </c>
      <c r="I12" s="139">
        <v>0</v>
      </c>
      <c r="J12" s="139">
        <v>0</v>
      </c>
      <c r="K12" s="139">
        <v>25.593332894736839</v>
      </c>
      <c r="L12" s="139">
        <v>-431.23766078947375</v>
      </c>
      <c r="M12" s="139">
        <v>-77.278332894736835</v>
      </c>
      <c r="N12" s="139">
        <v>287.68712500000004</v>
      </c>
      <c r="O12" s="139">
        <v>-446.44462221052527</v>
      </c>
      <c r="P12" s="139">
        <v>-101.68407526315787</v>
      </c>
      <c r="Q12" s="139">
        <v>-229.4997394736838</v>
      </c>
      <c r="R12" s="139">
        <v>0</v>
      </c>
      <c r="S12" s="139">
        <v>5.0999942105268019</v>
      </c>
      <c r="T12" s="161">
        <f t="shared" ref="T12:T26" si="0">U12-D12</f>
        <v>-1356.8602994736848</v>
      </c>
      <c r="U12" s="139">
        <v>9072.8897005263152</v>
      </c>
      <c r="V12" s="159"/>
      <c r="W12" s="160">
        <v>1</v>
      </c>
      <c r="X12" s="132" t="s">
        <v>204</v>
      </c>
      <c r="Y12" s="139">
        <v>4049.3954031578946</v>
      </c>
      <c r="Z12" s="159">
        <v>3865.795611578947</v>
      </c>
      <c r="AA12" s="154">
        <f t="shared" ref="AA12:AA18" si="1">U12-Y12</f>
        <v>5023.494297368421</v>
      </c>
      <c r="AC12" s="158">
        <f t="shared" ref="AC12:AC27" si="2">SUM(E12:S12)-T12</f>
        <v>2.5011104298755527E-12</v>
      </c>
      <c r="AD12" s="157">
        <f t="shared" ref="AD12:AD27" si="3">T12+D12-U12</f>
        <v>0</v>
      </c>
    </row>
    <row r="13" spans="1:30" x14ac:dyDescent="0.2">
      <c r="B13" s="114">
        <f t="shared" ref="B13:B27" si="4">B12+1</f>
        <v>2</v>
      </c>
      <c r="C13" s="132" t="s">
        <v>203</v>
      </c>
      <c r="D13" s="150">
        <v>575777667.86000001</v>
      </c>
      <c r="E13" s="147">
        <v>-24974216.399999999</v>
      </c>
      <c r="F13" s="151">
        <v>-7723660.7700851383</v>
      </c>
      <c r="G13" s="151">
        <v>-3959306.4041941878</v>
      </c>
      <c r="H13" s="151">
        <v>1899708.6726453586</v>
      </c>
      <c r="I13" s="151">
        <v>-83976.859999999986</v>
      </c>
      <c r="J13" s="151">
        <v>-13464574.785524225</v>
      </c>
      <c r="K13" s="151">
        <v>1341292.5043547191</v>
      </c>
      <c r="L13" s="151">
        <v>-23183621.141125783</v>
      </c>
      <c r="M13" s="151">
        <v>-4056976.2879490396</v>
      </c>
      <c r="N13" s="151">
        <v>16226514.201930001</v>
      </c>
      <c r="O13" s="151">
        <v>-375297.59005171061</v>
      </c>
      <c r="P13" s="151">
        <v>-4050641</v>
      </c>
      <c r="Q13" s="151">
        <v>-12412031</v>
      </c>
      <c r="R13" s="151">
        <v>44331354</v>
      </c>
      <c r="S13" s="151">
        <v>346521.03758567572</v>
      </c>
      <c r="T13" s="138">
        <f t="shared" si="0"/>
        <v>-30138911.822414279</v>
      </c>
      <c r="U13" s="151">
        <v>545638756.03758574</v>
      </c>
      <c r="V13" s="155"/>
      <c r="W13" s="114">
        <f t="shared" ref="W13:W27" si="5">W12+1</f>
        <v>2</v>
      </c>
      <c r="X13" s="132" t="s">
        <v>203</v>
      </c>
      <c r="Y13" s="151">
        <v>241350268.03758568</v>
      </c>
      <c r="Z13" s="155">
        <v>230377176.1670087</v>
      </c>
      <c r="AA13" s="154">
        <f t="shared" si="1"/>
        <v>304288488.00000006</v>
      </c>
      <c r="AC13" s="142">
        <f t="shared" si="2"/>
        <v>-4.4703483581542969E-8</v>
      </c>
      <c r="AD13" s="143">
        <f t="shared" si="3"/>
        <v>0</v>
      </c>
    </row>
    <row r="14" spans="1:30" x14ac:dyDescent="0.2">
      <c r="B14" s="114">
        <f t="shared" si="4"/>
        <v>3</v>
      </c>
      <c r="C14" s="132" t="s">
        <v>202</v>
      </c>
      <c r="D14" s="150">
        <v>1280.6100000000001</v>
      </c>
      <c r="E14" s="147">
        <v>0</v>
      </c>
      <c r="F14" s="151">
        <v>-3.7778295006099993</v>
      </c>
      <c r="G14" s="151">
        <v>-1.9004182898800002</v>
      </c>
      <c r="H14" s="151">
        <v>0.92319170000000006</v>
      </c>
      <c r="I14" s="151"/>
      <c r="J14" s="151">
        <v>0</v>
      </c>
      <c r="K14" s="151">
        <v>1.0585316</v>
      </c>
      <c r="L14" s="151">
        <v>-11.57228010002615</v>
      </c>
      <c r="M14" s="151">
        <v>-1.940515</v>
      </c>
      <c r="N14" s="151">
        <v>0</v>
      </c>
      <c r="O14" s="151">
        <v>-38.749121759484069</v>
      </c>
      <c r="P14" s="151">
        <v>0</v>
      </c>
      <c r="Q14" s="151">
        <v>0</v>
      </c>
      <c r="R14" s="151">
        <v>0</v>
      </c>
      <c r="S14" s="151">
        <v>0</v>
      </c>
      <c r="T14" s="138">
        <f t="shared" si="0"/>
        <v>-55.95844134999993</v>
      </c>
      <c r="U14" s="151">
        <v>1224.6515586500002</v>
      </c>
      <c r="V14" s="155"/>
      <c r="W14" s="114">
        <f t="shared" si="5"/>
        <v>3</v>
      </c>
      <c r="X14" s="132" t="s">
        <v>202</v>
      </c>
      <c r="Y14" s="151">
        <v>999.21868605000009</v>
      </c>
      <c r="Z14" s="155">
        <v>999.21868605000009</v>
      </c>
      <c r="AA14" s="154">
        <f t="shared" si="1"/>
        <v>225.43287260000011</v>
      </c>
      <c r="AC14" s="142">
        <f t="shared" si="2"/>
        <v>-2.8421709430404007E-13</v>
      </c>
      <c r="AD14" s="143">
        <f t="shared" si="3"/>
        <v>0</v>
      </c>
    </row>
    <row r="15" spans="1:30" x14ac:dyDescent="0.2">
      <c r="B15" s="114">
        <f t="shared" si="4"/>
        <v>4</v>
      </c>
      <c r="C15" s="156" t="s">
        <v>201</v>
      </c>
      <c r="D15" s="150">
        <v>193390515.52999997</v>
      </c>
      <c r="E15" s="147">
        <v>-10400877.469999999</v>
      </c>
      <c r="F15" s="151">
        <v>-2994589.1248529954</v>
      </c>
      <c r="G15" s="151">
        <v>-1201993.4925759202</v>
      </c>
      <c r="H15" s="151">
        <v>593973.93313778052</v>
      </c>
      <c r="I15" s="151">
        <v>-13464</v>
      </c>
      <c r="J15" s="151">
        <v>-4906020.5443341918</v>
      </c>
      <c r="K15" s="151">
        <v>398485.65126374993</v>
      </c>
      <c r="L15" s="151">
        <v>-6885179.7130876314</v>
      </c>
      <c r="M15" s="151">
        <v>-1530309.4101548253</v>
      </c>
      <c r="N15" s="151">
        <v>6281273.8580450006</v>
      </c>
      <c r="O15" s="151">
        <v>-976691.58250209689</v>
      </c>
      <c r="P15" s="151">
        <v>-1572599.9720138907</v>
      </c>
      <c r="Q15" s="151">
        <v>-4884634.5920760632</v>
      </c>
      <c r="R15" s="151">
        <v>11240194.374000043</v>
      </c>
      <c r="S15" s="151">
        <v>126592.89174285531</v>
      </c>
      <c r="T15" s="138">
        <f t="shared" si="0"/>
        <v>-16725839.193408251</v>
      </c>
      <c r="U15" s="151">
        <v>176664676.33659172</v>
      </c>
      <c r="V15" s="155"/>
      <c r="W15" s="114">
        <f t="shared" si="5"/>
        <v>4</v>
      </c>
      <c r="X15" s="156" t="s">
        <v>201</v>
      </c>
      <c r="Y15" s="151">
        <v>88237391.187013298</v>
      </c>
      <c r="Z15" s="155">
        <v>84225040.2114342</v>
      </c>
      <c r="AA15" s="154">
        <f t="shared" si="1"/>
        <v>88427285.149578422</v>
      </c>
      <c r="AC15" s="142">
        <f t="shared" si="2"/>
        <v>6.3329935073852539E-8</v>
      </c>
      <c r="AD15" s="143">
        <f t="shared" si="3"/>
        <v>0</v>
      </c>
    </row>
    <row r="16" spans="1:30" x14ac:dyDescent="0.2">
      <c r="B16" s="114">
        <f t="shared" si="4"/>
        <v>5</v>
      </c>
      <c r="C16" s="132" t="s">
        <v>200</v>
      </c>
      <c r="D16" s="150">
        <v>44546893.43</v>
      </c>
      <c r="E16" s="147">
        <v>-2355874.25</v>
      </c>
      <c r="F16" s="151">
        <v>-971469.94160208711</v>
      </c>
      <c r="G16" s="151">
        <v>-210616.6542536513</v>
      </c>
      <c r="H16" s="151">
        <v>103391.59797427004</v>
      </c>
      <c r="I16" s="151"/>
      <c r="J16" s="151">
        <v>-591923.41105255403</v>
      </c>
      <c r="K16" s="151">
        <v>70242.527760455647</v>
      </c>
      <c r="L16" s="151">
        <v>-1245580.3100389224</v>
      </c>
      <c r="M16" s="151">
        <v>-234511.07650816324</v>
      </c>
      <c r="N16" s="151">
        <v>2361386.2063063108</v>
      </c>
      <c r="O16" s="151">
        <v>-490739.32632757723</v>
      </c>
      <c r="P16" s="151">
        <v>-550297.46731944382</v>
      </c>
      <c r="Q16" s="151">
        <v>-1379094.0636510849</v>
      </c>
      <c r="R16" s="151">
        <v>1358482.4017600045</v>
      </c>
      <c r="S16" s="151">
        <v>31015.605600111187</v>
      </c>
      <c r="T16" s="138">
        <f t="shared" si="0"/>
        <v>-4105588.161352329</v>
      </c>
      <c r="U16" s="151">
        <v>40441305.268647671</v>
      </c>
      <c r="V16" s="155"/>
      <c r="W16" s="114">
        <f t="shared" si="5"/>
        <v>5</v>
      </c>
      <c r="X16" s="132" t="s">
        <v>200</v>
      </c>
      <c r="Y16" s="151">
        <v>25577579.31011479</v>
      </c>
      <c r="Z16" s="155">
        <v>24406012.766949613</v>
      </c>
      <c r="AA16" s="154">
        <f t="shared" si="1"/>
        <v>14863725.958532881</v>
      </c>
      <c r="AC16" s="142">
        <f t="shared" si="2"/>
        <v>0</v>
      </c>
      <c r="AD16" s="143">
        <f t="shared" si="3"/>
        <v>0</v>
      </c>
    </row>
    <row r="17" spans="2:30" x14ac:dyDescent="0.2">
      <c r="B17" s="114">
        <f t="shared" si="4"/>
        <v>6</v>
      </c>
      <c r="C17" s="132" t="s">
        <v>199</v>
      </c>
      <c r="D17" s="150">
        <v>4440207.7200000007</v>
      </c>
      <c r="E17" s="147">
        <v>-233200.26</v>
      </c>
      <c r="F17" s="151"/>
      <c r="G17" s="151">
        <v>-57987.188242972115</v>
      </c>
      <c r="H17" s="151">
        <v>28295.813218799998</v>
      </c>
      <c r="I17" s="151"/>
      <c r="J17" s="151">
        <v>-165769.69233250001</v>
      </c>
      <c r="K17" s="151">
        <v>17383.173125502435</v>
      </c>
      <c r="L17" s="151">
        <v>-358959.33223345107</v>
      </c>
      <c r="M17" s="151">
        <v>-65016.725178100009</v>
      </c>
      <c r="N17" s="151">
        <v>733654.47550000006</v>
      </c>
      <c r="O17" s="151">
        <v>-723503.86591815623</v>
      </c>
      <c r="P17" s="151">
        <v>0</v>
      </c>
      <c r="Q17" s="151">
        <v>0</v>
      </c>
      <c r="R17" s="151">
        <v>27328.042700000107</v>
      </c>
      <c r="S17" s="151">
        <v>0</v>
      </c>
      <c r="T17" s="138">
        <f t="shared" si="0"/>
        <v>-797775.55936087668</v>
      </c>
      <c r="U17" s="151">
        <v>3642432.160639124</v>
      </c>
      <c r="V17" s="155"/>
      <c r="W17" s="114">
        <f t="shared" si="5"/>
        <v>6</v>
      </c>
      <c r="X17" s="132" t="s">
        <v>199</v>
      </c>
      <c r="Y17" s="151">
        <v>12391.488122999999</v>
      </c>
      <c r="Z17" s="155">
        <v>12391.488122999999</v>
      </c>
      <c r="AA17" s="154">
        <f t="shared" si="1"/>
        <v>3630040.6725161239</v>
      </c>
      <c r="AC17" s="142">
        <f t="shared" si="2"/>
        <v>0</v>
      </c>
      <c r="AD17" s="143">
        <f t="shared" si="3"/>
        <v>0</v>
      </c>
    </row>
    <row r="18" spans="2:30" x14ac:dyDescent="0.2">
      <c r="B18" s="114">
        <f t="shared" si="4"/>
        <v>7</v>
      </c>
      <c r="C18" s="132" t="s">
        <v>198</v>
      </c>
      <c r="D18" s="150">
        <v>16443.86</v>
      </c>
      <c r="E18" s="147">
        <v>-899.79</v>
      </c>
      <c r="F18" s="151">
        <v>0</v>
      </c>
      <c r="G18" s="151">
        <v>-131.07741383869001</v>
      </c>
      <c r="H18" s="151">
        <v>64.054291800000001</v>
      </c>
      <c r="I18" s="151"/>
      <c r="J18" s="151">
        <v>-535.55330149999998</v>
      </c>
      <c r="K18" s="151">
        <v>69.739999999999995</v>
      </c>
      <c r="L18" s="151">
        <v>-791.05357152523948</v>
      </c>
      <c r="M18" s="151">
        <v>-184.04661390000001</v>
      </c>
      <c r="N18" s="151">
        <v>0</v>
      </c>
      <c r="O18" s="151">
        <v>1318.8674783639308</v>
      </c>
      <c r="P18" s="151">
        <v>0</v>
      </c>
      <c r="Q18" s="151">
        <v>0</v>
      </c>
      <c r="R18" s="151">
        <v>0</v>
      </c>
      <c r="S18" s="151">
        <v>0</v>
      </c>
      <c r="T18" s="138">
        <f t="shared" si="0"/>
        <v>-1088.8591306000017</v>
      </c>
      <c r="U18" s="151">
        <v>15355.000869399999</v>
      </c>
      <c r="V18" s="155"/>
      <c r="W18" s="114">
        <f t="shared" si="5"/>
        <v>7</v>
      </c>
      <c r="X18" s="132" t="s">
        <v>198</v>
      </c>
      <c r="Y18" s="151">
        <v>16.016651</v>
      </c>
      <c r="Z18" s="155">
        <v>16.016651</v>
      </c>
      <c r="AA18" s="154">
        <f t="shared" si="1"/>
        <v>15338.984218399999</v>
      </c>
      <c r="AC18" s="142">
        <f t="shared" si="2"/>
        <v>2.7284841053187847E-12</v>
      </c>
      <c r="AD18" s="143">
        <f t="shared" si="3"/>
        <v>0</v>
      </c>
    </row>
    <row r="19" spans="2:30" x14ac:dyDescent="0.2">
      <c r="B19" s="114">
        <f t="shared" si="4"/>
        <v>8</v>
      </c>
      <c r="C19" s="132" t="s">
        <v>197</v>
      </c>
      <c r="D19" s="150">
        <v>25277</v>
      </c>
      <c r="E19" s="147">
        <v>0</v>
      </c>
      <c r="F19" s="151">
        <v>0</v>
      </c>
      <c r="G19" s="151">
        <v>0</v>
      </c>
      <c r="H19" s="151">
        <v>0</v>
      </c>
      <c r="I19" s="151"/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f>-D19</f>
        <v>-25277</v>
      </c>
      <c r="P19" s="151"/>
      <c r="Q19" s="151"/>
      <c r="R19" s="151"/>
      <c r="S19" s="151"/>
      <c r="T19" s="138">
        <f t="shared" si="0"/>
        <v>-25277</v>
      </c>
      <c r="U19" s="151">
        <v>0</v>
      </c>
      <c r="V19" s="155"/>
      <c r="W19" s="114">
        <f t="shared" si="5"/>
        <v>8</v>
      </c>
      <c r="X19" s="132" t="s">
        <v>197</v>
      </c>
      <c r="Y19" s="151">
        <v>0</v>
      </c>
      <c r="Z19" s="155">
        <v>0</v>
      </c>
      <c r="AA19" s="154">
        <v>0</v>
      </c>
      <c r="AC19" s="142">
        <f t="shared" si="2"/>
        <v>0</v>
      </c>
      <c r="AD19" s="143">
        <f t="shared" si="3"/>
        <v>0</v>
      </c>
    </row>
    <row r="20" spans="2:30" x14ac:dyDescent="0.2">
      <c r="B20" s="114">
        <f t="shared" si="4"/>
        <v>9</v>
      </c>
      <c r="C20" s="132" t="s">
        <v>196</v>
      </c>
      <c r="D20" s="150">
        <v>8535887.3200000003</v>
      </c>
      <c r="E20" s="147">
        <v>-398814.49999999994</v>
      </c>
      <c r="F20" s="151">
        <v>-222943.51626875252</v>
      </c>
      <c r="G20" s="151">
        <v>-27392.350188570923</v>
      </c>
      <c r="H20" s="151">
        <v>11895.651153007502</v>
      </c>
      <c r="I20" s="151"/>
      <c r="J20" s="151">
        <v>-68128.435467967487</v>
      </c>
      <c r="K20" s="151">
        <v>7818.138562662316</v>
      </c>
      <c r="L20" s="151">
        <v>-127124.00731756826</v>
      </c>
      <c r="M20" s="151">
        <v>-28374.027886075</v>
      </c>
      <c r="N20" s="151">
        <v>0</v>
      </c>
      <c r="O20" s="151">
        <v>434610.12716845889</v>
      </c>
      <c r="P20" s="151">
        <v>-138956.65911644883</v>
      </c>
      <c r="Q20" s="151">
        <v>-379268.30798186921</v>
      </c>
      <c r="R20" s="151">
        <v>364930.43790999986</v>
      </c>
      <c r="S20" s="151">
        <v>8741.2956738900393</v>
      </c>
      <c r="T20" s="138">
        <f t="shared" si="0"/>
        <v>-563006.15375923552</v>
      </c>
      <c r="U20" s="151">
        <v>7972881.1662407648</v>
      </c>
      <c r="V20" s="155"/>
      <c r="W20" s="114">
        <f t="shared" si="5"/>
        <v>9</v>
      </c>
      <c r="X20" s="132" t="s">
        <v>196</v>
      </c>
      <c r="Y20" s="151">
        <v>6262072.1843253998</v>
      </c>
      <c r="Z20" s="155">
        <v>5977182.0167696998</v>
      </c>
      <c r="AA20" s="154">
        <f t="shared" ref="AA20:AA26" si="6">U20-Y20</f>
        <v>1710808.981915365</v>
      </c>
      <c r="AC20" s="142">
        <f t="shared" si="2"/>
        <v>1.862645149230957E-9</v>
      </c>
      <c r="AD20" s="143">
        <f t="shared" si="3"/>
        <v>0</v>
      </c>
    </row>
    <row r="21" spans="2:30" x14ac:dyDescent="0.2">
      <c r="B21" s="114">
        <f t="shared" si="4"/>
        <v>10</v>
      </c>
      <c r="C21" s="132" t="s">
        <v>195</v>
      </c>
      <c r="D21" s="150">
        <v>8949862.5800000001</v>
      </c>
      <c r="E21" s="147">
        <v>-491826.20999999996</v>
      </c>
      <c r="F21" s="151"/>
      <c r="G21" s="151">
        <v>-118017.68578729971</v>
      </c>
      <c r="H21" s="151">
        <v>56789.624438499995</v>
      </c>
      <c r="I21" s="151"/>
      <c r="J21" s="151">
        <v>-329350.32794330001</v>
      </c>
      <c r="K21" s="151">
        <v>36176.334877631409</v>
      </c>
      <c r="L21" s="151">
        <v>-551901.7401017939</v>
      </c>
      <c r="M21" s="151">
        <v>-136358.16683979999</v>
      </c>
      <c r="N21" s="151">
        <v>0</v>
      </c>
      <c r="O21" s="151">
        <v>69344.947402078658</v>
      </c>
      <c r="P21" s="151">
        <v>0</v>
      </c>
      <c r="Q21" s="151">
        <v>0</v>
      </c>
      <c r="R21" s="151">
        <v>30146.564699999988</v>
      </c>
      <c r="S21" s="151">
        <v>0</v>
      </c>
      <c r="T21" s="138">
        <f t="shared" si="0"/>
        <v>-1434996.6592539828</v>
      </c>
      <c r="U21" s="151">
        <v>7514865.9207460172</v>
      </c>
      <c r="V21" s="155"/>
      <c r="W21" s="114">
        <f t="shared" si="5"/>
        <v>10</v>
      </c>
      <c r="X21" s="132" t="s">
        <v>195</v>
      </c>
      <c r="Y21" s="151">
        <v>55636.045681999996</v>
      </c>
      <c r="Z21" s="155">
        <v>55636.045681999996</v>
      </c>
      <c r="AA21" s="154">
        <f t="shared" si="6"/>
        <v>7459229.8750640173</v>
      </c>
      <c r="AC21" s="142">
        <f t="shared" si="2"/>
        <v>0</v>
      </c>
      <c r="AD21" s="143">
        <f t="shared" si="3"/>
        <v>0</v>
      </c>
    </row>
    <row r="22" spans="2:30" x14ac:dyDescent="0.2">
      <c r="B22" s="114">
        <f t="shared" si="4"/>
        <v>11</v>
      </c>
      <c r="C22" s="132" t="s">
        <v>194</v>
      </c>
      <c r="D22" s="150">
        <v>6060694.1600000001</v>
      </c>
      <c r="E22" s="147">
        <v>-337558.31999999995</v>
      </c>
      <c r="F22" s="151">
        <v>-120411.02297355344</v>
      </c>
      <c r="G22" s="151">
        <v>-28715.054502522897</v>
      </c>
      <c r="H22" s="151">
        <v>19529.973180041594</v>
      </c>
      <c r="I22" s="151"/>
      <c r="J22" s="151">
        <v>-93077.137415450969</v>
      </c>
      <c r="K22" s="151">
        <v>9702.570731634687</v>
      </c>
      <c r="L22" s="151">
        <v>-176839.36187363366</v>
      </c>
      <c r="M22" s="151">
        <v>-31314.13707354576</v>
      </c>
      <c r="N22" s="151">
        <v>566274.96776999999</v>
      </c>
      <c r="O22" s="151">
        <v>-303229.43904864509</v>
      </c>
      <c r="P22" s="151">
        <v>-70157.573397359811</v>
      </c>
      <c r="Q22" s="151">
        <v>-195999.9544223994</v>
      </c>
      <c r="R22" s="151">
        <v>536980.30379999988</v>
      </c>
      <c r="S22" s="151">
        <v>5161.5353556000628</v>
      </c>
      <c r="T22" s="138">
        <f t="shared" si="0"/>
        <v>-219652.649869835</v>
      </c>
      <c r="U22" s="151">
        <v>5841041.5101301651</v>
      </c>
      <c r="V22" s="155"/>
      <c r="W22" s="114">
        <f t="shared" si="5"/>
        <v>11</v>
      </c>
      <c r="X22" s="132" t="s">
        <v>194</v>
      </c>
      <c r="Y22" s="151">
        <v>3704697.5803289996</v>
      </c>
      <c r="Z22" s="155">
        <v>3536101.3397621997</v>
      </c>
      <c r="AA22" s="154">
        <f t="shared" si="6"/>
        <v>2136343.9298011656</v>
      </c>
      <c r="AC22" s="142">
        <f t="shared" si="2"/>
        <v>2.3283064365386963E-10</v>
      </c>
      <c r="AD22" s="143">
        <f t="shared" si="3"/>
        <v>0</v>
      </c>
    </row>
    <row r="23" spans="2:30" x14ac:dyDescent="0.2">
      <c r="B23" s="114">
        <f t="shared" si="4"/>
        <v>12</v>
      </c>
      <c r="C23" s="132" t="s">
        <v>193</v>
      </c>
      <c r="D23" s="150">
        <v>104807.23000000001</v>
      </c>
      <c r="E23" s="147">
        <v>-6601.81</v>
      </c>
      <c r="F23" s="151"/>
      <c r="G23" s="151">
        <v>-1157.88348362907</v>
      </c>
      <c r="H23" s="151">
        <v>781.60634400000004</v>
      </c>
      <c r="I23" s="151"/>
      <c r="J23" s="151">
        <v>-3845.4204656000002</v>
      </c>
      <c r="K23" s="151">
        <v>423.18438390000006</v>
      </c>
      <c r="L23" s="151">
        <v>-7413.0651670567877</v>
      </c>
      <c r="M23" s="151">
        <v>-1256.3704323000002</v>
      </c>
      <c r="N23" s="151">
        <v>0</v>
      </c>
      <c r="O23" s="151">
        <v>876.37599068581767</v>
      </c>
      <c r="P23" s="151">
        <v>0</v>
      </c>
      <c r="Q23" s="151">
        <v>0</v>
      </c>
      <c r="R23" s="151">
        <v>0</v>
      </c>
      <c r="S23" s="151">
        <v>0</v>
      </c>
      <c r="T23" s="138">
        <f t="shared" si="0"/>
        <v>-18193.382830000017</v>
      </c>
      <c r="U23" s="151">
        <v>86613.847169999994</v>
      </c>
      <c r="V23" s="155"/>
      <c r="W23" s="114">
        <f t="shared" si="5"/>
        <v>12</v>
      </c>
      <c r="X23" s="132" t="s">
        <v>193</v>
      </c>
      <c r="Y23" s="151">
        <v>260.84400999999997</v>
      </c>
      <c r="Z23" s="155">
        <v>260.84400999999997</v>
      </c>
      <c r="AA23" s="154">
        <f t="shared" si="6"/>
        <v>86353.003159999993</v>
      </c>
      <c r="AC23" s="142">
        <f t="shared" si="2"/>
        <v>0</v>
      </c>
      <c r="AD23" s="143">
        <f t="shared" si="3"/>
        <v>0</v>
      </c>
    </row>
    <row r="24" spans="2:30" x14ac:dyDescent="0.2">
      <c r="B24" s="114">
        <f t="shared" si="4"/>
        <v>13</v>
      </c>
      <c r="C24" s="132" t="s">
        <v>192</v>
      </c>
      <c r="D24" s="150">
        <v>9230288.4000000004</v>
      </c>
      <c r="E24" s="147">
        <v>-473047.51999999996</v>
      </c>
      <c r="F24" s="151">
        <v>-282620.68647614983</v>
      </c>
      <c r="G24" s="151">
        <v>-13649.768273515958</v>
      </c>
      <c r="H24" s="151">
        <v>8364.4080063674992</v>
      </c>
      <c r="I24" s="151"/>
      <c r="J24" s="151">
        <v>-71877.280832830002</v>
      </c>
      <c r="K24" s="151">
        <v>5930.9452828963867</v>
      </c>
      <c r="L24" s="151">
        <v>-83189.873738510971</v>
      </c>
      <c r="M24" s="151">
        <v>-30816.2021366675</v>
      </c>
      <c r="N24" s="151">
        <v>319015.72984500002</v>
      </c>
      <c r="O24" s="151">
        <v>1188636.1357771792</v>
      </c>
      <c r="P24" s="151">
        <v>-191376.56140199862</v>
      </c>
      <c r="Q24" s="151">
        <v>-411342.97496495955</v>
      </c>
      <c r="R24" s="151">
        <v>378694.41119999997</v>
      </c>
      <c r="S24" s="151">
        <v>12121.918269759044</v>
      </c>
      <c r="T24" s="138">
        <f t="shared" si="0"/>
        <v>354842.68055656925</v>
      </c>
      <c r="U24" s="151">
        <v>9585131.0805565696</v>
      </c>
      <c r="V24" s="155"/>
      <c r="W24" s="114">
        <f t="shared" si="5"/>
        <v>13</v>
      </c>
      <c r="X24" s="132" t="s">
        <v>192</v>
      </c>
      <c r="Y24" s="151">
        <v>8433125.2947468795</v>
      </c>
      <c r="Z24" s="155">
        <v>8049653.0725592794</v>
      </c>
      <c r="AA24" s="154">
        <f t="shared" si="6"/>
        <v>1152005.7858096901</v>
      </c>
      <c r="AC24" s="142">
        <f t="shared" si="2"/>
        <v>4.6566128730773926E-10</v>
      </c>
      <c r="AD24" s="143">
        <f t="shared" si="3"/>
        <v>0</v>
      </c>
    </row>
    <row r="25" spans="2:30" x14ac:dyDescent="0.2">
      <c r="B25" s="114">
        <f t="shared" si="4"/>
        <v>14</v>
      </c>
      <c r="C25" s="132" t="s">
        <v>191</v>
      </c>
      <c r="D25" s="150">
        <v>4724699.24</v>
      </c>
      <c r="E25" s="147">
        <v>-301404.65000000002</v>
      </c>
      <c r="F25" s="151"/>
      <c r="G25" s="151">
        <v>-52025.835240107925</v>
      </c>
      <c r="H25" s="151">
        <v>40188.0702256</v>
      </c>
      <c r="I25" s="151"/>
      <c r="J25" s="151">
        <v>-318706.23991780001</v>
      </c>
      <c r="K25" s="151">
        <v>22456.254418399996</v>
      </c>
      <c r="L25" s="151">
        <v>-277954.90633750206</v>
      </c>
      <c r="M25" s="151">
        <v>-144152.29355639999</v>
      </c>
      <c r="N25" s="151">
        <v>0</v>
      </c>
      <c r="O25" s="151">
        <v>-2815.4871920780279</v>
      </c>
      <c r="P25" s="151">
        <v>0</v>
      </c>
      <c r="Q25" s="151">
        <v>0</v>
      </c>
      <c r="R25" s="151">
        <v>24376.679030000232</v>
      </c>
      <c r="S25" s="151">
        <v>0</v>
      </c>
      <c r="T25" s="138">
        <f t="shared" si="0"/>
        <v>-1010038.4085698882</v>
      </c>
      <c r="U25" s="151">
        <v>3714660.831430112</v>
      </c>
      <c r="V25" s="155"/>
      <c r="W25" s="114">
        <f t="shared" si="5"/>
        <v>14</v>
      </c>
      <c r="X25" s="132" t="s">
        <v>191</v>
      </c>
      <c r="Y25" s="151">
        <v>69493.647265000007</v>
      </c>
      <c r="Z25" s="155">
        <v>69493.647265000007</v>
      </c>
      <c r="AA25" s="154">
        <f t="shared" si="6"/>
        <v>3645167.1841651122</v>
      </c>
      <c r="AC25" s="142">
        <f t="shared" si="2"/>
        <v>0</v>
      </c>
      <c r="AD25" s="143">
        <f t="shared" si="3"/>
        <v>0</v>
      </c>
    </row>
    <row r="26" spans="2:30" x14ac:dyDescent="0.2">
      <c r="B26" s="114">
        <f t="shared" si="4"/>
        <v>15</v>
      </c>
      <c r="C26" s="132" t="s">
        <v>190</v>
      </c>
      <c r="D26" s="150">
        <v>1677501.4200000002</v>
      </c>
      <c r="E26" s="147">
        <v>-92443.74</v>
      </c>
      <c r="F26" s="151"/>
      <c r="G26" s="151">
        <v>0</v>
      </c>
      <c r="H26" s="151">
        <v>9286.8891072000006</v>
      </c>
      <c r="I26" s="151"/>
      <c r="J26" s="151">
        <v>-135994.14713699996</v>
      </c>
      <c r="K26" s="151">
        <v>8588.8131008125347</v>
      </c>
      <c r="L26" s="151">
        <v>0</v>
      </c>
      <c r="M26" s="151">
        <v>-59919.590333699998</v>
      </c>
      <c r="N26" s="151">
        <v>0</v>
      </c>
      <c r="O26" s="151">
        <v>-3385.4927557667252</v>
      </c>
      <c r="P26" s="151">
        <v>0</v>
      </c>
      <c r="Q26" s="151">
        <v>0</v>
      </c>
      <c r="R26" s="151">
        <v>23183.297629999695</v>
      </c>
      <c r="S26" s="151">
        <v>0</v>
      </c>
      <c r="T26" s="138">
        <f t="shared" si="0"/>
        <v>-250683.97038845415</v>
      </c>
      <c r="U26" s="151">
        <v>1426817.449611546</v>
      </c>
      <c r="V26" s="155"/>
      <c r="W26" s="114">
        <f t="shared" si="5"/>
        <v>15</v>
      </c>
      <c r="X26" s="132" t="s">
        <v>190</v>
      </c>
      <c r="Y26" s="151">
        <v>0</v>
      </c>
      <c r="Z26" s="155">
        <v>0</v>
      </c>
      <c r="AA26" s="154">
        <f t="shared" si="6"/>
        <v>1426817.449611546</v>
      </c>
      <c r="AC26" s="142">
        <f t="shared" si="2"/>
        <v>-2.9103830456733704E-10</v>
      </c>
      <c r="AD26" s="143">
        <f t="shared" si="3"/>
        <v>0</v>
      </c>
    </row>
    <row r="27" spans="2:30" x14ac:dyDescent="0.2">
      <c r="B27" s="114">
        <f t="shared" si="4"/>
        <v>16</v>
      </c>
      <c r="C27" s="132" t="s">
        <v>189</v>
      </c>
      <c r="D27" s="145">
        <f t="shared" ref="D27:N27" si="7">SUM(D12:D26)</f>
        <v>857492456.11000001</v>
      </c>
      <c r="E27" s="144">
        <f t="shared" si="7"/>
        <v>-40067188.970000006</v>
      </c>
      <c r="F27" s="144">
        <f t="shared" si="7"/>
        <v>-12315699.729075179</v>
      </c>
      <c r="G27" s="144">
        <f t="shared" si="7"/>
        <v>-5670995.2945745047</v>
      </c>
      <c r="H27" s="144">
        <f t="shared" si="7"/>
        <v>2772307.0595804784</v>
      </c>
      <c r="I27" s="144">
        <f t="shared" si="7"/>
        <v>-97440.859999999986</v>
      </c>
      <c r="J27" s="144">
        <f t="shared" si="7"/>
        <v>-20149802.975724913</v>
      </c>
      <c r="K27" s="144">
        <f t="shared" si="7"/>
        <v>1918596.4897268589</v>
      </c>
      <c r="L27" s="144">
        <f t="shared" si="7"/>
        <v>-32898997.31453428</v>
      </c>
      <c r="M27" s="144">
        <f t="shared" si="7"/>
        <v>-6319267.5535104107</v>
      </c>
      <c r="N27" s="144">
        <f t="shared" si="7"/>
        <v>26488407.126521312</v>
      </c>
      <c r="O27" s="144">
        <v>-1206638.5237232447</v>
      </c>
      <c r="P27" s="145">
        <f t="shared" ref="P27:U27" si="8">SUM(P12:P26)</f>
        <v>-6574130.9173244052</v>
      </c>
      <c r="Q27" s="145">
        <f t="shared" si="8"/>
        <v>-19662600.392835855</v>
      </c>
      <c r="R27" s="145">
        <f t="shared" si="8"/>
        <v>58315670.512730047</v>
      </c>
      <c r="S27" s="145">
        <f t="shared" si="8"/>
        <v>530159.38422210189</v>
      </c>
      <c r="T27" s="153">
        <f t="shared" si="8"/>
        <v>-54937621.958521992</v>
      </c>
      <c r="U27" s="145">
        <f t="shared" si="8"/>
        <v>802554834.15147793</v>
      </c>
      <c r="V27" s="118"/>
      <c r="W27" s="114">
        <f t="shared" si="5"/>
        <v>16</v>
      </c>
      <c r="X27" s="132" t="s">
        <v>189</v>
      </c>
      <c r="Y27" s="145">
        <f>SUM(Y12:Y26)</f>
        <v>373707980.24993521</v>
      </c>
      <c r="Z27" s="144">
        <f>SUM(Z12:Z26)</f>
        <v>356713828.63051236</v>
      </c>
      <c r="AA27" s="144">
        <f>SUM(AA12:AA26)</f>
        <v>428846853.90154278</v>
      </c>
      <c r="AC27" s="142">
        <f t="shared" si="2"/>
        <v>0</v>
      </c>
      <c r="AD27" s="143">
        <f t="shared" si="3"/>
        <v>0</v>
      </c>
    </row>
    <row r="28" spans="2:30" x14ac:dyDescent="0.2">
      <c r="C28" s="132"/>
      <c r="D28" s="125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5"/>
      <c r="P28" s="125"/>
      <c r="Q28" s="125"/>
      <c r="R28" s="119"/>
      <c r="S28" s="119"/>
      <c r="T28" s="119"/>
      <c r="U28" s="119"/>
      <c r="V28" s="118"/>
      <c r="W28" s="114"/>
      <c r="X28" s="132"/>
      <c r="Y28" s="119"/>
      <c r="Z28" s="119"/>
      <c r="AA28" s="119"/>
      <c r="AC28" s="142"/>
      <c r="AD28" s="141"/>
    </row>
    <row r="29" spans="2:30" x14ac:dyDescent="0.2">
      <c r="B29" s="114">
        <f>B27+1</f>
        <v>17</v>
      </c>
      <c r="C29" s="132" t="s">
        <v>188</v>
      </c>
      <c r="D29" s="150">
        <v>6966059.8899999997</v>
      </c>
      <c r="E29" s="151">
        <v>-367127.93</v>
      </c>
      <c r="F29" s="124"/>
      <c r="G29" s="124"/>
      <c r="H29" s="151">
        <v>53666.38</v>
      </c>
      <c r="I29" s="151"/>
      <c r="J29" s="152">
        <v>-270440.65000000002</v>
      </c>
      <c r="K29" s="152">
        <v>28151.220000000005</v>
      </c>
      <c r="L29" s="152">
        <v>-498561.63999999996</v>
      </c>
      <c r="M29" s="124"/>
      <c r="N29" s="124"/>
      <c r="O29" s="151">
        <v>129801.19000000041</v>
      </c>
      <c r="P29" s="151"/>
      <c r="Q29" s="151"/>
      <c r="R29" s="129"/>
      <c r="S29" s="129"/>
      <c r="T29" s="138">
        <f>U29-D29</f>
        <v>-924511.4299999997</v>
      </c>
      <c r="U29" s="147">
        <v>6041548.46</v>
      </c>
      <c r="V29" s="131"/>
      <c r="W29" s="114">
        <f>W27+1</f>
        <v>17</v>
      </c>
      <c r="X29" s="132" t="s">
        <v>188</v>
      </c>
      <c r="Y29" s="131"/>
      <c r="Z29" s="131"/>
      <c r="AA29" s="131"/>
      <c r="AC29" s="142">
        <f>SUM(E29:S29)-T29</f>
        <v>0</v>
      </c>
      <c r="AD29" s="143">
        <f>T29+D29-U29</f>
        <v>0</v>
      </c>
    </row>
    <row r="30" spans="2:30" x14ac:dyDescent="0.2">
      <c r="B30" s="114">
        <v>17</v>
      </c>
      <c r="C30" s="132" t="s">
        <v>187</v>
      </c>
      <c r="D30" s="150">
        <v>24029578.809999999</v>
      </c>
      <c r="E30" s="151"/>
      <c r="F30" s="124"/>
      <c r="G30" s="124"/>
      <c r="H30" s="151"/>
      <c r="I30" s="151"/>
      <c r="J30" s="124"/>
      <c r="K30" s="124"/>
      <c r="L30" s="124">
        <f>-D30</f>
        <v>-24029578.809999999</v>
      </c>
      <c r="M30" s="124"/>
      <c r="N30" s="124"/>
      <c r="O30" s="151"/>
      <c r="P30" s="151"/>
      <c r="Q30" s="151"/>
      <c r="R30" s="129"/>
      <c r="S30" s="129"/>
      <c r="T30" s="138">
        <f>U30-D30</f>
        <v>-24029578.809999999</v>
      </c>
      <c r="U30" s="147">
        <v>0</v>
      </c>
      <c r="V30" s="131"/>
      <c r="W30" s="114"/>
      <c r="X30" s="132"/>
      <c r="Y30" s="131"/>
      <c r="Z30" s="131"/>
      <c r="AA30" s="131"/>
      <c r="AC30" s="142"/>
      <c r="AD30" s="141"/>
    </row>
    <row r="31" spans="2:30" x14ac:dyDescent="0.2">
      <c r="B31" s="114">
        <f>B30+1</f>
        <v>18</v>
      </c>
      <c r="C31" s="132" t="s">
        <v>186</v>
      </c>
      <c r="D31" s="150">
        <v>6984503.7800000003</v>
      </c>
      <c r="E31" s="149"/>
      <c r="F31" s="124"/>
      <c r="G31" s="124"/>
      <c r="H31" s="124"/>
      <c r="I31" s="124">
        <v>25090.45</v>
      </c>
      <c r="J31" s="148"/>
      <c r="K31" s="148"/>
      <c r="L31" s="148"/>
      <c r="M31" s="148"/>
      <c r="N31" s="124"/>
      <c r="O31" s="147"/>
      <c r="P31" s="147"/>
      <c r="Q31" s="147"/>
      <c r="R31" s="124"/>
      <c r="S31" s="124"/>
      <c r="T31" s="138">
        <f>U31-D31</f>
        <v>25090.450000000186</v>
      </c>
      <c r="U31" s="146">
        <f>SUM(D31:R31)</f>
        <v>7009594.2300000004</v>
      </c>
      <c r="V31" s="118"/>
      <c r="W31" s="114">
        <f>W29+1</f>
        <v>18</v>
      </c>
      <c r="X31" s="132" t="s">
        <v>186</v>
      </c>
      <c r="Y31" s="118"/>
      <c r="Z31" s="118"/>
      <c r="AA31" s="118"/>
      <c r="AC31" s="142">
        <f>SUM(E31:S31)-T31</f>
        <v>-1.8553691916167736E-10</v>
      </c>
      <c r="AD31" s="143">
        <f>T31+D31-U31</f>
        <v>0</v>
      </c>
    </row>
    <row r="32" spans="2:30" x14ac:dyDescent="0.2">
      <c r="B32" s="114">
        <f>B31+1</f>
        <v>19</v>
      </c>
      <c r="C32" s="132" t="s">
        <v>185</v>
      </c>
      <c r="D32" s="144">
        <f t="shared" ref="D32:U32" si="9">SUM(D29:D31)</f>
        <v>37980142.479999997</v>
      </c>
      <c r="E32" s="144">
        <f t="shared" si="9"/>
        <v>-367127.93</v>
      </c>
      <c r="F32" s="144">
        <f t="shared" si="9"/>
        <v>0</v>
      </c>
      <c r="G32" s="144">
        <f t="shared" si="9"/>
        <v>0</v>
      </c>
      <c r="H32" s="144">
        <f t="shared" si="9"/>
        <v>53666.38</v>
      </c>
      <c r="I32" s="144">
        <f t="shared" si="9"/>
        <v>25090.45</v>
      </c>
      <c r="J32" s="144">
        <f t="shared" si="9"/>
        <v>-270440.65000000002</v>
      </c>
      <c r="K32" s="144">
        <f t="shared" si="9"/>
        <v>28151.220000000005</v>
      </c>
      <c r="L32" s="144">
        <f t="shared" si="9"/>
        <v>-24528140.449999999</v>
      </c>
      <c r="M32" s="144">
        <f t="shared" si="9"/>
        <v>0</v>
      </c>
      <c r="N32" s="144">
        <f t="shared" si="9"/>
        <v>0</v>
      </c>
      <c r="O32" s="144">
        <f t="shared" si="9"/>
        <v>129801.19000000041</v>
      </c>
      <c r="P32" s="144">
        <f t="shared" si="9"/>
        <v>0</v>
      </c>
      <c r="Q32" s="144">
        <f t="shared" si="9"/>
        <v>0</v>
      </c>
      <c r="R32" s="144">
        <f t="shared" si="9"/>
        <v>0</v>
      </c>
      <c r="S32" s="144">
        <f t="shared" si="9"/>
        <v>0</v>
      </c>
      <c r="T32" s="144">
        <f t="shared" si="9"/>
        <v>-24928999.789999999</v>
      </c>
      <c r="U32" s="144">
        <f t="shared" si="9"/>
        <v>13051142.690000001</v>
      </c>
      <c r="V32" s="118"/>
      <c r="W32" s="114">
        <f>W31+1</f>
        <v>19</v>
      </c>
      <c r="X32" s="132" t="s">
        <v>185</v>
      </c>
      <c r="Y32" s="135"/>
      <c r="Z32" s="135"/>
      <c r="AA32" s="118"/>
      <c r="AC32" s="142">
        <f>SUM(E32:S32)-T32</f>
        <v>0</v>
      </c>
      <c r="AD32" s="143">
        <f>T32+D32-U32</f>
        <v>0</v>
      </c>
    </row>
    <row r="33" spans="2:30" x14ac:dyDescent="0.2">
      <c r="B33" s="114">
        <f>B32+1</f>
        <v>20</v>
      </c>
      <c r="C33" s="132" t="s">
        <v>184</v>
      </c>
      <c r="D33" s="145">
        <f t="shared" ref="D33:U33" si="10">D27+D32</f>
        <v>895472598.59000003</v>
      </c>
      <c r="E33" s="145">
        <f t="shared" si="10"/>
        <v>-40434316.900000006</v>
      </c>
      <c r="F33" s="145">
        <f t="shared" si="10"/>
        <v>-12315699.729075179</v>
      </c>
      <c r="G33" s="145">
        <f t="shared" si="10"/>
        <v>-5670995.2945745047</v>
      </c>
      <c r="H33" s="145">
        <f t="shared" si="10"/>
        <v>2825973.4395804782</v>
      </c>
      <c r="I33" s="145">
        <f t="shared" si="10"/>
        <v>-72350.409999999989</v>
      </c>
      <c r="J33" s="145">
        <f t="shared" si="10"/>
        <v>-20420243.625724912</v>
      </c>
      <c r="K33" s="145">
        <f t="shared" si="10"/>
        <v>1946747.7097268589</v>
      </c>
      <c r="L33" s="145">
        <f t="shared" si="10"/>
        <v>-57427137.76453428</v>
      </c>
      <c r="M33" s="145">
        <f t="shared" si="10"/>
        <v>-6319267.5535104107</v>
      </c>
      <c r="N33" s="145">
        <f t="shared" si="10"/>
        <v>26488407.126521312</v>
      </c>
      <c r="O33" s="145">
        <f t="shared" si="10"/>
        <v>-1076837.3337232443</v>
      </c>
      <c r="P33" s="145">
        <f t="shared" si="10"/>
        <v>-6574130.9173244052</v>
      </c>
      <c r="Q33" s="145">
        <f t="shared" si="10"/>
        <v>-19662600.392835855</v>
      </c>
      <c r="R33" s="145">
        <f t="shared" si="10"/>
        <v>58315670.512730047</v>
      </c>
      <c r="S33" s="145">
        <f t="shared" si="10"/>
        <v>530159.38422210189</v>
      </c>
      <c r="T33" s="144">
        <f t="shared" si="10"/>
        <v>-79866621.748521984</v>
      </c>
      <c r="U33" s="144">
        <f t="shared" si="10"/>
        <v>815605976.84147799</v>
      </c>
      <c r="V33" s="118"/>
      <c r="W33" s="114">
        <f>W32+1</f>
        <v>20</v>
      </c>
      <c r="X33" s="132" t="s">
        <v>184</v>
      </c>
      <c r="Y33" s="135"/>
      <c r="Z33" s="135"/>
      <c r="AA33" s="118"/>
      <c r="AC33" s="142">
        <f>SUM(E33:S33)-T33</f>
        <v>0</v>
      </c>
      <c r="AD33" s="143">
        <f>T33+D33-U33</f>
        <v>0</v>
      </c>
    </row>
    <row r="34" spans="2:30" x14ac:dyDescent="0.2">
      <c r="C34" s="132"/>
      <c r="D34" s="131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31"/>
      <c r="P34" s="131"/>
      <c r="Q34" s="131"/>
      <c r="R34" s="118"/>
      <c r="S34" s="118"/>
      <c r="T34" s="118"/>
      <c r="U34" s="118"/>
      <c r="V34" s="118"/>
      <c r="W34" s="114"/>
      <c r="X34" s="114"/>
      <c r="Y34" s="129"/>
      <c r="Z34" s="124"/>
      <c r="AA34" s="118"/>
      <c r="AC34" s="142"/>
      <c r="AD34" s="141"/>
    </row>
    <row r="35" spans="2:30" ht="15" x14ac:dyDescent="0.25">
      <c r="B35" s="114">
        <f>B33+1</f>
        <v>21</v>
      </c>
      <c r="C35" s="132" t="s">
        <v>183</v>
      </c>
      <c r="D35" s="140">
        <v>326393369.1500001</v>
      </c>
      <c r="E35" s="131"/>
      <c r="F35" s="131"/>
      <c r="G35" s="131"/>
      <c r="H35" s="131"/>
      <c r="I35" s="131">
        <v>-45481.5</v>
      </c>
      <c r="J35" s="131"/>
      <c r="K35" s="131"/>
      <c r="L35" s="131"/>
      <c r="M35" s="131"/>
      <c r="N35" s="131">
        <v>25320257.07</v>
      </c>
      <c r="O35" s="139">
        <v>-610931.78843075037</v>
      </c>
      <c r="P35" s="139">
        <v>-6284122.0758568048</v>
      </c>
      <c r="Q35" s="139">
        <v>-18796362.05136019</v>
      </c>
      <c r="R35" s="139">
        <v>30737099.826160133</v>
      </c>
      <c r="S35" s="139">
        <v>0</v>
      </c>
      <c r="T35" s="138">
        <f>U35-D35</f>
        <v>30320459.480512261</v>
      </c>
      <c r="U35" s="135">
        <f>Z27</f>
        <v>356713828.63051236</v>
      </c>
      <c r="V35" s="133"/>
      <c r="W35" s="114"/>
      <c r="X35" s="114"/>
      <c r="Y35" s="129"/>
      <c r="Z35" s="124"/>
      <c r="AA35" s="133"/>
      <c r="AC35" s="137">
        <f>SUM(E35:S35)-T35</f>
        <v>1.2665987014770508E-7</v>
      </c>
      <c r="AD35" s="136">
        <f>T35+D35-U35</f>
        <v>0</v>
      </c>
    </row>
    <row r="36" spans="2:30" x14ac:dyDescent="0.2">
      <c r="B36" s="114">
        <f>B35+1</f>
        <v>22</v>
      </c>
      <c r="C36" s="132" t="s">
        <v>182</v>
      </c>
      <c r="D36" s="135"/>
      <c r="E36" s="118" t="s">
        <v>181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31"/>
      <c r="P36" s="131"/>
      <c r="Q36" s="131"/>
      <c r="R36" s="118"/>
      <c r="S36" s="118"/>
      <c r="T36" s="131"/>
      <c r="U36" s="135">
        <f>Y27</f>
        <v>373707980.24993521</v>
      </c>
      <c r="V36" s="133"/>
      <c r="W36" s="121"/>
      <c r="X36" s="134"/>
      <c r="Y36" s="129"/>
      <c r="Z36" s="124"/>
      <c r="AA36" s="133"/>
      <c r="AC36" s="119"/>
      <c r="AD36" s="119"/>
    </row>
    <row r="37" spans="2:30" x14ac:dyDescent="0.2">
      <c r="C37" s="132"/>
      <c r="D37" s="131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31"/>
      <c r="P37" s="131"/>
      <c r="Q37" s="131"/>
      <c r="R37" s="131"/>
      <c r="S37" s="131"/>
      <c r="T37" s="131"/>
      <c r="U37" s="118"/>
      <c r="V37" s="118"/>
      <c r="W37" s="118"/>
      <c r="X37" s="130"/>
      <c r="Y37" s="118"/>
      <c r="Z37" s="118"/>
      <c r="AA37" s="118"/>
    </row>
    <row r="38" spans="2:30" x14ac:dyDescent="0.2">
      <c r="D38" s="129"/>
      <c r="E38" s="124"/>
      <c r="F38" s="119"/>
      <c r="G38" s="119"/>
      <c r="H38" s="119"/>
      <c r="I38" s="119"/>
      <c r="J38" s="119"/>
      <c r="K38" s="119"/>
      <c r="L38" s="119"/>
      <c r="M38" s="119"/>
      <c r="N38" s="119"/>
      <c r="O38" s="125"/>
      <c r="P38" s="125"/>
      <c r="Q38" s="125"/>
      <c r="R38" s="125"/>
      <c r="S38" s="125"/>
      <c r="T38" s="125"/>
      <c r="U38" s="128"/>
      <c r="V38" s="123"/>
      <c r="W38" s="123"/>
      <c r="X38" s="123"/>
      <c r="Y38" s="123"/>
      <c r="Z38" s="123"/>
      <c r="AA38" s="123"/>
    </row>
    <row r="39" spans="2:30" x14ac:dyDescent="0.2">
      <c r="F39" s="119"/>
      <c r="G39" s="119"/>
      <c r="H39" s="119"/>
      <c r="I39" s="119"/>
      <c r="J39" s="119"/>
      <c r="K39" s="119"/>
      <c r="L39" s="119"/>
      <c r="M39" s="119"/>
      <c r="N39" s="119"/>
      <c r="O39" s="125"/>
      <c r="P39" s="125"/>
      <c r="Q39" s="125"/>
      <c r="R39" s="125"/>
      <c r="S39" s="125"/>
      <c r="T39" s="125"/>
      <c r="U39" s="124"/>
      <c r="V39" s="123"/>
      <c r="W39" s="123"/>
      <c r="X39" s="123"/>
      <c r="Y39" s="123"/>
      <c r="Z39" s="123"/>
      <c r="AA39" s="123"/>
    </row>
    <row r="40" spans="2:30" x14ac:dyDescent="0.2">
      <c r="C40" s="117" t="s">
        <v>180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27"/>
      <c r="P40" s="125"/>
      <c r="Q40" s="125"/>
      <c r="R40" s="125"/>
      <c r="S40" s="125"/>
      <c r="T40" s="125"/>
      <c r="U40" s="126"/>
      <c r="V40" s="123"/>
      <c r="W40" s="123"/>
      <c r="X40" s="123"/>
      <c r="Y40" s="123"/>
      <c r="Z40" s="123"/>
      <c r="AA40" s="123"/>
    </row>
    <row r="41" spans="2:30" x14ac:dyDescent="0.2">
      <c r="F41" s="119"/>
      <c r="G41" s="119"/>
      <c r="H41" s="119"/>
      <c r="I41" s="119"/>
      <c r="J41" s="119"/>
      <c r="K41" s="119"/>
      <c r="L41" s="119"/>
      <c r="M41" s="119"/>
      <c r="N41" s="119"/>
      <c r="O41" s="125"/>
      <c r="P41" s="125"/>
      <c r="Q41" s="125"/>
      <c r="R41" s="125"/>
      <c r="S41" s="125"/>
      <c r="T41" s="125"/>
      <c r="U41" s="124"/>
      <c r="V41" s="123"/>
      <c r="W41" s="123"/>
      <c r="X41" s="123"/>
      <c r="Y41" s="123"/>
      <c r="Z41" s="123"/>
      <c r="AA41" s="123"/>
    </row>
    <row r="42" spans="2:30" x14ac:dyDescent="0.2">
      <c r="F42" s="119"/>
      <c r="G42" s="119"/>
      <c r="H42" s="119"/>
      <c r="I42" s="119"/>
      <c r="J42" s="119"/>
      <c r="K42" s="119"/>
      <c r="L42" s="119"/>
      <c r="M42" s="119"/>
      <c r="N42" s="119"/>
      <c r="O42" s="125"/>
      <c r="P42" s="125"/>
      <c r="Q42" s="125"/>
      <c r="R42" s="125"/>
      <c r="S42" s="125"/>
      <c r="T42" s="125"/>
      <c r="U42" s="124"/>
      <c r="V42" s="123"/>
      <c r="W42" s="123"/>
      <c r="X42" s="123"/>
      <c r="Y42" s="123"/>
      <c r="Z42" s="123"/>
      <c r="AA42" s="123"/>
    </row>
    <row r="43" spans="2:30" x14ac:dyDescent="0.2">
      <c r="F43" s="119"/>
      <c r="G43" s="119"/>
      <c r="H43" s="119"/>
      <c r="I43" s="119"/>
      <c r="J43" s="119"/>
      <c r="K43" s="119"/>
      <c r="L43" s="119"/>
      <c r="M43" s="119"/>
      <c r="N43" s="119"/>
      <c r="O43" s="125" t="s">
        <v>179</v>
      </c>
      <c r="P43" s="125"/>
      <c r="Q43" s="125"/>
      <c r="R43" s="125"/>
      <c r="S43" s="125"/>
      <c r="T43" s="125"/>
      <c r="U43" s="124"/>
      <c r="V43" s="123"/>
      <c r="W43" s="123"/>
      <c r="X43" s="123"/>
      <c r="Y43" s="123"/>
      <c r="Z43" s="123"/>
      <c r="AA43" s="123"/>
    </row>
    <row r="44" spans="2:30" x14ac:dyDescent="0.2">
      <c r="F44" s="119"/>
      <c r="G44" s="119"/>
      <c r="H44" s="119"/>
      <c r="I44" s="119"/>
      <c r="J44" s="119"/>
      <c r="K44" s="119"/>
      <c r="L44" s="119"/>
      <c r="M44" s="119"/>
      <c r="N44" s="119"/>
      <c r="O44" s="125"/>
      <c r="P44" s="125"/>
      <c r="Q44" s="125"/>
      <c r="R44" s="125"/>
      <c r="S44" s="125"/>
      <c r="T44" s="125"/>
      <c r="U44" s="124"/>
      <c r="V44" s="123"/>
      <c r="W44" s="123"/>
      <c r="X44" s="123"/>
      <c r="Y44" s="123"/>
      <c r="Z44" s="123"/>
      <c r="AA44" s="123"/>
    </row>
    <row r="45" spans="2:30" x14ac:dyDescent="0.2">
      <c r="F45" s="119"/>
      <c r="G45" s="119"/>
      <c r="H45" s="119"/>
      <c r="I45" s="119"/>
      <c r="J45" s="119"/>
      <c r="K45" s="119"/>
      <c r="L45" s="119"/>
      <c r="M45" s="119"/>
      <c r="N45" s="119"/>
      <c r="O45" s="125"/>
      <c r="P45" s="125"/>
      <c r="Q45" s="125"/>
      <c r="R45" s="125"/>
      <c r="S45" s="125"/>
      <c r="T45" s="125"/>
      <c r="U45" s="124"/>
      <c r="V45" s="123"/>
      <c r="W45" s="123"/>
      <c r="X45" s="123"/>
      <c r="Y45" s="123"/>
      <c r="Z45" s="123"/>
      <c r="AA45" s="123"/>
    </row>
    <row r="46" spans="2:30" x14ac:dyDescent="0.2">
      <c r="F46" s="119"/>
      <c r="G46" s="119"/>
      <c r="H46" s="119"/>
      <c r="I46" s="119"/>
      <c r="J46" s="119"/>
      <c r="K46" s="119"/>
      <c r="L46" s="119"/>
      <c r="M46" s="119"/>
      <c r="N46" s="119"/>
      <c r="O46" s="125"/>
      <c r="P46" s="125"/>
      <c r="Q46" s="125"/>
      <c r="R46" s="125"/>
      <c r="S46" s="125"/>
      <c r="T46" s="125"/>
      <c r="U46" s="124"/>
      <c r="V46" s="123"/>
      <c r="W46" s="123"/>
      <c r="X46" s="123"/>
      <c r="Y46" s="123"/>
      <c r="Z46" s="123"/>
      <c r="AA46" s="123"/>
    </row>
    <row r="47" spans="2:30" x14ac:dyDescent="0.2">
      <c r="F47" s="119"/>
      <c r="G47" s="119"/>
      <c r="H47" s="119"/>
      <c r="I47" s="119"/>
      <c r="J47" s="119"/>
      <c r="K47" s="119"/>
      <c r="L47" s="119"/>
      <c r="M47" s="119"/>
      <c r="N47" s="119"/>
      <c r="O47" s="125"/>
      <c r="P47" s="125"/>
      <c r="Q47" s="125"/>
      <c r="R47" s="125"/>
      <c r="S47" s="125"/>
      <c r="T47" s="125"/>
      <c r="U47" s="124"/>
      <c r="V47" s="123"/>
      <c r="W47" s="123"/>
      <c r="X47" s="123"/>
      <c r="Y47" s="123"/>
      <c r="Z47" s="123"/>
      <c r="AA47" s="123"/>
    </row>
    <row r="48" spans="2:30" x14ac:dyDescent="0.2">
      <c r="F48" s="119"/>
      <c r="G48" s="119"/>
      <c r="H48" s="119"/>
      <c r="I48" s="119"/>
      <c r="J48" s="119"/>
      <c r="K48" s="119"/>
      <c r="L48" s="119"/>
      <c r="M48" s="119"/>
      <c r="N48" s="119"/>
      <c r="O48" s="125"/>
      <c r="P48" s="125"/>
      <c r="Q48" s="125"/>
      <c r="R48" s="125"/>
      <c r="S48" s="125"/>
      <c r="T48" s="125"/>
      <c r="U48" s="124"/>
      <c r="V48" s="123"/>
      <c r="W48" s="123"/>
      <c r="X48" s="123"/>
      <c r="Y48" s="123"/>
      <c r="Z48" s="123"/>
      <c r="AA48" s="123"/>
    </row>
    <row r="49" spans="4:27" s="115" customFormat="1" x14ac:dyDescent="0.2">
      <c r="D49" s="117"/>
      <c r="E49" s="114"/>
      <c r="F49" s="119"/>
      <c r="G49" s="119"/>
      <c r="H49" s="119"/>
      <c r="I49" s="119"/>
      <c r="J49" s="119"/>
      <c r="K49" s="119"/>
      <c r="L49" s="119"/>
      <c r="M49" s="119"/>
      <c r="N49" s="119"/>
      <c r="O49" s="125"/>
      <c r="P49" s="125"/>
      <c r="Q49" s="125"/>
      <c r="R49" s="125"/>
      <c r="S49" s="125"/>
      <c r="T49" s="125"/>
      <c r="U49" s="124"/>
      <c r="V49" s="123"/>
      <c r="W49" s="123"/>
      <c r="X49" s="123"/>
      <c r="Y49" s="123"/>
      <c r="Z49" s="123"/>
      <c r="AA49" s="123"/>
    </row>
    <row r="50" spans="4:27" s="115" customFormat="1" x14ac:dyDescent="0.2">
      <c r="D50" s="117"/>
      <c r="E50" s="114"/>
      <c r="F50" s="119"/>
      <c r="G50" s="119"/>
      <c r="H50" s="119"/>
      <c r="I50" s="119"/>
      <c r="J50" s="119"/>
      <c r="K50" s="119"/>
      <c r="L50" s="119"/>
      <c r="M50" s="119"/>
      <c r="N50" s="119"/>
      <c r="O50" s="125"/>
      <c r="P50" s="125"/>
      <c r="Q50" s="125"/>
      <c r="R50" s="125"/>
      <c r="S50" s="125"/>
      <c r="T50" s="125"/>
      <c r="U50" s="124"/>
      <c r="V50" s="123"/>
      <c r="W50" s="123"/>
      <c r="X50" s="123"/>
      <c r="Y50" s="123"/>
      <c r="Z50" s="123"/>
      <c r="AA50" s="123"/>
    </row>
    <row r="51" spans="4:27" s="115" customFormat="1" x14ac:dyDescent="0.2">
      <c r="D51" s="117"/>
      <c r="E51" s="114"/>
      <c r="F51" s="119"/>
      <c r="G51" s="119"/>
      <c r="H51" s="119"/>
      <c r="I51" s="119"/>
      <c r="J51" s="119"/>
      <c r="K51" s="119"/>
      <c r="L51" s="119"/>
      <c r="M51" s="119"/>
      <c r="N51" s="119"/>
      <c r="O51" s="125"/>
      <c r="P51" s="125"/>
      <c r="Q51" s="125"/>
      <c r="R51" s="125"/>
      <c r="S51" s="125"/>
      <c r="T51" s="125"/>
      <c r="U51" s="124"/>
      <c r="V51" s="123"/>
      <c r="W51" s="123"/>
      <c r="X51" s="123"/>
      <c r="Y51" s="123"/>
      <c r="Z51" s="123"/>
      <c r="AA51" s="123"/>
    </row>
    <row r="52" spans="4:27" s="115" customFormat="1" x14ac:dyDescent="0.2">
      <c r="D52" s="117"/>
      <c r="E52" s="114"/>
      <c r="F52" s="119"/>
      <c r="G52" s="119"/>
      <c r="H52" s="119"/>
      <c r="I52" s="119"/>
      <c r="J52" s="119"/>
      <c r="K52" s="119"/>
      <c r="L52" s="119"/>
      <c r="M52" s="119"/>
      <c r="N52" s="119"/>
      <c r="O52" s="125"/>
      <c r="P52" s="125"/>
      <c r="Q52" s="125"/>
      <c r="R52" s="125"/>
      <c r="S52" s="125"/>
      <c r="T52" s="125"/>
      <c r="U52" s="124"/>
      <c r="V52" s="123"/>
      <c r="W52" s="123"/>
      <c r="X52" s="123"/>
      <c r="Y52" s="123"/>
      <c r="Z52" s="123"/>
      <c r="AA52" s="123"/>
    </row>
    <row r="53" spans="4:27" s="115" customFormat="1" x14ac:dyDescent="0.2">
      <c r="D53" s="117"/>
      <c r="E53" s="114"/>
      <c r="F53" s="119"/>
      <c r="G53" s="119"/>
      <c r="H53" s="119"/>
      <c r="I53" s="119"/>
      <c r="J53" s="119"/>
      <c r="K53" s="119"/>
      <c r="L53" s="119"/>
      <c r="M53" s="119"/>
      <c r="N53" s="119"/>
      <c r="O53" s="125"/>
      <c r="P53" s="125"/>
      <c r="Q53" s="125"/>
      <c r="R53" s="125"/>
      <c r="S53" s="125"/>
      <c r="T53" s="125"/>
      <c r="U53" s="124"/>
      <c r="V53" s="123"/>
      <c r="W53" s="123"/>
      <c r="X53" s="123"/>
      <c r="Y53" s="123"/>
      <c r="Z53" s="123"/>
      <c r="AA53" s="123"/>
    </row>
    <row r="54" spans="4:27" s="115" customFormat="1" x14ac:dyDescent="0.2">
      <c r="D54" s="117"/>
      <c r="E54" s="114"/>
      <c r="F54" s="119"/>
      <c r="G54" s="119"/>
      <c r="H54" s="119"/>
      <c r="I54" s="119"/>
      <c r="J54" s="119"/>
      <c r="K54" s="119"/>
      <c r="L54" s="119"/>
      <c r="M54" s="119"/>
      <c r="N54" s="119"/>
      <c r="O54" s="125"/>
      <c r="P54" s="125"/>
      <c r="Q54" s="125"/>
      <c r="R54" s="125"/>
      <c r="S54" s="125"/>
      <c r="T54" s="125"/>
      <c r="U54" s="124"/>
      <c r="V54" s="123"/>
      <c r="W54" s="123"/>
      <c r="X54" s="123"/>
      <c r="Y54" s="123"/>
      <c r="Z54" s="123"/>
      <c r="AA54" s="123"/>
    </row>
    <row r="55" spans="4:27" s="115" customFormat="1" x14ac:dyDescent="0.2">
      <c r="D55" s="117"/>
      <c r="E55" s="114"/>
      <c r="F55" s="119"/>
      <c r="G55" s="119"/>
      <c r="H55" s="119"/>
      <c r="I55" s="119"/>
      <c r="J55" s="119"/>
      <c r="K55" s="119"/>
      <c r="L55" s="119"/>
      <c r="M55" s="119"/>
      <c r="N55" s="119"/>
      <c r="O55" s="125"/>
      <c r="P55" s="125"/>
      <c r="Q55" s="125"/>
      <c r="R55" s="125"/>
      <c r="S55" s="125"/>
      <c r="T55" s="125"/>
      <c r="U55" s="124"/>
      <c r="V55" s="123"/>
      <c r="W55" s="123"/>
      <c r="X55" s="123"/>
      <c r="Y55" s="123"/>
      <c r="Z55" s="123"/>
      <c r="AA55" s="123"/>
    </row>
    <row r="56" spans="4:27" s="115" customFormat="1" x14ac:dyDescent="0.2">
      <c r="D56" s="117"/>
      <c r="E56" s="114"/>
      <c r="F56" s="119"/>
      <c r="G56" s="119"/>
      <c r="H56" s="119"/>
      <c r="I56" s="119"/>
      <c r="J56" s="119"/>
      <c r="K56" s="119"/>
      <c r="L56" s="119"/>
      <c r="M56" s="119"/>
      <c r="N56" s="119"/>
      <c r="O56" s="125"/>
      <c r="P56" s="125"/>
      <c r="Q56" s="125"/>
      <c r="R56" s="125"/>
      <c r="S56" s="125"/>
      <c r="T56" s="125"/>
      <c r="U56" s="124"/>
      <c r="V56" s="123"/>
      <c r="W56" s="123"/>
      <c r="X56" s="123"/>
      <c r="Y56" s="123"/>
      <c r="Z56" s="123"/>
      <c r="AA56" s="123"/>
    </row>
    <row r="57" spans="4:27" s="115" customFormat="1" x14ac:dyDescent="0.2">
      <c r="D57" s="117"/>
      <c r="E57" s="114"/>
      <c r="F57" s="119"/>
      <c r="G57" s="119"/>
      <c r="H57" s="119"/>
      <c r="I57" s="119"/>
      <c r="J57" s="119"/>
      <c r="K57" s="119"/>
      <c r="L57" s="119"/>
      <c r="M57" s="119"/>
      <c r="N57" s="119"/>
      <c r="O57" s="125"/>
      <c r="P57" s="125"/>
      <c r="Q57" s="125"/>
      <c r="R57" s="125"/>
      <c r="S57" s="125"/>
      <c r="T57" s="125"/>
      <c r="U57" s="124"/>
      <c r="V57" s="123"/>
      <c r="W57" s="123"/>
      <c r="X57" s="123"/>
      <c r="Y57" s="123"/>
      <c r="Z57" s="123"/>
      <c r="AA57" s="123"/>
    </row>
    <row r="58" spans="4:27" s="115" customFormat="1" x14ac:dyDescent="0.2">
      <c r="D58" s="117"/>
      <c r="E58" s="114"/>
      <c r="F58" s="119"/>
      <c r="G58" s="119"/>
      <c r="H58" s="119"/>
      <c r="I58" s="119"/>
      <c r="J58" s="119"/>
      <c r="K58" s="119"/>
      <c r="L58" s="119"/>
      <c r="M58" s="119"/>
      <c r="N58" s="119"/>
      <c r="O58" s="125"/>
      <c r="P58" s="125"/>
      <c r="Q58" s="125"/>
      <c r="R58" s="125"/>
      <c r="S58" s="125"/>
      <c r="T58" s="125"/>
      <c r="U58" s="124"/>
      <c r="V58" s="123"/>
      <c r="W58" s="123"/>
      <c r="X58" s="123"/>
      <c r="Y58" s="123"/>
      <c r="Z58" s="123"/>
      <c r="AA58" s="123"/>
    </row>
    <row r="59" spans="4:27" s="115" customFormat="1" x14ac:dyDescent="0.2">
      <c r="D59" s="117"/>
      <c r="E59" s="114"/>
      <c r="F59" s="119"/>
      <c r="G59" s="119"/>
      <c r="H59" s="119"/>
      <c r="I59" s="119"/>
      <c r="J59" s="119"/>
      <c r="K59" s="119"/>
      <c r="L59" s="119"/>
      <c r="M59" s="119"/>
      <c r="N59" s="119"/>
      <c r="O59" s="125"/>
      <c r="P59" s="125"/>
      <c r="Q59" s="125"/>
      <c r="R59" s="125"/>
      <c r="S59" s="125"/>
      <c r="T59" s="125"/>
      <c r="U59" s="124"/>
      <c r="V59" s="123"/>
      <c r="W59" s="123"/>
      <c r="X59" s="123"/>
      <c r="Y59" s="123"/>
      <c r="Z59" s="123"/>
      <c r="AA59" s="123"/>
    </row>
    <row r="60" spans="4:27" s="115" customFormat="1" x14ac:dyDescent="0.2">
      <c r="D60" s="117"/>
      <c r="E60" s="114"/>
      <c r="F60" s="119"/>
      <c r="G60" s="119"/>
      <c r="H60" s="119"/>
      <c r="I60" s="119"/>
      <c r="J60" s="119"/>
      <c r="K60" s="119"/>
      <c r="L60" s="119"/>
      <c r="M60" s="119"/>
      <c r="N60" s="119"/>
      <c r="O60" s="125"/>
      <c r="P60" s="125"/>
      <c r="Q60" s="125"/>
      <c r="R60" s="125"/>
      <c r="S60" s="125"/>
      <c r="T60" s="125"/>
      <c r="U60" s="124"/>
      <c r="V60" s="123"/>
      <c r="W60" s="123"/>
      <c r="X60" s="123"/>
      <c r="Y60" s="123"/>
      <c r="Z60" s="123"/>
      <c r="AA60" s="123"/>
    </row>
    <row r="61" spans="4:27" s="115" customFormat="1" x14ac:dyDescent="0.2">
      <c r="D61" s="117"/>
      <c r="E61" s="114"/>
      <c r="F61" s="119"/>
      <c r="G61" s="119"/>
      <c r="H61" s="119"/>
      <c r="I61" s="119"/>
      <c r="J61" s="119"/>
      <c r="K61" s="119"/>
      <c r="L61" s="119"/>
      <c r="M61" s="119"/>
      <c r="N61" s="119"/>
      <c r="O61" s="125"/>
      <c r="P61" s="125"/>
      <c r="Q61" s="125"/>
      <c r="R61" s="125"/>
      <c r="S61" s="125"/>
      <c r="T61" s="125"/>
      <c r="U61" s="124"/>
      <c r="V61" s="123"/>
      <c r="W61" s="123"/>
      <c r="X61" s="123"/>
      <c r="Y61" s="123"/>
      <c r="Z61" s="123"/>
      <c r="AA61" s="123"/>
    </row>
    <row r="62" spans="4:27" s="115" customFormat="1" x14ac:dyDescent="0.2">
      <c r="D62" s="117"/>
      <c r="E62" s="114"/>
      <c r="F62" s="119"/>
      <c r="G62" s="119"/>
      <c r="H62" s="119"/>
      <c r="I62" s="119"/>
      <c r="J62" s="119"/>
      <c r="K62" s="119"/>
      <c r="L62" s="119"/>
      <c r="M62" s="119"/>
      <c r="N62" s="119"/>
      <c r="O62" s="125"/>
      <c r="P62" s="125"/>
      <c r="Q62" s="125"/>
      <c r="R62" s="125"/>
      <c r="S62" s="125"/>
      <c r="T62" s="125"/>
      <c r="U62" s="124"/>
      <c r="V62" s="123"/>
      <c r="W62" s="123"/>
      <c r="X62" s="123"/>
      <c r="Y62" s="123"/>
      <c r="Z62" s="123"/>
      <c r="AA62" s="123"/>
    </row>
    <row r="63" spans="4:27" s="115" customFormat="1" x14ac:dyDescent="0.2">
      <c r="D63" s="117"/>
      <c r="E63" s="114"/>
      <c r="F63" s="119"/>
      <c r="G63" s="119"/>
      <c r="H63" s="119"/>
      <c r="I63" s="119"/>
      <c r="J63" s="119"/>
      <c r="K63" s="119"/>
      <c r="L63" s="119"/>
      <c r="M63" s="119"/>
      <c r="N63" s="119"/>
      <c r="O63" s="125"/>
      <c r="P63" s="125"/>
      <c r="Q63" s="125"/>
      <c r="R63" s="125"/>
      <c r="S63" s="125"/>
      <c r="T63" s="125"/>
      <c r="U63" s="124"/>
      <c r="V63" s="123"/>
      <c r="W63" s="123"/>
      <c r="X63" s="123"/>
      <c r="Y63" s="123"/>
      <c r="Z63" s="123"/>
      <c r="AA63" s="123"/>
    </row>
    <row r="64" spans="4:27" s="115" customFormat="1" x14ac:dyDescent="0.2">
      <c r="D64" s="117"/>
      <c r="E64" s="114"/>
      <c r="F64" s="119"/>
      <c r="G64" s="119"/>
      <c r="H64" s="119"/>
      <c r="I64" s="119"/>
      <c r="J64" s="119"/>
      <c r="K64" s="119"/>
      <c r="L64" s="119"/>
      <c r="M64" s="119"/>
      <c r="N64" s="119"/>
      <c r="O64" s="125"/>
      <c r="P64" s="125"/>
      <c r="Q64" s="125"/>
      <c r="R64" s="125"/>
      <c r="S64" s="125"/>
      <c r="T64" s="125"/>
      <c r="U64" s="124"/>
      <c r="V64" s="123"/>
      <c r="W64" s="123"/>
      <c r="X64" s="123"/>
      <c r="Y64" s="123"/>
      <c r="Z64" s="123"/>
      <c r="AA64" s="123"/>
    </row>
    <row r="65" spans="2:27" s="115" customFormat="1" x14ac:dyDescent="0.2">
      <c r="B65" s="114"/>
      <c r="C65" s="114"/>
      <c r="D65" s="117"/>
      <c r="E65" s="114"/>
      <c r="F65" s="119"/>
      <c r="G65" s="119"/>
      <c r="H65" s="119"/>
      <c r="I65" s="119"/>
      <c r="J65" s="119"/>
      <c r="K65" s="119"/>
      <c r="L65" s="119"/>
      <c r="M65" s="119"/>
      <c r="N65" s="119"/>
      <c r="O65" s="125"/>
      <c r="P65" s="125"/>
      <c r="Q65" s="125"/>
      <c r="R65" s="125"/>
      <c r="S65" s="125"/>
      <c r="T65" s="125"/>
      <c r="U65" s="124"/>
      <c r="V65" s="123"/>
      <c r="W65" s="123"/>
      <c r="X65" s="123"/>
      <c r="Y65" s="123"/>
      <c r="Z65" s="123"/>
      <c r="AA65" s="123"/>
    </row>
    <row r="66" spans="2:27" s="115" customFormat="1" x14ac:dyDescent="0.2">
      <c r="B66" s="114"/>
      <c r="C66" s="114"/>
      <c r="D66" s="117"/>
      <c r="E66" s="114"/>
      <c r="F66" s="119"/>
      <c r="G66" s="119"/>
      <c r="H66" s="119"/>
      <c r="I66" s="119"/>
      <c r="J66" s="119"/>
      <c r="K66" s="119"/>
      <c r="L66" s="119"/>
      <c r="M66" s="119"/>
      <c r="N66" s="119"/>
      <c r="O66" s="125"/>
      <c r="P66" s="125"/>
      <c r="Q66" s="125"/>
      <c r="R66" s="125"/>
      <c r="S66" s="125"/>
      <c r="T66" s="125"/>
      <c r="U66" s="124"/>
      <c r="V66" s="123"/>
      <c r="W66" s="123"/>
      <c r="X66" s="123"/>
      <c r="Y66" s="123"/>
      <c r="Z66" s="123"/>
      <c r="AA66" s="123"/>
    </row>
    <row r="67" spans="2:27" s="115" customFormat="1" x14ac:dyDescent="0.2">
      <c r="B67" s="114"/>
      <c r="C67" s="114"/>
      <c r="D67" s="117"/>
      <c r="E67" s="114"/>
      <c r="F67" s="119"/>
      <c r="G67" s="119"/>
      <c r="H67" s="119"/>
      <c r="I67" s="119"/>
      <c r="J67" s="119"/>
      <c r="K67" s="119"/>
      <c r="L67" s="119"/>
      <c r="M67" s="119"/>
      <c r="N67" s="119"/>
      <c r="O67" s="125"/>
      <c r="P67" s="125"/>
      <c r="Q67" s="125"/>
      <c r="R67" s="125"/>
      <c r="S67" s="125"/>
      <c r="T67" s="125"/>
      <c r="U67" s="124"/>
      <c r="V67" s="123"/>
      <c r="W67" s="123"/>
      <c r="X67" s="123"/>
      <c r="Y67" s="123"/>
      <c r="Z67" s="123"/>
      <c r="AA67" s="123"/>
    </row>
    <row r="68" spans="2:27" s="115" customFormat="1" x14ac:dyDescent="0.2">
      <c r="B68" s="114"/>
      <c r="C68" s="114"/>
      <c r="D68" s="117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7"/>
      <c r="P68" s="117"/>
      <c r="Q68" s="117"/>
      <c r="R68" s="117"/>
      <c r="S68" s="117"/>
      <c r="T68" s="117"/>
      <c r="U68" s="119"/>
      <c r="V68" s="116"/>
      <c r="W68" s="116"/>
      <c r="X68" s="116"/>
      <c r="Y68" s="118"/>
      <c r="Z68" s="116"/>
      <c r="AA68" s="116"/>
    </row>
    <row r="69" spans="2:27" s="115" customFormat="1" x14ac:dyDescent="0.2">
      <c r="B69" s="121"/>
      <c r="C69" s="122"/>
      <c r="D69" s="117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7"/>
      <c r="P69" s="117"/>
      <c r="Q69" s="117"/>
      <c r="R69" s="114"/>
      <c r="S69" s="114"/>
      <c r="T69" s="114"/>
      <c r="U69" s="119"/>
      <c r="V69" s="116"/>
      <c r="W69" s="116"/>
      <c r="X69" s="116"/>
      <c r="Y69" s="118"/>
      <c r="Z69" s="116"/>
      <c r="AA69" s="116"/>
    </row>
    <row r="70" spans="2:27" s="115" customFormat="1" x14ac:dyDescent="0.2">
      <c r="B70" s="121"/>
      <c r="C70" s="120"/>
      <c r="D70" s="117"/>
      <c r="E70" s="117"/>
      <c r="F70" s="117"/>
      <c r="G70" s="114"/>
      <c r="H70" s="114"/>
      <c r="I70" s="114"/>
      <c r="J70" s="114"/>
      <c r="K70" s="114"/>
      <c r="L70" s="114"/>
      <c r="M70" s="114"/>
      <c r="N70" s="114"/>
      <c r="O70" s="117"/>
      <c r="P70" s="117"/>
      <c r="Q70" s="117"/>
      <c r="R70" s="114"/>
      <c r="S70" s="114"/>
      <c r="T70" s="114"/>
      <c r="U70" s="114"/>
      <c r="V70" s="116"/>
      <c r="W70" s="116"/>
      <c r="X70" s="116"/>
      <c r="Y70" s="116"/>
      <c r="Z70" s="116"/>
      <c r="AA70" s="116"/>
    </row>
    <row r="71" spans="2:27" s="115" customFormat="1" x14ac:dyDescent="0.2">
      <c r="B71" s="121"/>
      <c r="C71" s="122"/>
      <c r="D71" s="117"/>
      <c r="E71" s="117"/>
      <c r="F71" s="117"/>
      <c r="G71" s="114"/>
      <c r="H71" s="114"/>
      <c r="I71" s="114"/>
      <c r="J71" s="114"/>
      <c r="K71" s="114"/>
      <c r="L71" s="114"/>
      <c r="M71" s="114"/>
      <c r="N71" s="114"/>
      <c r="O71" s="117"/>
      <c r="P71" s="117"/>
      <c r="Q71" s="117"/>
      <c r="R71" s="114"/>
      <c r="S71" s="114"/>
      <c r="T71" s="114"/>
      <c r="U71" s="114"/>
      <c r="V71" s="116"/>
      <c r="W71" s="116"/>
      <c r="X71" s="116"/>
      <c r="Y71" s="116"/>
      <c r="Z71" s="116"/>
      <c r="AA71" s="116"/>
    </row>
    <row r="72" spans="2:27" s="115" customFormat="1" x14ac:dyDescent="0.2">
      <c r="B72" s="121"/>
      <c r="C72" s="120"/>
      <c r="D72" s="117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7"/>
      <c r="P72" s="117"/>
      <c r="Q72" s="117"/>
      <c r="R72" s="114"/>
      <c r="S72" s="114"/>
      <c r="T72" s="114"/>
      <c r="U72" s="114"/>
      <c r="V72" s="116"/>
      <c r="W72" s="116"/>
      <c r="X72" s="116"/>
      <c r="Y72" s="116"/>
      <c r="Z72" s="116"/>
      <c r="AA72" s="116"/>
    </row>
    <row r="74" spans="2:27" s="115" customFormat="1" x14ac:dyDescent="0.2">
      <c r="B74" s="114"/>
      <c r="C74" s="114"/>
      <c r="D74" s="117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7"/>
      <c r="Q74" s="117"/>
      <c r="R74" s="114"/>
      <c r="S74" s="114"/>
      <c r="T74" s="119"/>
      <c r="U74" s="119"/>
      <c r="V74" s="116"/>
      <c r="W74" s="118"/>
      <c r="X74" s="118"/>
      <c r="Y74" s="116"/>
      <c r="Z74" s="116"/>
      <c r="AA74" s="116"/>
    </row>
    <row r="76" spans="2:27" s="115" customFormat="1" x14ac:dyDescent="0.2">
      <c r="B76" s="114"/>
      <c r="C76" s="114"/>
      <c r="D76" s="117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7"/>
      <c r="Q76" s="117"/>
      <c r="R76" s="114"/>
      <c r="S76" s="114"/>
      <c r="T76" s="114"/>
      <c r="U76" s="114"/>
      <c r="V76" s="116"/>
      <c r="W76" s="116"/>
      <c r="X76" s="116"/>
      <c r="Y76" s="116"/>
      <c r="Z76" s="116"/>
      <c r="AA76" s="116"/>
    </row>
  </sheetData>
  <printOptions horizontalCentered="1"/>
  <pageMargins left="0.25" right="0.25" top="0.7" bottom="0.75" header="0.5" footer="0.5"/>
  <pageSetup scale="60" orientation="landscape" blackAndWhite="1" horizontalDpi="300" verticalDpi="300" r:id="rId1"/>
  <headerFooter alignWithMargins="0">
    <oddFooter>&amp;L&amp;F  &amp;A&amp;C&amp;P&amp;R&amp;D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22"/>
  <sheetViews>
    <sheetView workbookViewId="0">
      <selection activeCell="C22" sqref="C22"/>
    </sheetView>
  </sheetViews>
  <sheetFormatPr defaultRowHeight="15" x14ac:dyDescent="0.25"/>
  <cols>
    <col min="1" max="1" width="37" bestFit="1" customWidth="1"/>
    <col min="2" max="2" width="16.28515625" bestFit="1" customWidth="1"/>
    <col min="3" max="4" width="15.28515625" bestFit="1" customWidth="1"/>
    <col min="5" max="5" width="12.42578125" bestFit="1" customWidth="1"/>
    <col min="6" max="6" width="14" bestFit="1" customWidth="1"/>
    <col min="7" max="7" width="15.28515625" bestFit="1" customWidth="1"/>
  </cols>
  <sheetData>
    <row r="2" spans="1:7" x14ac:dyDescent="0.25">
      <c r="A2" s="45"/>
      <c r="B2" s="46">
        <f>'[3]COC, Def, ConvF'!$H$14</f>
        <v>7.6200000000000004E-2</v>
      </c>
      <c r="C2" s="46">
        <v>7.600000011920148E-2</v>
      </c>
      <c r="D2" s="45"/>
    </row>
    <row r="3" spans="1:7" x14ac:dyDescent="0.25">
      <c r="A3" s="45"/>
      <c r="B3" s="47" t="s">
        <v>119</v>
      </c>
      <c r="C3" s="47" t="s">
        <v>96</v>
      </c>
      <c r="D3" s="47" t="s">
        <v>88</v>
      </c>
    </row>
    <row r="4" spans="1:7" x14ac:dyDescent="0.25">
      <c r="A4" s="50" t="s">
        <v>107</v>
      </c>
      <c r="B4" s="51">
        <v>43465</v>
      </c>
      <c r="C4" s="51">
        <v>42643</v>
      </c>
      <c r="D4" s="51" t="s">
        <v>98</v>
      </c>
      <c r="E4" s="51" t="s">
        <v>99</v>
      </c>
      <c r="F4" s="51" t="s">
        <v>100</v>
      </c>
      <c r="G4" s="51" t="s">
        <v>285</v>
      </c>
    </row>
    <row r="5" spans="1:7" x14ac:dyDescent="0.25">
      <c r="A5" s="45"/>
      <c r="B5" s="45"/>
      <c r="C5" s="45"/>
      <c r="D5" s="45"/>
    </row>
    <row r="6" spans="1:7" x14ac:dyDescent="0.25">
      <c r="A6" s="18" t="s">
        <v>90</v>
      </c>
      <c r="B6" s="45"/>
      <c r="C6" s="45"/>
      <c r="D6" s="45"/>
    </row>
    <row r="7" spans="1:7" x14ac:dyDescent="0.25">
      <c r="A7" s="45" t="s">
        <v>108</v>
      </c>
      <c r="B7" s="72">
        <f>[3]Summary!I53</f>
        <v>10965881739.478994</v>
      </c>
      <c r="C7" s="72">
        <v>9801651058.3894615</v>
      </c>
      <c r="D7" s="54">
        <v>1164230681.0895329</v>
      </c>
    </row>
    <row r="8" spans="1:7" x14ac:dyDescent="0.25">
      <c r="A8" s="45" t="s">
        <v>109</v>
      </c>
      <c r="B8" s="56">
        <f>[3]Summary!I54</f>
        <v>-4430239049.7081385</v>
      </c>
      <c r="C8" s="56">
        <v>-3845713720.5158229</v>
      </c>
      <c r="D8" s="56">
        <v>-584525329.19231558</v>
      </c>
    </row>
    <row r="9" spans="1:7" x14ac:dyDescent="0.25">
      <c r="A9" s="45" t="s">
        <v>110</v>
      </c>
      <c r="B9" s="56">
        <f>[3]Summary!I55</f>
        <v>254905848.40334773</v>
      </c>
      <c r="C9" s="56">
        <v>289481343.15060478</v>
      </c>
      <c r="D9" s="56">
        <v>-34913019.368649215</v>
      </c>
    </row>
    <row r="10" spans="1:7" x14ac:dyDescent="0.25">
      <c r="A10" s="45" t="s">
        <v>111</v>
      </c>
      <c r="B10" s="56">
        <f>[3]Summary!I56</f>
        <v>-1391244894.0998716</v>
      </c>
      <c r="C10" s="56">
        <v>-1245172107.6922143</v>
      </c>
      <c r="D10" s="56">
        <v>-148916451.80381608</v>
      </c>
    </row>
    <row r="11" spans="1:7" x14ac:dyDescent="0.25">
      <c r="A11" s="45" t="s">
        <v>112</v>
      </c>
      <c r="B11" s="56">
        <f>[3]Summary!I57</f>
        <v>137375215.94916266</v>
      </c>
      <c r="C11" s="56">
        <v>246011331.39146316</v>
      </c>
      <c r="D11" s="56">
        <v>-108636115.43569297</v>
      </c>
    </row>
    <row r="12" spans="1:7" x14ac:dyDescent="0.25">
      <c r="A12" s="45" t="s">
        <v>113</v>
      </c>
      <c r="B12" s="56">
        <f>[3]Summary!I58</f>
        <v>-108090779.49447501</v>
      </c>
      <c r="C12" s="56">
        <v>-79723632.787103415</v>
      </c>
      <c r="D12" s="56">
        <v>-28367146.707371593</v>
      </c>
    </row>
    <row r="13" spans="1:7" ht="15.75" thickBot="1" x14ac:dyDescent="0.3">
      <c r="A13" s="45" t="s">
        <v>114</v>
      </c>
      <c r="B13" s="74">
        <f>SUM(B7:B12)</f>
        <v>5428588080.5290194</v>
      </c>
      <c r="C13" s="74">
        <f>SUM(C7:C12)</f>
        <v>5166534271.936389</v>
      </c>
      <c r="D13" s="74">
        <f>SUM(D7:D12)</f>
        <v>258872618.58168739</v>
      </c>
      <c r="E13" s="31">
        <f>+D13*C2</f>
        <v>19674319.043066241</v>
      </c>
      <c r="F13" s="192">
        <f>+(B2-C2)*D13</f>
        <v>51774.492858339174</v>
      </c>
      <c r="G13" s="193">
        <f>+E13+F13</f>
        <v>19726093.53592458</v>
      </c>
    </row>
    <row r="14" spans="1:7" ht="15.75" thickTop="1" x14ac:dyDescent="0.25">
      <c r="A14" s="45"/>
      <c r="B14" s="69"/>
      <c r="C14" s="69"/>
      <c r="D14" s="45"/>
    </row>
    <row r="15" spans="1:7" x14ac:dyDescent="0.25">
      <c r="A15" s="18" t="s">
        <v>95</v>
      </c>
      <c r="B15" s="45"/>
      <c r="C15" s="45"/>
      <c r="D15" s="45"/>
    </row>
    <row r="16" spans="1:7" x14ac:dyDescent="0.25">
      <c r="A16" s="45" t="s">
        <v>115</v>
      </c>
      <c r="B16" s="75">
        <f>[4]Summary!I51</f>
        <v>4329775326.8504925</v>
      </c>
      <c r="C16" s="75">
        <v>3584727602.3317013</v>
      </c>
      <c r="D16" s="54">
        <v>745050713.81013775</v>
      </c>
    </row>
    <row r="17" spans="1:7" x14ac:dyDescent="0.25">
      <c r="A17" s="45" t="s">
        <v>116</v>
      </c>
      <c r="B17" s="62">
        <f>[4]Summary!I52</f>
        <v>-1650386813.5120428</v>
      </c>
      <c r="C17" s="62">
        <v>-1360298497.686322</v>
      </c>
      <c r="D17" s="56">
        <v>-290090220.73785233</v>
      </c>
    </row>
    <row r="18" spans="1:7" x14ac:dyDescent="0.25">
      <c r="A18" s="45" t="s">
        <v>117</v>
      </c>
      <c r="B18" s="62">
        <f>[4]Summary!I53</f>
        <v>-601828300.28014243</v>
      </c>
      <c r="C18" s="62">
        <v>-511214275.71564537</v>
      </c>
      <c r="D18" s="56">
        <v>-90858958.205867112</v>
      </c>
    </row>
    <row r="19" spans="1:7" x14ac:dyDescent="0.25">
      <c r="A19" s="45" t="s">
        <v>118</v>
      </c>
      <c r="B19" s="62">
        <f>[4]Summary!I54</f>
        <v>-18443372.966716439</v>
      </c>
      <c r="C19" s="62">
        <v>-30161803</v>
      </c>
      <c r="D19" s="56">
        <v>11728517.954667307</v>
      </c>
    </row>
    <row r="20" spans="1:7" x14ac:dyDescent="0.25">
      <c r="A20" s="45" t="s">
        <v>112</v>
      </c>
      <c r="B20" s="62">
        <f>[4]Summary!I55</f>
        <v>53555825.759281471</v>
      </c>
      <c r="C20" s="62">
        <v>82383952.955197617</v>
      </c>
      <c r="D20" s="56">
        <v>-28828127.193291239</v>
      </c>
    </row>
    <row r="21" spans="1:7" ht="15.75" thickBot="1" x14ac:dyDescent="0.3">
      <c r="A21" s="45" t="s">
        <v>114</v>
      </c>
      <c r="B21" s="74">
        <f>SUM(B15:B20)</f>
        <v>2112672665.850872</v>
      </c>
      <c r="C21" s="74">
        <f>SUM(C15:C20)</f>
        <v>1765436978.8849313</v>
      </c>
      <c r="D21" s="74">
        <f>SUM(D15:D20)</f>
        <v>347001925.62779438</v>
      </c>
      <c r="E21" s="31">
        <f>+D21*C2</f>
        <v>26372146.389075518</v>
      </c>
      <c r="F21" s="192">
        <f>+(B2-C2)*D21</f>
        <v>69400.343762417062</v>
      </c>
      <c r="G21" s="193">
        <f>+E21+F21</f>
        <v>26441546.732837934</v>
      </c>
    </row>
    <row r="22" spans="1:7" ht="15.75" thickTop="1" x14ac:dyDescent="0.25">
      <c r="A22" s="45"/>
      <c r="B22" s="69"/>
      <c r="C22" s="69"/>
      <c r="D22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8"/>
  <sheetViews>
    <sheetView workbookViewId="0">
      <selection activeCell="C22" sqref="C22"/>
    </sheetView>
  </sheetViews>
  <sheetFormatPr defaultRowHeight="15" x14ac:dyDescent="0.25"/>
  <cols>
    <col min="1" max="1" width="12.42578125" bestFit="1" customWidth="1"/>
    <col min="2" max="3" width="12.5703125" bestFit="1" customWidth="1"/>
    <col min="4" max="4" width="12.85546875" bestFit="1" customWidth="1"/>
    <col min="6" max="7" width="12.5703125" bestFit="1" customWidth="1"/>
    <col min="8" max="8" width="11.5703125" bestFit="1" customWidth="1"/>
  </cols>
  <sheetData>
    <row r="2" spans="1:8" x14ac:dyDescent="0.25">
      <c r="B2" s="194" t="s">
        <v>137</v>
      </c>
      <c r="C2" s="195"/>
      <c r="D2" s="195"/>
      <c r="F2" s="194" t="s">
        <v>138</v>
      </c>
      <c r="G2" s="195"/>
      <c r="H2" s="104"/>
    </row>
    <row r="3" spans="1:8" x14ac:dyDescent="0.25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8" x14ac:dyDescent="0.25">
      <c r="A5" s="26" t="s">
        <v>65</v>
      </c>
      <c r="B5" s="5">
        <f>[3]Summary!$I$36</f>
        <v>346798358.68028539</v>
      </c>
      <c r="C5" s="5">
        <v>321359285.25530386</v>
      </c>
      <c r="D5" s="105">
        <v>41128935.483063817</v>
      </c>
      <c r="E5" s="5"/>
      <c r="F5" s="5">
        <f>[4]Summary!$I$34</f>
        <v>121820205.37902662</v>
      </c>
      <c r="G5" s="5">
        <v>101800267.90256016</v>
      </c>
      <c r="H5" s="5">
        <v>28198995.942017317</v>
      </c>
    </row>
    <row r="6" spans="1:8" x14ac:dyDescent="0.25">
      <c r="A6" s="26" t="s">
        <v>66</v>
      </c>
      <c r="B6" s="5">
        <f>[3]Summary!$I$37</f>
        <v>94343659.774467438</v>
      </c>
      <c r="C6" s="5">
        <v>48454182.193165764</v>
      </c>
      <c r="D6" s="105">
        <v>30190219.883463711</v>
      </c>
      <c r="E6" s="5"/>
      <c r="F6" s="5">
        <f>[4]Summary!$I$35</f>
        <v>37336985.997634605</v>
      </c>
      <c r="G6" s="5">
        <v>11657750.373275291</v>
      </c>
      <c r="H6" s="5">
        <v>17498615.532197326</v>
      </c>
    </row>
    <row r="7" spans="1:8" ht="15.75" thickBot="1" x14ac:dyDescent="0.3">
      <c r="B7" s="196">
        <f>SUM(B5:B6)</f>
        <v>441142018.4547528</v>
      </c>
      <c r="C7" s="196">
        <f t="shared" ref="C7:D7" si="0">SUM(C5:C6)</f>
        <v>369813467.44846964</v>
      </c>
      <c r="D7" s="196">
        <f t="shared" si="0"/>
        <v>71319155.366527528</v>
      </c>
      <c r="F7" s="196">
        <f>SUM(F5:F6)</f>
        <v>159157191.37666124</v>
      </c>
      <c r="G7" s="196">
        <f t="shared" ref="G7" si="1">SUM(G5:G6)</f>
        <v>113458018.27583545</v>
      </c>
      <c r="H7" s="196">
        <f t="shared" ref="H7" si="2">SUM(H5:H6)</f>
        <v>45697611.474214643</v>
      </c>
    </row>
    <row r="8" spans="1:8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15"/>
  <sheetViews>
    <sheetView workbookViewId="0">
      <selection activeCell="C22" sqref="C22"/>
    </sheetView>
  </sheetViews>
  <sheetFormatPr defaultRowHeight="15" x14ac:dyDescent="0.25"/>
  <cols>
    <col min="1" max="1" width="66" bestFit="1" customWidth="1"/>
    <col min="2" max="3" width="12.5703125" bestFit="1" customWidth="1"/>
    <col min="4" max="4" width="14" bestFit="1" customWidth="1"/>
    <col min="6" max="7" width="12.5703125" bestFit="1" customWidth="1"/>
    <col min="8" max="8" width="11.5703125" bestFit="1" customWidth="1"/>
  </cols>
  <sheetData>
    <row r="2" spans="1:9" x14ac:dyDescent="0.25">
      <c r="B2" s="194" t="s">
        <v>137</v>
      </c>
      <c r="C2" s="195"/>
      <c r="D2" s="195"/>
      <c r="F2" s="194" t="s">
        <v>138</v>
      </c>
      <c r="G2" s="195"/>
      <c r="H2" s="104"/>
    </row>
    <row r="3" spans="1:9" x14ac:dyDescent="0.25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9" x14ac:dyDescent="0.25">
      <c r="A5" s="26" t="s">
        <v>68</v>
      </c>
      <c r="B5" s="5">
        <f>[3]Summary!$I$39</f>
        <v>16774566.453813115</v>
      </c>
      <c r="C5" s="5">
        <v>6441008.8884076755</v>
      </c>
      <c r="D5" s="105">
        <v>10334346.685638141</v>
      </c>
      <c r="E5" s="197"/>
      <c r="F5" s="5">
        <v>15145083.566828702</v>
      </c>
      <c r="G5" s="5">
        <v>8533977.2135456186</v>
      </c>
      <c r="H5" s="5">
        <v>6611106.3532830831</v>
      </c>
      <c r="I5" s="197"/>
    </row>
    <row r="6" spans="1:9" ht="15.75" thickBot="1" x14ac:dyDescent="0.3">
      <c r="B6" s="196">
        <f>SUM(B5:B5)</f>
        <v>16774566.453813115</v>
      </c>
      <c r="C6" s="196">
        <f>SUM(C5:C5)</f>
        <v>6441008.8884076755</v>
      </c>
      <c r="D6" s="196">
        <f>SUM(D5:D5)</f>
        <v>10334346.685638141</v>
      </c>
      <c r="F6" s="196">
        <f>SUM(F5:F5)</f>
        <v>15145083.566828702</v>
      </c>
      <c r="G6" s="196">
        <f>SUM(G5:G5)</f>
        <v>8533977.2135456186</v>
      </c>
      <c r="H6" s="196">
        <f>SUM(H5:H5)</f>
        <v>6611106.3532830831</v>
      </c>
    </row>
    <row r="7" spans="1:9" ht="15.75" thickTop="1" x14ac:dyDescent="0.25"/>
    <row r="8" spans="1:9" x14ac:dyDescent="0.25">
      <c r="A8" s="198" t="s">
        <v>289</v>
      </c>
      <c r="D8" s="38">
        <f>+D6</f>
        <v>10334346.685638141</v>
      </c>
      <c r="H8" s="38">
        <f>+H6</f>
        <v>6611106.3532830831</v>
      </c>
    </row>
    <row r="9" spans="1:9" x14ac:dyDescent="0.25">
      <c r="A9" s="198"/>
      <c r="D9" s="38"/>
    </row>
    <row r="10" spans="1:9" x14ac:dyDescent="0.25">
      <c r="A10" s="199" t="s">
        <v>286</v>
      </c>
      <c r="D10" s="81">
        <f>+'[3]Common Adj'!$FT$31</f>
        <v>1100394.6870659131</v>
      </c>
      <c r="H10" s="81">
        <f>+'[4]Common Adj'!$FU$31</f>
        <v>390538.48325363314</v>
      </c>
    </row>
    <row r="11" spans="1:9" x14ac:dyDescent="0.25">
      <c r="A11" s="199" t="s">
        <v>287</v>
      </c>
      <c r="D11" s="81">
        <f>+'[3]Common Adj'!$FT$32</f>
        <v>3768050.4009562861</v>
      </c>
      <c r="H11" s="81">
        <f>+'[4]Common Adj'!$FU$32</f>
        <v>1675353.5831628193</v>
      </c>
    </row>
    <row r="12" spans="1:9" x14ac:dyDescent="0.25">
      <c r="A12" s="199" t="s">
        <v>288</v>
      </c>
      <c r="D12" s="81">
        <f>+'[3]Common Adj'!$GJ$31</f>
        <v>6740783.0967938304</v>
      </c>
      <c r="H12" s="81">
        <f>+'[4]Common Adj'!$GK$31</f>
        <v>3443207.0781477471</v>
      </c>
    </row>
    <row r="13" spans="1:9" x14ac:dyDescent="0.25">
      <c r="A13" s="199" t="s">
        <v>113</v>
      </c>
      <c r="D13" s="38">
        <f>+D8-SUM(D10:D12)</f>
        <v>-1274881.499177888</v>
      </c>
      <c r="H13" s="38">
        <f>+H8-SUM(H10:H12)</f>
        <v>1102007.2087188838</v>
      </c>
    </row>
    <row r="14" spans="1:9" ht="15.75" thickBot="1" x14ac:dyDescent="0.3">
      <c r="D14" s="200">
        <f>SUM(D10:D13)</f>
        <v>10334346.685638141</v>
      </c>
      <c r="H14" s="200">
        <f>SUM(H10:H13)</f>
        <v>6611106.3532830831</v>
      </c>
    </row>
    <row r="15" spans="1:9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22"/>
  <sheetViews>
    <sheetView workbookViewId="0">
      <selection activeCell="C22" sqref="C22"/>
    </sheetView>
  </sheetViews>
  <sheetFormatPr defaultRowHeight="12.75" x14ac:dyDescent="0.25"/>
  <cols>
    <col min="1" max="1" width="18.5703125" style="134" bestFit="1" customWidth="1"/>
    <col min="2" max="3" width="14" style="134" bestFit="1" customWidth="1"/>
    <col min="4" max="4" width="14.5703125" style="134" bestFit="1" customWidth="1"/>
    <col min="5" max="16384" width="9.140625" style="134"/>
  </cols>
  <sheetData>
    <row r="3" spans="1:4" x14ac:dyDescent="0.25">
      <c r="A3" s="134" t="s">
        <v>299</v>
      </c>
      <c r="B3" s="207" t="s">
        <v>143</v>
      </c>
      <c r="C3" s="207" t="s">
        <v>96</v>
      </c>
      <c r="D3" s="207" t="s">
        <v>44</v>
      </c>
    </row>
    <row r="4" spans="1:4" ht="15" x14ac:dyDescent="0.25">
      <c r="A4" s="134" t="s">
        <v>291</v>
      </c>
      <c r="B4" s="201">
        <f>+'Amort of Gain Loss'!B69</f>
        <v>25322916</v>
      </c>
      <c r="C4" s="201">
        <f>+'Amort of Gain Loss'!I69</f>
        <v>15477396</v>
      </c>
      <c r="D4" s="201">
        <f>+B4-C4</f>
        <v>9845520</v>
      </c>
    </row>
    <row r="5" spans="1:4" ht="15" x14ac:dyDescent="0.25">
      <c r="A5" s="134" t="s">
        <v>298</v>
      </c>
      <c r="B5" s="201">
        <f>+'Amort of Gain Loss'!B70</f>
        <v>6535937.1999999993</v>
      </c>
      <c r="C5" s="201">
        <f>+'Amort of Gain Loss'!I70</f>
        <v>1494702</v>
      </c>
      <c r="D5" s="201">
        <f>+B5-C5</f>
        <v>5041235.1999999993</v>
      </c>
    </row>
    <row r="6" spans="1:4" ht="15" x14ac:dyDescent="0.25">
      <c r="A6" s="134" t="s">
        <v>297</v>
      </c>
      <c r="B6" s="201">
        <f>+'Amort of Gain Loss'!B71</f>
        <v>3503682.84</v>
      </c>
      <c r="C6" s="201">
        <f>+'Amort of Gain Loss'!I71</f>
        <v>3391500</v>
      </c>
      <c r="D6" s="201">
        <f>+B6-C6</f>
        <v>112182.83999999985</v>
      </c>
    </row>
    <row r="7" spans="1:4" ht="15" x14ac:dyDescent="0.25">
      <c r="A7" s="134" t="s">
        <v>113</v>
      </c>
      <c r="B7" s="201">
        <f>+'Amort of Gain Loss'!B72</f>
        <v>282625</v>
      </c>
      <c r="C7" s="201">
        <f>+'Amort of Gain Loss'!I72</f>
        <v>241268.15999999995</v>
      </c>
      <c r="D7" s="201">
        <f>+B7-C7</f>
        <v>41356.840000000055</v>
      </c>
    </row>
    <row r="8" spans="1:4" ht="15" x14ac:dyDescent="0.25">
      <c r="A8" s="134" t="s">
        <v>296</v>
      </c>
      <c r="B8" s="206">
        <f>SUM(B4:B7)</f>
        <v>35645161.039999999</v>
      </c>
      <c r="C8" s="206">
        <f>SUM(C4:C7)</f>
        <v>20604866.16</v>
      </c>
      <c r="D8" s="206">
        <f>SUM(D4:D7)</f>
        <v>15040294.879999999</v>
      </c>
    </row>
    <row r="9" spans="1:4" ht="15" x14ac:dyDescent="0.25">
      <c r="B9" s="201"/>
      <c r="C9" s="201"/>
      <c r="D9" s="201"/>
    </row>
    <row r="10" spans="1:4" ht="15" x14ac:dyDescent="0.25">
      <c r="B10" s="201"/>
      <c r="C10" s="201"/>
      <c r="D10" s="201"/>
    </row>
    <row r="11" spans="1:4" ht="15" x14ac:dyDescent="0.25">
      <c r="A11" s="134" t="s">
        <v>295</v>
      </c>
      <c r="B11" s="201">
        <f>+'[3]Detailed Summary'!$BC$38</f>
        <v>13521271.800000004</v>
      </c>
      <c r="C11" s="201">
        <v>9845524.0599999987</v>
      </c>
      <c r="D11" s="201">
        <f>+B11-C11</f>
        <v>3675747.7400000058</v>
      </c>
    </row>
    <row r="12" spans="1:4" ht="15" x14ac:dyDescent="0.25">
      <c r="A12" s="134" t="s">
        <v>294</v>
      </c>
      <c r="B12" s="201">
        <f>+'[3]Detailed Summary'!$BD$38</f>
        <v>-6016033.5165937655</v>
      </c>
      <c r="C12" s="201">
        <v>4817670.7257102719</v>
      </c>
      <c r="D12" s="201">
        <f>+B12-C12</f>
        <v>-10833704.242304038</v>
      </c>
    </row>
    <row r="13" spans="1:4" ht="15" x14ac:dyDescent="0.25">
      <c r="A13" s="134" t="s">
        <v>293</v>
      </c>
      <c r="B13" s="206">
        <f>SUM(B11:B12)</f>
        <v>7505238.283406239</v>
      </c>
      <c r="C13" s="206">
        <f>SUM(C11:C12)</f>
        <v>14663194.785710271</v>
      </c>
      <c r="D13" s="206">
        <f>SUM(D11:D12)</f>
        <v>-7157956.5023040324</v>
      </c>
    </row>
    <row r="14" spans="1:4" ht="15" x14ac:dyDescent="0.25">
      <c r="B14" s="201"/>
      <c r="C14" s="201"/>
      <c r="D14" s="201"/>
    </row>
    <row r="15" spans="1:4" ht="15" x14ac:dyDescent="0.25">
      <c r="A15" s="205" t="s">
        <v>292</v>
      </c>
      <c r="B15" s="201"/>
      <c r="C15" s="201"/>
      <c r="D15" s="201"/>
    </row>
    <row r="16" spans="1:4" ht="15" x14ac:dyDescent="0.25">
      <c r="A16" s="203" t="s">
        <v>291</v>
      </c>
      <c r="B16" s="204">
        <f>SUM(B4,B11)</f>
        <v>38844187.800000004</v>
      </c>
      <c r="C16" s="204">
        <f>SUM(C4,C11)</f>
        <v>25322920.059999999</v>
      </c>
      <c r="D16" s="204">
        <f>SUM(D4,D11)</f>
        <v>13521267.740000006</v>
      </c>
    </row>
    <row r="17" spans="1:4" ht="15" x14ac:dyDescent="0.25">
      <c r="A17" s="203" t="s">
        <v>290</v>
      </c>
      <c r="B17" s="204">
        <f>SUM(B5:B7,B12)</f>
        <v>4306211.5234062336</v>
      </c>
      <c r="C17" s="204">
        <f>SUM(C5:C7,C12)</f>
        <v>9945140.8857102729</v>
      </c>
      <c r="D17" s="204">
        <f>SUM(D5:D7,D12)</f>
        <v>-5638929.3623040393</v>
      </c>
    </row>
    <row r="18" spans="1:4" ht="15.75" thickBot="1" x14ac:dyDescent="0.3">
      <c r="A18" s="203"/>
      <c r="B18" s="202">
        <f>SUM(B16:B17)</f>
        <v>43150399.323406234</v>
      </c>
      <c r="C18" s="202">
        <f>SUM(C16:C17)</f>
        <v>35268060.945710272</v>
      </c>
      <c r="D18" s="202">
        <f>SUM(D16:D17)</f>
        <v>7882338.3776959665</v>
      </c>
    </row>
    <row r="19" spans="1:4" ht="15.75" thickTop="1" x14ac:dyDescent="0.25">
      <c r="B19" s="201"/>
      <c r="C19" s="201"/>
      <c r="D19" s="201"/>
    </row>
    <row r="20" spans="1:4" ht="15" x14ac:dyDescent="0.25">
      <c r="B20" s="201"/>
      <c r="C20" s="201"/>
      <c r="D20" s="201"/>
    </row>
    <row r="21" spans="1:4" ht="15" x14ac:dyDescent="0.25">
      <c r="B21" s="201"/>
      <c r="C21" s="201"/>
      <c r="D21" s="201"/>
    </row>
    <row r="22" spans="1:4" ht="15" x14ac:dyDescent="0.25">
      <c r="B22" s="201"/>
      <c r="C22" s="201"/>
      <c r="D22" s="20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pane ySplit="3" topLeftCell="A41" activePane="bottomLeft" state="frozen"/>
      <selection activeCell="C22" sqref="C22"/>
      <selection pane="bottomLeft" activeCell="C22" sqref="C22"/>
    </sheetView>
  </sheetViews>
  <sheetFormatPr defaultRowHeight="12.75" x14ac:dyDescent="0.25"/>
  <cols>
    <col min="1" max="1" width="10" style="134" bestFit="1" customWidth="1"/>
    <col min="2" max="2" width="17" style="134" bestFit="1" customWidth="1"/>
    <col min="3" max="3" width="22" style="134" bestFit="1" customWidth="1"/>
    <col min="4" max="4" width="28" style="134" bestFit="1" customWidth="1"/>
    <col min="5" max="5" width="38" style="134" bestFit="1" customWidth="1"/>
    <col min="6" max="6" width="8" style="134" bestFit="1" customWidth="1"/>
    <col min="7" max="7" width="9.140625" style="134"/>
    <col min="8" max="8" width="10" style="134" bestFit="1" customWidth="1"/>
    <col min="9" max="9" width="17" style="134" bestFit="1" customWidth="1"/>
    <col min="10" max="10" width="22" style="134" bestFit="1" customWidth="1"/>
    <col min="11" max="11" width="28" style="134" bestFit="1" customWidth="1"/>
    <col min="12" max="12" width="45" style="134" bestFit="1" customWidth="1"/>
    <col min="13" max="13" width="8" style="134" bestFit="1" customWidth="1"/>
    <col min="14" max="16384" width="9.140625" style="134"/>
  </cols>
  <sheetData>
    <row r="1" spans="1:13" ht="23.25" x14ac:dyDescent="0.25">
      <c r="A1" s="221" t="s">
        <v>143</v>
      </c>
      <c r="H1" s="221" t="s">
        <v>301</v>
      </c>
    </row>
    <row r="3" spans="1:13" x14ac:dyDescent="0.25">
      <c r="A3" s="220" t="s">
        <v>347</v>
      </c>
      <c r="B3" s="220" t="s">
        <v>346</v>
      </c>
      <c r="C3" s="220" t="s">
        <v>345</v>
      </c>
      <c r="D3" s="220" t="s">
        <v>344</v>
      </c>
      <c r="E3" s="220" t="s">
        <v>343</v>
      </c>
      <c r="F3" s="220" t="s">
        <v>342</v>
      </c>
      <c r="H3" s="220" t="s">
        <v>347</v>
      </c>
      <c r="I3" s="220" t="s">
        <v>346</v>
      </c>
      <c r="J3" s="220" t="s">
        <v>345</v>
      </c>
      <c r="K3" s="220" t="s">
        <v>344</v>
      </c>
      <c r="L3" s="220" t="s">
        <v>343</v>
      </c>
      <c r="M3" s="220" t="s">
        <v>342</v>
      </c>
    </row>
    <row r="4" spans="1:13" x14ac:dyDescent="0.25">
      <c r="A4" s="134" t="s">
        <v>326</v>
      </c>
      <c r="B4" s="217">
        <v>282625</v>
      </c>
      <c r="C4" s="134" t="s">
        <v>329</v>
      </c>
      <c r="D4" s="134" t="s">
        <v>328</v>
      </c>
      <c r="E4" s="134" t="s">
        <v>330</v>
      </c>
      <c r="F4" s="134" t="s">
        <v>314</v>
      </c>
      <c r="H4" s="134" t="s">
        <v>341</v>
      </c>
      <c r="I4" s="218">
        <v>663278</v>
      </c>
      <c r="J4" s="134" t="s">
        <v>305</v>
      </c>
      <c r="K4" s="134" t="s">
        <v>340</v>
      </c>
      <c r="L4" s="134" t="s">
        <v>339</v>
      </c>
      <c r="M4" s="134" t="s">
        <v>320</v>
      </c>
    </row>
    <row r="6" spans="1:13" x14ac:dyDescent="0.25">
      <c r="A6" s="134" t="s">
        <v>325</v>
      </c>
      <c r="B6" s="218">
        <v>755115</v>
      </c>
      <c r="C6" s="134" t="s">
        <v>305</v>
      </c>
      <c r="D6" s="134" t="s">
        <v>338</v>
      </c>
      <c r="E6" s="134" t="s">
        <v>337</v>
      </c>
      <c r="F6" s="134" t="s">
        <v>314</v>
      </c>
      <c r="H6" s="134" t="s">
        <v>341</v>
      </c>
      <c r="I6" s="218">
        <v>663278</v>
      </c>
      <c r="J6" s="134" t="s">
        <v>305</v>
      </c>
      <c r="K6" s="134" t="s">
        <v>340</v>
      </c>
      <c r="L6" s="134" t="s">
        <v>339</v>
      </c>
      <c r="M6" s="134" t="s">
        <v>316</v>
      </c>
    </row>
    <row r="7" spans="1:13" x14ac:dyDescent="0.25">
      <c r="A7" s="134" t="s">
        <v>306</v>
      </c>
      <c r="B7" s="218">
        <v>755115</v>
      </c>
      <c r="C7" s="134" t="s">
        <v>305</v>
      </c>
      <c r="D7" s="134" t="s">
        <v>338</v>
      </c>
      <c r="E7" s="134" t="s">
        <v>337</v>
      </c>
      <c r="F7" s="134" t="s">
        <v>313</v>
      </c>
      <c r="H7" s="134" t="s">
        <v>341</v>
      </c>
      <c r="I7" s="218">
        <v>663278</v>
      </c>
      <c r="J7" s="134" t="s">
        <v>305</v>
      </c>
      <c r="K7" s="134" t="s">
        <v>340</v>
      </c>
      <c r="L7" s="134" t="s">
        <v>339</v>
      </c>
      <c r="M7" s="134" t="s">
        <v>315</v>
      </c>
    </row>
    <row r="8" spans="1:13" x14ac:dyDescent="0.25">
      <c r="A8" s="134" t="s">
        <v>326</v>
      </c>
      <c r="B8" s="218">
        <v>755115</v>
      </c>
      <c r="C8" s="134" t="s">
        <v>305</v>
      </c>
      <c r="D8" s="134" t="s">
        <v>338</v>
      </c>
      <c r="E8" s="134" t="s">
        <v>337</v>
      </c>
      <c r="F8" s="134" t="s">
        <v>312</v>
      </c>
      <c r="H8" s="134" t="s">
        <v>341</v>
      </c>
      <c r="I8" s="218">
        <v>663278</v>
      </c>
      <c r="J8" s="134" t="s">
        <v>305</v>
      </c>
      <c r="K8" s="134" t="s">
        <v>340</v>
      </c>
      <c r="L8" s="134" t="s">
        <v>339</v>
      </c>
      <c r="M8" s="134" t="s">
        <v>314</v>
      </c>
    </row>
    <row r="9" spans="1:13" x14ac:dyDescent="0.25">
      <c r="A9" s="134" t="s">
        <v>319</v>
      </c>
      <c r="B9" s="218">
        <v>755115</v>
      </c>
      <c r="C9" s="134" t="s">
        <v>305</v>
      </c>
      <c r="D9" s="134" t="s">
        <v>338</v>
      </c>
      <c r="E9" s="134" t="s">
        <v>337</v>
      </c>
      <c r="F9" s="134" t="s">
        <v>311</v>
      </c>
      <c r="H9" s="134" t="s">
        <v>341</v>
      </c>
      <c r="I9" s="218">
        <v>663278</v>
      </c>
      <c r="J9" s="134" t="s">
        <v>305</v>
      </c>
      <c r="K9" s="134" t="s">
        <v>340</v>
      </c>
      <c r="L9" s="134" t="s">
        <v>339</v>
      </c>
      <c r="M9" s="134" t="s">
        <v>313</v>
      </c>
    </row>
    <row r="10" spans="1:13" x14ac:dyDescent="0.25">
      <c r="A10" s="134" t="s">
        <v>325</v>
      </c>
      <c r="B10" s="218">
        <v>755115</v>
      </c>
      <c r="C10" s="134" t="s">
        <v>305</v>
      </c>
      <c r="D10" s="134" t="s">
        <v>338</v>
      </c>
      <c r="E10" s="134" t="s">
        <v>337</v>
      </c>
      <c r="F10" s="134" t="s">
        <v>310</v>
      </c>
      <c r="H10" s="134" t="s">
        <v>341</v>
      </c>
      <c r="I10" s="218">
        <v>663278</v>
      </c>
      <c r="J10" s="134" t="s">
        <v>305</v>
      </c>
      <c r="K10" s="134" t="s">
        <v>340</v>
      </c>
      <c r="L10" s="134" t="s">
        <v>339</v>
      </c>
      <c r="M10" s="134" t="s">
        <v>312</v>
      </c>
    </row>
    <row r="11" spans="1:13" x14ac:dyDescent="0.25">
      <c r="A11" s="134" t="s">
        <v>306</v>
      </c>
      <c r="B11" s="218">
        <v>755115</v>
      </c>
      <c r="C11" s="134" t="s">
        <v>305</v>
      </c>
      <c r="D11" s="134" t="s">
        <v>338</v>
      </c>
      <c r="E11" s="134" t="s">
        <v>337</v>
      </c>
      <c r="F11" s="134" t="s">
        <v>309</v>
      </c>
      <c r="H11" s="134" t="s">
        <v>341</v>
      </c>
      <c r="I11" s="218">
        <v>663278</v>
      </c>
      <c r="J11" s="134" t="s">
        <v>305</v>
      </c>
      <c r="K11" s="134" t="s">
        <v>340</v>
      </c>
      <c r="L11" s="134" t="s">
        <v>339</v>
      </c>
      <c r="M11" s="134" t="s">
        <v>311</v>
      </c>
    </row>
    <row r="12" spans="1:13" x14ac:dyDescent="0.25">
      <c r="A12" s="134" t="s">
        <v>326</v>
      </c>
      <c r="B12" s="218">
        <v>755115</v>
      </c>
      <c r="C12" s="134" t="s">
        <v>305</v>
      </c>
      <c r="D12" s="134" t="s">
        <v>338</v>
      </c>
      <c r="E12" s="134" t="s">
        <v>337</v>
      </c>
      <c r="F12" s="134" t="s">
        <v>308</v>
      </c>
      <c r="H12" s="134" t="s">
        <v>341</v>
      </c>
      <c r="I12" s="218">
        <v>663278</v>
      </c>
      <c r="J12" s="134" t="s">
        <v>305</v>
      </c>
      <c r="K12" s="134" t="s">
        <v>340</v>
      </c>
      <c r="L12" s="134" t="s">
        <v>339</v>
      </c>
      <c r="M12" s="134" t="s">
        <v>310</v>
      </c>
    </row>
    <row r="13" spans="1:13" x14ac:dyDescent="0.25">
      <c r="A13" s="134" t="s">
        <v>319</v>
      </c>
      <c r="B13" s="218">
        <v>755115</v>
      </c>
      <c r="C13" s="134" t="s">
        <v>305</v>
      </c>
      <c r="D13" s="134" t="s">
        <v>338</v>
      </c>
      <c r="E13" s="134" t="s">
        <v>337</v>
      </c>
      <c r="F13" s="134" t="s">
        <v>307</v>
      </c>
      <c r="H13" s="134" t="s">
        <v>341</v>
      </c>
      <c r="I13" s="218">
        <v>663278</v>
      </c>
      <c r="J13" s="134" t="s">
        <v>305</v>
      </c>
      <c r="K13" s="134" t="s">
        <v>340</v>
      </c>
      <c r="L13" s="134" t="s">
        <v>339</v>
      </c>
      <c r="M13" s="134" t="s">
        <v>309</v>
      </c>
    </row>
    <row r="14" spans="1:13" x14ac:dyDescent="0.25">
      <c r="A14" s="134" t="s">
        <v>325</v>
      </c>
      <c r="B14" s="218">
        <v>755115</v>
      </c>
      <c r="C14" s="134" t="s">
        <v>305</v>
      </c>
      <c r="D14" s="134" t="s">
        <v>338</v>
      </c>
      <c r="E14" s="134" t="s">
        <v>337</v>
      </c>
      <c r="F14" s="134" t="s">
        <v>303</v>
      </c>
      <c r="H14" s="134" t="s">
        <v>341</v>
      </c>
      <c r="I14" s="218">
        <v>663278</v>
      </c>
      <c r="J14" s="134" t="s">
        <v>305</v>
      </c>
      <c r="K14" s="134" t="s">
        <v>340</v>
      </c>
      <c r="L14" s="134" t="s">
        <v>339</v>
      </c>
      <c r="M14" s="134" t="s">
        <v>308</v>
      </c>
    </row>
    <row r="15" spans="1:13" x14ac:dyDescent="0.25">
      <c r="A15" s="134" t="s">
        <v>306</v>
      </c>
      <c r="B15" s="218">
        <v>755115</v>
      </c>
      <c r="C15" s="134" t="s">
        <v>305</v>
      </c>
      <c r="D15" s="134" t="s">
        <v>338</v>
      </c>
      <c r="E15" s="134" t="s">
        <v>337</v>
      </c>
      <c r="F15" s="134" t="s">
        <v>320</v>
      </c>
      <c r="H15" s="134" t="s">
        <v>341</v>
      </c>
      <c r="I15" s="218">
        <v>663278</v>
      </c>
      <c r="J15" s="134" t="s">
        <v>305</v>
      </c>
      <c r="K15" s="134" t="s">
        <v>340</v>
      </c>
      <c r="L15" s="134" t="s">
        <v>339</v>
      </c>
      <c r="M15" s="134" t="s">
        <v>307</v>
      </c>
    </row>
    <row r="16" spans="1:13" x14ac:dyDescent="0.25">
      <c r="A16" s="134" t="s">
        <v>326</v>
      </c>
      <c r="B16" s="218">
        <v>755115</v>
      </c>
      <c r="C16" s="134" t="s">
        <v>305</v>
      </c>
      <c r="D16" s="134" t="s">
        <v>338</v>
      </c>
      <c r="E16" s="134" t="s">
        <v>337</v>
      </c>
      <c r="F16" s="134" t="s">
        <v>316</v>
      </c>
      <c r="H16" s="134" t="s">
        <v>341</v>
      </c>
      <c r="I16" s="218">
        <v>663278</v>
      </c>
      <c r="J16" s="134" t="s">
        <v>305</v>
      </c>
      <c r="K16" s="134" t="s">
        <v>340</v>
      </c>
      <c r="L16" s="134" t="s">
        <v>339</v>
      </c>
      <c r="M16" s="134" t="s">
        <v>303</v>
      </c>
    </row>
    <row r="17" spans="1:13" x14ac:dyDescent="0.25">
      <c r="A17" s="134" t="s">
        <v>319</v>
      </c>
      <c r="B17" s="218">
        <v>755115</v>
      </c>
      <c r="C17" s="134" t="s">
        <v>305</v>
      </c>
      <c r="D17" s="134" t="s">
        <v>338</v>
      </c>
      <c r="E17" s="134" t="s">
        <v>337</v>
      </c>
      <c r="F17" s="134" t="s">
        <v>315</v>
      </c>
      <c r="H17" s="134" t="s">
        <v>335</v>
      </c>
      <c r="I17" s="218">
        <v>626505</v>
      </c>
      <c r="J17" s="134" t="s">
        <v>305</v>
      </c>
      <c r="K17" s="134" t="s">
        <v>334</v>
      </c>
      <c r="L17" s="134" t="s">
        <v>333</v>
      </c>
      <c r="M17" s="134" t="s">
        <v>320</v>
      </c>
    </row>
    <row r="18" spans="1:13" x14ac:dyDescent="0.25">
      <c r="A18" s="134" t="s">
        <v>325</v>
      </c>
      <c r="B18" s="219">
        <v>282625</v>
      </c>
      <c r="C18" s="134" t="s">
        <v>329</v>
      </c>
      <c r="D18" s="134" t="s">
        <v>328</v>
      </c>
      <c r="E18" s="134" t="s">
        <v>330</v>
      </c>
      <c r="F18" s="134" t="s">
        <v>313</v>
      </c>
      <c r="H18" s="134" t="s">
        <v>335</v>
      </c>
      <c r="I18" s="218">
        <v>626505</v>
      </c>
      <c r="J18" s="134" t="s">
        <v>305</v>
      </c>
      <c r="K18" s="134" t="s">
        <v>334</v>
      </c>
      <c r="L18" s="134" t="s">
        <v>333</v>
      </c>
      <c r="M18" s="134" t="s">
        <v>316</v>
      </c>
    </row>
    <row r="19" spans="1:13" x14ac:dyDescent="0.25">
      <c r="A19" s="134" t="s">
        <v>306</v>
      </c>
      <c r="B19" s="219">
        <v>282625</v>
      </c>
      <c r="C19" s="134" t="s">
        <v>329</v>
      </c>
      <c r="D19" s="134" t="s">
        <v>328</v>
      </c>
      <c r="E19" s="134" t="s">
        <v>330</v>
      </c>
      <c r="F19" s="134" t="s">
        <v>312</v>
      </c>
      <c r="H19" s="134" t="s">
        <v>335</v>
      </c>
      <c r="I19" s="218">
        <v>626505</v>
      </c>
      <c r="J19" s="134" t="s">
        <v>305</v>
      </c>
      <c r="K19" s="134" t="s">
        <v>334</v>
      </c>
      <c r="L19" s="134" t="s">
        <v>333</v>
      </c>
      <c r="M19" s="134" t="s">
        <v>315</v>
      </c>
    </row>
    <row r="20" spans="1:13" x14ac:dyDescent="0.25">
      <c r="A20" s="134" t="s">
        <v>326</v>
      </c>
      <c r="B20" s="219">
        <v>282625</v>
      </c>
      <c r="C20" s="134" t="s">
        <v>329</v>
      </c>
      <c r="D20" s="134" t="s">
        <v>328</v>
      </c>
      <c r="E20" s="134" t="s">
        <v>330</v>
      </c>
      <c r="F20" s="134" t="s">
        <v>311</v>
      </c>
      <c r="H20" s="134" t="s">
        <v>335</v>
      </c>
      <c r="I20" s="218">
        <v>626505</v>
      </c>
      <c r="J20" s="134" t="s">
        <v>305</v>
      </c>
      <c r="K20" s="134" t="s">
        <v>334</v>
      </c>
      <c r="L20" s="134" t="s">
        <v>333</v>
      </c>
      <c r="M20" s="134" t="s">
        <v>314</v>
      </c>
    </row>
    <row r="21" spans="1:13" x14ac:dyDescent="0.25">
      <c r="A21" s="134" t="s">
        <v>319</v>
      </c>
      <c r="B21" s="219">
        <v>282625</v>
      </c>
      <c r="C21" s="134" t="s">
        <v>329</v>
      </c>
      <c r="D21" s="134" t="s">
        <v>328</v>
      </c>
      <c r="E21" s="134" t="s">
        <v>330</v>
      </c>
      <c r="F21" s="134" t="s">
        <v>310</v>
      </c>
      <c r="H21" s="134" t="s">
        <v>335</v>
      </c>
      <c r="I21" s="218">
        <v>626505</v>
      </c>
      <c r="J21" s="134" t="s">
        <v>305</v>
      </c>
      <c r="K21" s="134" t="s">
        <v>334</v>
      </c>
      <c r="L21" s="134" t="s">
        <v>333</v>
      </c>
      <c r="M21" s="134" t="s">
        <v>313</v>
      </c>
    </row>
    <row r="22" spans="1:13" x14ac:dyDescent="0.25">
      <c r="A22" s="134" t="s">
        <v>325</v>
      </c>
      <c r="B22" s="219">
        <v>282625</v>
      </c>
      <c r="C22" s="134" t="s">
        <v>329</v>
      </c>
      <c r="D22" s="134" t="s">
        <v>328</v>
      </c>
      <c r="E22" s="134" t="s">
        <v>330</v>
      </c>
      <c r="F22" s="134" t="s">
        <v>309</v>
      </c>
      <c r="H22" s="134" t="s">
        <v>335</v>
      </c>
      <c r="I22" s="218">
        <v>626505</v>
      </c>
      <c r="J22" s="134" t="s">
        <v>305</v>
      </c>
      <c r="K22" s="134" t="s">
        <v>334</v>
      </c>
      <c r="L22" s="134" t="s">
        <v>333</v>
      </c>
      <c r="M22" s="134" t="s">
        <v>312</v>
      </c>
    </row>
    <row r="23" spans="1:13" x14ac:dyDescent="0.25">
      <c r="A23" s="134" t="s">
        <v>306</v>
      </c>
      <c r="B23" s="219">
        <v>282625</v>
      </c>
      <c r="C23" s="134" t="s">
        <v>329</v>
      </c>
      <c r="D23" s="134" t="s">
        <v>328</v>
      </c>
      <c r="E23" s="134" t="s">
        <v>330</v>
      </c>
      <c r="F23" s="134" t="s">
        <v>308</v>
      </c>
      <c r="H23" s="134" t="s">
        <v>335</v>
      </c>
      <c r="I23" s="218">
        <v>626505</v>
      </c>
      <c r="J23" s="134" t="s">
        <v>305</v>
      </c>
      <c r="K23" s="134" t="s">
        <v>334</v>
      </c>
      <c r="L23" s="134" t="s">
        <v>333</v>
      </c>
      <c r="M23" s="134" t="s">
        <v>311</v>
      </c>
    </row>
    <row r="24" spans="1:13" x14ac:dyDescent="0.25">
      <c r="A24" s="134" t="s">
        <v>326</v>
      </c>
      <c r="B24" s="219">
        <v>282625</v>
      </c>
      <c r="C24" s="134" t="s">
        <v>329</v>
      </c>
      <c r="D24" s="134" t="s">
        <v>328</v>
      </c>
      <c r="E24" s="134" t="s">
        <v>330</v>
      </c>
      <c r="F24" s="134" t="s">
        <v>307</v>
      </c>
      <c r="H24" s="134" t="s">
        <v>335</v>
      </c>
      <c r="I24" s="218">
        <v>626505</v>
      </c>
      <c r="J24" s="134" t="s">
        <v>305</v>
      </c>
      <c r="K24" s="134" t="s">
        <v>334</v>
      </c>
      <c r="L24" s="134" t="s">
        <v>333</v>
      </c>
      <c r="M24" s="134" t="s">
        <v>310</v>
      </c>
    </row>
    <row r="25" spans="1:13" x14ac:dyDescent="0.25">
      <c r="A25" s="134" t="s">
        <v>319</v>
      </c>
      <c r="B25" s="219">
        <v>344210</v>
      </c>
      <c r="C25" s="134" t="s">
        <v>329</v>
      </c>
      <c r="D25" s="134" t="s">
        <v>328</v>
      </c>
      <c r="E25" s="134" t="s">
        <v>330</v>
      </c>
      <c r="F25" s="134" t="s">
        <v>303</v>
      </c>
      <c r="H25" s="134" t="s">
        <v>335</v>
      </c>
      <c r="I25" s="218">
        <v>626505</v>
      </c>
      <c r="J25" s="134" t="s">
        <v>305</v>
      </c>
      <c r="K25" s="134" t="s">
        <v>334</v>
      </c>
      <c r="L25" s="134" t="s">
        <v>333</v>
      </c>
      <c r="M25" s="134" t="s">
        <v>309</v>
      </c>
    </row>
    <row r="26" spans="1:13" x14ac:dyDescent="0.25">
      <c r="A26" s="134" t="s">
        <v>325</v>
      </c>
      <c r="B26" s="219">
        <v>344210</v>
      </c>
      <c r="C26" s="134" t="s">
        <v>329</v>
      </c>
      <c r="D26" s="134" t="s">
        <v>328</v>
      </c>
      <c r="E26" s="134" t="s">
        <v>330</v>
      </c>
      <c r="F26" s="134" t="s">
        <v>320</v>
      </c>
      <c r="H26" s="134" t="s">
        <v>335</v>
      </c>
      <c r="I26" s="218">
        <v>626505</v>
      </c>
      <c r="J26" s="134" t="s">
        <v>305</v>
      </c>
      <c r="K26" s="134" t="s">
        <v>334</v>
      </c>
      <c r="L26" s="134" t="s">
        <v>333</v>
      </c>
      <c r="M26" s="134" t="s">
        <v>308</v>
      </c>
    </row>
    <row r="27" spans="1:13" x14ac:dyDescent="0.25">
      <c r="A27" s="134" t="s">
        <v>306</v>
      </c>
      <c r="B27" s="219">
        <v>318383.84000000003</v>
      </c>
      <c r="C27" s="134" t="s">
        <v>329</v>
      </c>
      <c r="D27" s="134" t="s">
        <v>328</v>
      </c>
      <c r="E27" s="134" t="s">
        <v>330</v>
      </c>
      <c r="F27" s="134" t="s">
        <v>316</v>
      </c>
      <c r="H27" s="134" t="s">
        <v>335</v>
      </c>
      <c r="I27" s="218">
        <v>626505</v>
      </c>
      <c r="J27" s="134" t="s">
        <v>305</v>
      </c>
      <c r="K27" s="134" t="s">
        <v>334</v>
      </c>
      <c r="L27" s="134" t="s">
        <v>333</v>
      </c>
      <c r="M27" s="134" t="s">
        <v>307</v>
      </c>
    </row>
    <row r="28" spans="1:13" x14ac:dyDescent="0.25">
      <c r="A28" s="134" t="s">
        <v>326</v>
      </c>
      <c r="B28" s="217">
        <v>30980.81</v>
      </c>
      <c r="C28" s="134" t="s">
        <v>305</v>
      </c>
      <c r="D28" s="134" t="s">
        <v>318</v>
      </c>
      <c r="E28" s="134" t="s">
        <v>336</v>
      </c>
      <c r="F28" s="134" t="s">
        <v>307</v>
      </c>
      <c r="H28" s="134" t="s">
        <v>335</v>
      </c>
      <c r="I28" s="218">
        <v>626505</v>
      </c>
      <c r="J28" s="134" t="s">
        <v>305</v>
      </c>
      <c r="K28" s="134" t="s">
        <v>334</v>
      </c>
      <c r="L28" s="134" t="s">
        <v>333</v>
      </c>
      <c r="M28" s="134" t="s">
        <v>303</v>
      </c>
    </row>
    <row r="29" spans="1:13" x14ac:dyDescent="0.25">
      <c r="A29" s="134" t="s">
        <v>319</v>
      </c>
      <c r="B29" s="218">
        <v>1355128</v>
      </c>
      <c r="C29" s="134" t="s">
        <v>305</v>
      </c>
      <c r="D29" s="134" t="s">
        <v>332</v>
      </c>
      <c r="E29" s="134" t="s">
        <v>331</v>
      </c>
      <c r="F29" s="134" t="s">
        <v>314</v>
      </c>
      <c r="H29" s="134" t="s">
        <v>326</v>
      </c>
      <c r="I29" s="217">
        <v>282625</v>
      </c>
      <c r="J29" s="134" t="s">
        <v>329</v>
      </c>
      <c r="K29" s="134" t="s">
        <v>328</v>
      </c>
      <c r="L29" s="134" t="s">
        <v>330</v>
      </c>
      <c r="M29" s="134" t="s">
        <v>320</v>
      </c>
    </row>
    <row r="30" spans="1:13" x14ac:dyDescent="0.25">
      <c r="A30" s="134" t="s">
        <v>325</v>
      </c>
      <c r="B30" s="218">
        <v>1355128</v>
      </c>
      <c r="C30" s="134" t="s">
        <v>305</v>
      </c>
      <c r="D30" s="134" t="s">
        <v>332</v>
      </c>
      <c r="E30" s="134" t="s">
        <v>331</v>
      </c>
      <c r="F30" s="134" t="s">
        <v>313</v>
      </c>
      <c r="H30" s="134" t="s">
        <v>326</v>
      </c>
      <c r="I30" s="217">
        <v>282625</v>
      </c>
      <c r="J30" s="134" t="s">
        <v>329</v>
      </c>
      <c r="K30" s="134" t="s">
        <v>328</v>
      </c>
      <c r="L30" s="134" t="s">
        <v>330</v>
      </c>
      <c r="M30" s="134" t="s">
        <v>316</v>
      </c>
    </row>
    <row r="31" spans="1:13" x14ac:dyDescent="0.25">
      <c r="A31" s="134" t="s">
        <v>306</v>
      </c>
      <c r="B31" s="218">
        <v>1355128</v>
      </c>
      <c r="C31" s="134" t="s">
        <v>305</v>
      </c>
      <c r="D31" s="134" t="s">
        <v>332</v>
      </c>
      <c r="E31" s="134" t="s">
        <v>331</v>
      </c>
      <c r="F31" s="134" t="s">
        <v>312</v>
      </c>
      <c r="H31" s="134" t="s">
        <v>326</v>
      </c>
      <c r="I31" s="217">
        <v>282625</v>
      </c>
      <c r="J31" s="134" t="s">
        <v>329</v>
      </c>
      <c r="K31" s="134" t="s">
        <v>328</v>
      </c>
      <c r="L31" s="134" t="s">
        <v>330</v>
      </c>
      <c r="M31" s="134" t="s">
        <v>315</v>
      </c>
    </row>
    <row r="32" spans="1:13" x14ac:dyDescent="0.25">
      <c r="A32" s="134" t="s">
        <v>306</v>
      </c>
      <c r="B32" s="218">
        <v>1355128</v>
      </c>
      <c r="C32" s="134" t="s">
        <v>305</v>
      </c>
      <c r="D32" s="134" t="s">
        <v>332</v>
      </c>
      <c r="E32" s="134" t="s">
        <v>331</v>
      </c>
      <c r="F32" s="134" t="s">
        <v>311</v>
      </c>
      <c r="H32" s="134" t="s">
        <v>326</v>
      </c>
      <c r="I32" s="217">
        <v>282625</v>
      </c>
      <c r="J32" s="134" t="s">
        <v>329</v>
      </c>
      <c r="K32" s="134" t="s">
        <v>328</v>
      </c>
      <c r="L32" s="134" t="s">
        <v>330</v>
      </c>
      <c r="M32" s="134" t="s">
        <v>314</v>
      </c>
    </row>
    <row r="33" spans="1:13" x14ac:dyDescent="0.25">
      <c r="A33" s="134" t="s">
        <v>326</v>
      </c>
      <c r="B33" s="218">
        <v>1355128</v>
      </c>
      <c r="C33" s="134" t="s">
        <v>305</v>
      </c>
      <c r="D33" s="134" t="s">
        <v>332</v>
      </c>
      <c r="E33" s="134" t="s">
        <v>331</v>
      </c>
      <c r="F33" s="134" t="s">
        <v>310</v>
      </c>
      <c r="H33" s="134" t="s">
        <v>326</v>
      </c>
      <c r="I33" s="217">
        <v>282625</v>
      </c>
      <c r="J33" s="134" t="s">
        <v>329</v>
      </c>
      <c r="K33" s="134" t="s">
        <v>328</v>
      </c>
      <c r="L33" s="134" t="s">
        <v>330</v>
      </c>
      <c r="M33" s="134" t="s">
        <v>313</v>
      </c>
    </row>
    <row r="34" spans="1:13" x14ac:dyDescent="0.25">
      <c r="A34" s="134" t="s">
        <v>319</v>
      </c>
      <c r="B34" s="218">
        <v>1355128</v>
      </c>
      <c r="C34" s="134" t="s">
        <v>305</v>
      </c>
      <c r="D34" s="134" t="s">
        <v>332</v>
      </c>
      <c r="E34" s="134" t="s">
        <v>331</v>
      </c>
      <c r="F34" s="134" t="s">
        <v>309</v>
      </c>
      <c r="H34" s="134" t="s">
        <v>326</v>
      </c>
      <c r="I34" s="217">
        <v>282625</v>
      </c>
      <c r="J34" s="134" t="s">
        <v>329</v>
      </c>
      <c r="K34" s="134" t="s">
        <v>328</v>
      </c>
      <c r="L34" s="134" t="s">
        <v>330</v>
      </c>
      <c r="M34" s="134" t="s">
        <v>312</v>
      </c>
    </row>
    <row r="35" spans="1:13" x14ac:dyDescent="0.25">
      <c r="A35" s="134" t="s">
        <v>325</v>
      </c>
      <c r="B35" s="218">
        <v>1355128</v>
      </c>
      <c r="C35" s="134" t="s">
        <v>305</v>
      </c>
      <c r="D35" s="134" t="s">
        <v>332</v>
      </c>
      <c r="E35" s="134" t="s">
        <v>331</v>
      </c>
      <c r="F35" s="134" t="s">
        <v>308</v>
      </c>
      <c r="H35" s="134" t="s">
        <v>326</v>
      </c>
      <c r="I35" s="217">
        <v>282625</v>
      </c>
      <c r="J35" s="134" t="s">
        <v>329</v>
      </c>
      <c r="K35" s="134" t="s">
        <v>328</v>
      </c>
      <c r="L35" s="134" t="s">
        <v>330</v>
      </c>
      <c r="M35" s="134" t="s">
        <v>311</v>
      </c>
    </row>
    <row r="36" spans="1:13" x14ac:dyDescent="0.25">
      <c r="A36" s="134" t="s">
        <v>306</v>
      </c>
      <c r="B36" s="218">
        <v>1355128</v>
      </c>
      <c r="C36" s="134" t="s">
        <v>305</v>
      </c>
      <c r="D36" s="134" t="s">
        <v>332</v>
      </c>
      <c r="E36" s="134" t="s">
        <v>331</v>
      </c>
      <c r="F36" s="134" t="s">
        <v>307</v>
      </c>
      <c r="H36" s="134" t="s">
        <v>326</v>
      </c>
      <c r="I36" s="217">
        <v>282625</v>
      </c>
      <c r="J36" s="134" t="s">
        <v>329</v>
      </c>
      <c r="K36" s="134" t="s">
        <v>328</v>
      </c>
      <c r="L36" s="134" t="s">
        <v>330</v>
      </c>
      <c r="M36" s="134" t="s">
        <v>310</v>
      </c>
    </row>
    <row r="37" spans="1:13" x14ac:dyDescent="0.25">
      <c r="A37" s="134" t="s">
        <v>326</v>
      </c>
      <c r="B37" s="218">
        <v>1355128</v>
      </c>
      <c r="C37" s="134" t="s">
        <v>305</v>
      </c>
      <c r="D37" s="134" t="s">
        <v>332</v>
      </c>
      <c r="E37" s="134" t="s">
        <v>331</v>
      </c>
      <c r="F37" s="134" t="s">
        <v>303</v>
      </c>
      <c r="H37" s="134" t="s">
        <v>326</v>
      </c>
      <c r="I37" s="217">
        <v>282625</v>
      </c>
      <c r="J37" s="134" t="s">
        <v>329</v>
      </c>
      <c r="K37" s="134" t="s">
        <v>328</v>
      </c>
      <c r="L37" s="134" t="s">
        <v>330</v>
      </c>
      <c r="M37" s="134" t="s">
        <v>309</v>
      </c>
    </row>
    <row r="38" spans="1:13" x14ac:dyDescent="0.25">
      <c r="A38" s="134" t="s">
        <v>326</v>
      </c>
      <c r="B38" s="218">
        <v>1355128</v>
      </c>
      <c r="C38" s="134" t="s">
        <v>305</v>
      </c>
      <c r="D38" s="134" t="s">
        <v>332</v>
      </c>
      <c r="E38" s="134" t="s">
        <v>331</v>
      </c>
      <c r="F38" s="134" t="s">
        <v>320</v>
      </c>
      <c r="H38" s="134" t="s">
        <v>326</v>
      </c>
      <c r="I38" s="217">
        <v>282625</v>
      </c>
      <c r="J38" s="134" t="s">
        <v>329</v>
      </c>
      <c r="K38" s="134" t="s">
        <v>328</v>
      </c>
      <c r="L38" s="134" t="s">
        <v>330</v>
      </c>
      <c r="M38" s="134" t="s">
        <v>308</v>
      </c>
    </row>
    <row r="39" spans="1:13" x14ac:dyDescent="0.25">
      <c r="A39" s="134" t="s">
        <v>319</v>
      </c>
      <c r="B39" s="218">
        <v>1355128</v>
      </c>
      <c r="C39" s="134" t="s">
        <v>305</v>
      </c>
      <c r="D39" s="134" t="s">
        <v>332</v>
      </c>
      <c r="E39" s="134" t="s">
        <v>331</v>
      </c>
      <c r="F39" s="134" t="s">
        <v>316</v>
      </c>
      <c r="H39" s="134" t="s">
        <v>326</v>
      </c>
      <c r="I39" s="217">
        <v>282625</v>
      </c>
      <c r="J39" s="134" t="s">
        <v>329</v>
      </c>
      <c r="K39" s="134" t="s">
        <v>328</v>
      </c>
      <c r="L39" s="134" t="s">
        <v>330</v>
      </c>
      <c r="M39" s="134" t="s">
        <v>307</v>
      </c>
    </row>
    <row r="40" spans="1:13" x14ac:dyDescent="0.25">
      <c r="A40" s="134" t="s">
        <v>325</v>
      </c>
      <c r="B40" s="218">
        <v>1355128</v>
      </c>
      <c r="C40" s="134" t="s">
        <v>305</v>
      </c>
      <c r="D40" s="134" t="s">
        <v>332</v>
      </c>
      <c r="E40" s="134" t="s">
        <v>331</v>
      </c>
      <c r="F40" s="134" t="s">
        <v>315</v>
      </c>
      <c r="H40" s="134" t="s">
        <v>326</v>
      </c>
      <c r="I40" s="217">
        <v>282625</v>
      </c>
      <c r="J40" s="134" t="s">
        <v>329</v>
      </c>
      <c r="K40" s="134" t="s">
        <v>328</v>
      </c>
      <c r="L40" s="134" t="s">
        <v>330</v>
      </c>
      <c r="M40" s="134" t="s">
        <v>303</v>
      </c>
    </row>
    <row r="41" spans="1:13" x14ac:dyDescent="0.25">
      <c r="A41" s="134" t="s">
        <v>306</v>
      </c>
      <c r="B41" s="217">
        <v>492678</v>
      </c>
      <c r="C41" s="134" t="s">
        <v>329</v>
      </c>
      <c r="D41" s="134" t="s">
        <v>328</v>
      </c>
      <c r="E41" s="134" t="s">
        <v>327</v>
      </c>
      <c r="F41" s="134" t="s">
        <v>307</v>
      </c>
      <c r="H41" s="134" t="s">
        <v>324</v>
      </c>
      <c r="I41" s="217">
        <v>20105.68</v>
      </c>
      <c r="J41" s="134" t="s">
        <v>323</v>
      </c>
      <c r="K41" s="134" t="s">
        <v>322</v>
      </c>
      <c r="L41" s="134" t="s">
        <v>321</v>
      </c>
      <c r="M41" s="134" t="s">
        <v>320</v>
      </c>
    </row>
    <row r="42" spans="1:13" x14ac:dyDescent="0.25">
      <c r="A42" s="134" t="s">
        <v>326</v>
      </c>
      <c r="B42" s="217">
        <v>25826</v>
      </c>
      <c r="C42" s="134" t="s">
        <v>329</v>
      </c>
      <c r="D42" s="134" t="s">
        <v>328</v>
      </c>
      <c r="E42" s="134" t="s">
        <v>327</v>
      </c>
      <c r="F42" s="134" t="s">
        <v>303</v>
      </c>
      <c r="H42" s="134" t="s">
        <v>324</v>
      </c>
      <c r="I42" s="217">
        <v>20105.68</v>
      </c>
      <c r="J42" s="134" t="s">
        <v>323</v>
      </c>
      <c r="K42" s="134" t="s">
        <v>322</v>
      </c>
      <c r="L42" s="134" t="s">
        <v>321</v>
      </c>
      <c r="M42" s="134" t="s">
        <v>316</v>
      </c>
    </row>
    <row r="43" spans="1:13" x14ac:dyDescent="0.25">
      <c r="A43" s="134" t="s">
        <v>319</v>
      </c>
      <c r="B43" s="216">
        <v>541710.88</v>
      </c>
      <c r="C43" s="134" t="s">
        <v>305</v>
      </c>
      <c r="D43" s="134" t="s">
        <v>318</v>
      </c>
      <c r="E43" s="134" t="s">
        <v>317</v>
      </c>
      <c r="F43" s="134" t="s">
        <v>314</v>
      </c>
      <c r="H43" s="134" t="s">
        <v>324</v>
      </c>
      <c r="I43" s="217">
        <v>20105.68</v>
      </c>
      <c r="J43" s="134" t="s">
        <v>323</v>
      </c>
      <c r="K43" s="134" t="s">
        <v>322</v>
      </c>
      <c r="L43" s="134" t="s">
        <v>321</v>
      </c>
      <c r="M43" s="134" t="s">
        <v>315</v>
      </c>
    </row>
    <row r="44" spans="1:13" x14ac:dyDescent="0.25">
      <c r="A44" s="134" t="s">
        <v>325</v>
      </c>
      <c r="B44" s="216">
        <v>541710.88</v>
      </c>
      <c r="C44" s="134" t="s">
        <v>305</v>
      </c>
      <c r="D44" s="134" t="s">
        <v>318</v>
      </c>
      <c r="E44" s="134" t="s">
        <v>317</v>
      </c>
      <c r="F44" s="134" t="s">
        <v>313</v>
      </c>
      <c r="H44" s="134" t="s">
        <v>324</v>
      </c>
      <c r="I44" s="217">
        <v>20105.68</v>
      </c>
      <c r="J44" s="134" t="s">
        <v>323</v>
      </c>
      <c r="K44" s="134" t="s">
        <v>322</v>
      </c>
      <c r="L44" s="134" t="s">
        <v>321</v>
      </c>
      <c r="M44" s="134" t="s">
        <v>314</v>
      </c>
    </row>
    <row r="45" spans="1:13" x14ac:dyDescent="0.25">
      <c r="A45" s="134" t="s">
        <v>306</v>
      </c>
      <c r="B45" s="216">
        <v>541710.88</v>
      </c>
      <c r="C45" s="134" t="s">
        <v>305</v>
      </c>
      <c r="D45" s="134" t="s">
        <v>318</v>
      </c>
      <c r="E45" s="134" t="s">
        <v>317</v>
      </c>
      <c r="F45" s="134" t="s">
        <v>312</v>
      </c>
      <c r="H45" s="134" t="s">
        <v>324</v>
      </c>
      <c r="I45" s="217">
        <v>20105.68</v>
      </c>
      <c r="J45" s="134" t="s">
        <v>323</v>
      </c>
      <c r="K45" s="134" t="s">
        <v>322</v>
      </c>
      <c r="L45" s="134" t="s">
        <v>321</v>
      </c>
      <c r="M45" s="134" t="s">
        <v>313</v>
      </c>
    </row>
    <row r="46" spans="1:13" x14ac:dyDescent="0.25">
      <c r="A46" s="134" t="s">
        <v>326</v>
      </c>
      <c r="B46" s="216">
        <v>541710.88</v>
      </c>
      <c r="C46" s="134" t="s">
        <v>305</v>
      </c>
      <c r="D46" s="134" t="s">
        <v>318</v>
      </c>
      <c r="E46" s="134" t="s">
        <v>317</v>
      </c>
      <c r="F46" s="134" t="s">
        <v>311</v>
      </c>
      <c r="H46" s="134" t="s">
        <v>324</v>
      </c>
      <c r="I46" s="217">
        <v>20105.68</v>
      </c>
      <c r="J46" s="134" t="s">
        <v>323</v>
      </c>
      <c r="K46" s="134" t="s">
        <v>322</v>
      </c>
      <c r="L46" s="134" t="s">
        <v>321</v>
      </c>
      <c r="M46" s="134" t="s">
        <v>312</v>
      </c>
    </row>
    <row r="47" spans="1:13" x14ac:dyDescent="0.25">
      <c r="A47" s="134" t="s">
        <v>326</v>
      </c>
      <c r="B47" s="216">
        <v>541710.88</v>
      </c>
      <c r="C47" s="134" t="s">
        <v>305</v>
      </c>
      <c r="D47" s="134" t="s">
        <v>318</v>
      </c>
      <c r="E47" s="134" t="s">
        <v>317</v>
      </c>
      <c r="F47" s="134" t="s">
        <v>310</v>
      </c>
      <c r="H47" s="134" t="s">
        <v>324</v>
      </c>
      <c r="I47" s="217">
        <v>20105.68</v>
      </c>
      <c r="J47" s="134" t="s">
        <v>323</v>
      </c>
      <c r="K47" s="134" t="s">
        <v>322</v>
      </c>
      <c r="L47" s="134" t="s">
        <v>321</v>
      </c>
      <c r="M47" s="134" t="s">
        <v>311</v>
      </c>
    </row>
    <row r="48" spans="1:13" x14ac:dyDescent="0.25">
      <c r="A48" s="134" t="s">
        <v>319</v>
      </c>
      <c r="B48" s="216">
        <v>541710.88</v>
      </c>
      <c r="C48" s="134" t="s">
        <v>305</v>
      </c>
      <c r="D48" s="134" t="s">
        <v>318</v>
      </c>
      <c r="E48" s="134" t="s">
        <v>317</v>
      </c>
      <c r="F48" s="134" t="s">
        <v>309</v>
      </c>
      <c r="H48" s="134" t="s">
        <v>324</v>
      </c>
      <c r="I48" s="217">
        <v>20105.68</v>
      </c>
      <c r="J48" s="134" t="s">
        <v>323</v>
      </c>
      <c r="K48" s="134" t="s">
        <v>322</v>
      </c>
      <c r="L48" s="134" t="s">
        <v>321</v>
      </c>
      <c r="M48" s="134" t="s">
        <v>310</v>
      </c>
    </row>
    <row r="49" spans="1:13" x14ac:dyDescent="0.25">
      <c r="A49" s="134" t="s">
        <v>325</v>
      </c>
      <c r="B49" s="216">
        <v>541710.88</v>
      </c>
      <c r="C49" s="134" t="s">
        <v>305</v>
      </c>
      <c r="D49" s="134" t="s">
        <v>318</v>
      </c>
      <c r="E49" s="134" t="s">
        <v>317</v>
      </c>
      <c r="F49" s="134" t="s">
        <v>308</v>
      </c>
      <c r="H49" s="134" t="s">
        <v>324</v>
      </c>
      <c r="I49" s="217">
        <v>20105.68</v>
      </c>
      <c r="J49" s="134" t="s">
        <v>323</v>
      </c>
      <c r="K49" s="134" t="s">
        <v>322</v>
      </c>
      <c r="L49" s="134" t="s">
        <v>321</v>
      </c>
      <c r="M49" s="134" t="s">
        <v>309</v>
      </c>
    </row>
    <row r="50" spans="1:13" x14ac:dyDescent="0.25">
      <c r="A50" s="134" t="s">
        <v>306</v>
      </c>
      <c r="B50" s="216">
        <v>541710.88</v>
      </c>
      <c r="C50" s="134" t="s">
        <v>305</v>
      </c>
      <c r="D50" s="134" t="s">
        <v>318</v>
      </c>
      <c r="E50" s="134" t="s">
        <v>317</v>
      </c>
      <c r="F50" s="134" t="s">
        <v>307</v>
      </c>
      <c r="H50" s="134" t="s">
        <v>324</v>
      </c>
      <c r="I50" s="217">
        <v>20105.68</v>
      </c>
      <c r="J50" s="134" t="s">
        <v>323</v>
      </c>
      <c r="K50" s="134" t="s">
        <v>322</v>
      </c>
      <c r="L50" s="134" t="s">
        <v>321</v>
      </c>
      <c r="M50" s="134" t="s">
        <v>308</v>
      </c>
    </row>
    <row r="51" spans="1:13" x14ac:dyDescent="0.25">
      <c r="A51" s="134" t="s">
        <v>319</v>
      </c>
      <c r="B51" s="216">
        <v>541710.88</v>
      </c>
      <c r="C51" s="134" t="s">
        <v>305</v>
      </c>
      <c r="D51" s="134" t="s">
        <v>318</v>
      </c>
      <c r="E51" s="134" t="s">
        <v>317</v>
      </c>
      <c r="F51" s="134" t="s">
        <v>303</v>
      </c>
      <c r="H51" s="134" t="s">
        <v>324</v>
      </c>
      <c r="I51" s="217">
        <v>20105.68</v>
      </c>
      <c r="J51" s="134" t="s">
        <v>323</v>
      </c>
      <c r="K51" s="134" t="s">
        <v>322</v>
      </c>
      <c r="L51" s="134" t="s">
        <v>321</v>
      </c>
      <c r="M51" s="134" t="s">
        <v>307</v>
      </c>
    </row>
    <row r="52" spans="1:13" x14ac:dyDescent="0.25">
      <c r="A52" s="134" t="s">
        <v>325</v>
      </c>
      <c r="B52" s="216">
        <v>541710.88</v>
      </c>
      <c r="C52" s="134" t="s">
        <v>305</v>
      </c>
      <c r="D52" s="134" t="s">
        <v>318</v>
      </c>
      <c r="E52" s="134" t="s">
        <v>317</v>
      </c>
      <c r="F52" s="134" t="s">
        <v>320</v>
      </c>
      <c r="H52" s="134" t="s">
        <v>324</v>
      </c>
      <c r="I52" s="217">
        <v>20105.68</v>
      </c>
      <c r="J52" s="134" t="s">
        <v>323</v>
      </c>
      <c r="K52" s="134" t="s">
        <v>322</v>
      </c>
      <c r="L52" s="134" t="s">
        <v>321</v>
      </c>
      <c r="M52" s="134" t="s">
        <v>303</v>
      </c>
    </row>
    <row r="53" spans="1:13" x14ac:dyDescent="0.25">
      <c r="A53" s="134" t="s">
        <v>306</v>
      </c>
      <c r="B53" s="216">
        <v>541710.88</v>
      </c>
      <c r="C53" s="134" t="s">
        <v>305</v>
      </c>
      <c r="D53" s="134" t="s">
        <v>318</v>
      </c>
      <c r="E53" s="134" t="s">
        <v>317</v>
      </c>
      <c r="F53" s="134" t="s">
        <v>316</v>
      </c>
      <c r="H53" s="134" t="s">
        <v>306</v>
      </c>
      <c r="I53" s="216">
        <v>124558.5</v>
      </c>
      <c r="J53" s="134" t="s">
        <v>305</v>
      </c>
      <c r="K53" s="134" t="s">
        <v>305</v>
      </c>
      <c r="L53" s="134" t="s">
        <v>304</v>
      </c>
      <c r="M53" s="134" t="s">
        <v>320</v>
      </c>
    </row>
    <row r="54" spans="1:13" x14ac:dyDescent="0.25">
      <c r="A54" s="134" t="s">
        <v>319</v>
      </c>
      <c r="B54" s="216">
        <v>546136.71</v>
      </c>
      <c r="C54" s="134" t="s">
        <v>305</v>
      </c>
      <c r="D54" s="134" t="s">
        <v>318</v>
      </c>
      <c r="E54" s="134" t="s">
        <v>317</v>
      </c>
      <c r="F54" s="134" t="s">
        <v>315</v>
      </c>
      <c r="H54" s="134" t="s">
        <v>306</v>
      </c>
      <c r="I54" s="216">
        <v>124558.5</v>
      </c>
      <c r="J54" s="134" t="s">
        <v>305</v>
      </c>
      <c r="K54" s="134" t="s">
        <v>305</v>
      </c>
      <c r="L54" s="134" t="s">
        <v>304</v>
      </c>
      <c r="M54" s="134" t="s">
        <v>316</v>
      </c>
    </row>
    <row r="55" spans="1:13" ht="13.5" thickBot="1" x14ac:dyDescent="0.3">
      <c r="B55" s="213">
        <v>35645161.039999999</v>
      </c>
      <c r="H55" s="134" t="s">
        <v>306</v>
      </c>
      <c r="I55" s="216">
        <v>124558.5</v>
      </c>
      <c r="J55" s="134" t="s">
        <v>305</v>
      </c>
      <c r="K55" s="134" t="s">
        <v>305</v>
      </c>
      <c r="L55" s="134" t="s">
        <v>304</v>
      </c>
      <c r="M55" s="134" t="s">
        <v>315</v>
      </c>
    </row>
    <row r="56" spans="1:13" ht="13.5" thickTop="1" x14ac:dyDescent="0.25">
      <c r="H56" s="134" t="s">
        <v>306</v>
      </c>
      <c r="I56" s="216">
        <v>124558.5</v>
      </c>
      <c r="J56" s="134" t="s">
        <v>305</v>
      </c>
      <c r="K56" s="134" t="s">
        <v>305</v>
      </c>
      <c r="L56" s="134" t="s">
        <v>304</v>
      </c>
      <c r="M56" s="134" t="s">
        <v>314</v>
      </c>
    </row>
    <row r="57" spans="1:13" x14ac:dyDescent="0.25">
      <c r="H57" s="134" t="s">
        <v>306</v>
      </c>
      <c r="I57" s="216">
        <v>124558.5</v>
      </c>
      <c r="J57" s="134" t="s">
        <v>305</v>
      </c>
      <c r="K57" s="134" t="s">
        <v>305</v>
      </c>
      <c r="L57" s="134" t="s">
        <v>304</v>
      </c>
      <c r="M57" s="134" t="s">
        <v>313</v>
      </c>
    </row>
    <row r="58" spans="1:13" x14ac:dyDescent="0.25">
      <c r="H58" s="134" t="s">
        <v>306</v>
      </c>
      <c r="I58" s="216">
        <v>124558.5</v>
      </c>
      <c r="J58" s="134" t="s">
        <v>305</v>
      </c>
      <c r="K58" s="134" t="s">
        <v>305</v>
      </c>
      <c r="L58" s="134" t="s">
        <v>304</v>
      </c>
      <c r="M58" s="134" t="s">
        <v>312</v>
      </c>
    </row>
    <row r="59" spans="1:13" x14ac:dyDescent="0.25">
      <c r="H59" s="134" t="s">
        <v>306</v>
      </c>
      <c r="I59" s="216">
        <v>124558.5</v>
      </c>
      <c r="J59" s="134" t="s">
        <v>305</v>
      </c>
      <c r="K59" s="134" t="s">
        <v>305</v>
      </c>
      <c r="L59" s="134" t="s">
        <v>304</v>
      </c>
      <c r="M59" s="134" t="s">
        <v>311</v>
      </c>
    </row>
    <row r="60" spans="1:13" x14ac:dyDescent="0.25">
      <c r="H60" s="134" t="s">
        <v>306</v>
      </c>
      <c r="I60" s="216">
        <v>124558.5</v>
      </c>
      <c r="J60" s="134" t="s">
        <v>305</v>
      </c>
      <c r="K60" s="134" t="s">
        <v>305</v>
      </c>
      <c r="L60" s="134" t="s">
        <v>304</v>
      </c>
      <c r="M60" s="134" t="s">
        <v>310</v>
      </c>
    </row>
    <row r="61" spans="1:13" x14ac:dyDescent="0.25">
      <c r="H61" s="134" t="s">
        <v>306</v>
      </c>
      <c r="I61" s="216">
        <v>124558.5</v>
      </c>
      <c r="J61" s="134" t="s">
        <v>305</v>
      </c>
      <c r="K61" s="134" t="s">
        <v>305</v>
      </c>
      <c r="L61" s="134" t="s">
        <v>304</v>
      </c>
      <c r="M61" s="134" t="s">
        <v>309</v>
      </c>
    </row>
    <row r="62" spans="1:13" x14ac:dyDescent="0.25">
      <c r="H62" s="134" t="s">
        <v>306</v>
      </c>
      <c r="I62" s="216">
        <v>124558.5</v>
      </c>
      <c r="J62" s="134" t="s">
        <v>305</v>
      </c>
      <c r="K62" s="134" t="s">
        <v>305</v>
      </c>
      <c r="L62" s="134" t="s">
        <v>304</v>
      </c>
      <c r="M62" s="134" t="s">
        <v>308</v>
      </c>
    </row>
    <row r="63" spans="1:13" x14ac:dyDescent="0.25">
      <c r="H63" s="134" t="s">
        <v>306</v>
      </c>
      <c r="I63" s="216">
        <v>124558.5</v>
      </c>
      <c r="J63" s="134" t="s">
        <v>305</v>
      </c>
      <c r="K63" s="134" t="s">
        <v>305</v>
      </c>
      <c r="L63" s="134" t="s">
        <v>304</v>
      </c>
      <c r="M63" s="134" t="s">
        <v>307</v>
      </c>
    </row>
    <row r="64" spans="1:13" x14ac:dyDescent="0.25">
      <c r="H64" s="214" t="s">
        <v>306</v>
      </c>
      <c r="I64" s="215">
        <v>124558.5</v>
      </c>
      <c r="J64" s="214" t="s">
        <v>305</v>
      </c>
      <c r="K64" s="214" t="s">
        <v>305</v>
      </c>
      <c r="L64" s="214" t="s">
        <v>304</v>
      </c>
      <c r="M64" s="214" t="s">
        <v>303</v>
      </c>
    </row>
    <row r="65" spans="1:13" ht="13.5" thickBot="1" x14ac:dyDescent="0.3">
      <c r="I65" s="213">
        <v>20604866.16</v>
      </c>
    </row>
    <row r="66" spans="1:13" ht="13.5" thickTop="1" x14ac:dyDescent="0.25">
      <c r="C66" s="212" t="s">
        <v>302</v>
      </c>
      <c r="D66" s="212" t="s">
        <v>302</v>
      </c>
      <c r="E66" s="212" t="s">
        <v>302</v>
      </c>
      <c r="F66" s="212" t="s">
        <v>302</v>
      </c>
      <c r="G66" s="122"/>
      <c r="H66" s="212" t="s">
        <v>302</v>
      </c>
      <c r="J66" s="212" t="s">
        <v>302</v>
      </c>
      <c r="K66" s="212" t="s">
        <v>302</v>
      </c>
      <c r="L66" s="212" t="s">
        <v>302</v>
      </c>
      <c r="M66" s="212" t="s">
        <v>302</v>
      </c>
    </row>
    <row r="68" spans="1:13" x14ac:dyDescent="0.25">
      <c r="B68" s="207" t="s">
        <v>143</v>
      </c>
      <c r="I68" s="207" t="s">
        <v>301</v>
      </c>
    </row>
    <row r="69" spans="1:13" x14ac:dyDescent="0.25">
      <c r="A69" s="134" t="s">
        <v>291</v>
      </c>
      <c r="B69" s="209">
        <f>SUM('Amort of Gain Loss'!B6:B17,'Amort of Gain Loss'!B29:B40)</f>
        <v>25322916</v>
      </c>
      <c r="H69" s="134" t="s">
        <v>291</v>
      </c>
      <c r="I69" s="209">
        <f>SUM(I4,I6:I28)</f>
        <v>15477396</v>
      </c>
    </row>
    <row r="70" spans="1:13" x14ac:dyDescent="0.25">
      <c r="A70" s="134" t="s">
        <v>298</v>
      </c>
      <c r="B70" s="209">
        <f>SUM('Amort of Gain Loss'!B43:B54,'Amort of Gain Loss'!B28)</f>
        <v>6535937.1999999993</v>
      </c>
      <c r="H70" s="134" t="s">
        <v>298</v>
      </c>
      <c r="I70" s="209">
        <f>SUM(I53:I64)</f>
        <v>1494702</v>
      </c>
    </row>
    <row r="71" spans="1:13" x14ac:dyDescent="0.25">
      <c r="A71" s="134" t="s">
        <v>297</v>
      </c>
      <c r="B71" s="209">
        <f>SUM('Amort of Gain Loss'!B18:B27,'Amort of Gain Loss'!B41:B42)</f>
        <v>3503682.84</v>
      </c>
      <c r="H71" s="134" t="s">
        <v>297</v>
      </c>
      <c r="I71" s="209">
        <f>SUM(I29:I40)</f>
        <v>3391500</v>
      </c>
    </row>
    <row r="72" spans="1:13" x14ac:dyDescent="0.25">
      <c r="A72" s="134" t="s">
        <v>113</v>
      </c>
      <c r="B72" s="209">
        <f>+'Amort of Gain Loss'!B4</f>
        <v>282625</v>
      </c>
      <c r="H72" s="134" t="s">
        <v>113</v>
      </c>
      <c r="I72" s="209">
        <f>SUM(I41:I52)</f>
        <v>241268.15999999995</v>
      </c>
    </row>
    <row r="73" spans="1:13" ht="13.5" thickBot="1" x14ac:dyDescent="0.3">
      <c r="B73" s="211">
        <f>SUM(B69:B72)</f>
        <v>35645161.039999999</v>
      </c>
      <c r="I73" s="210">
        <f>SUM(I69:I72)</f>
        <v>20604866.16</v>
      </c>
    </row>
    <row r="74" spans="1:13" ht="13.5" thickTop="1" x14ac:dyDescent="0.25">
      <c r="B74" s="208">
        <f>+B73-B55</f>
        <v>0</v>
      </c>
      <c r="I74" s="208">
        <f>+I73-I65</f>
        <v>0</v>
      </c>
      <c r="J74" s="134" t="s">
        <v>300</v>
      </c>
    </row>
    <row r="75" spans="1:13" x14ac:dyDescent="0.25">
      <c r="B75" s="209"/>
    </row>
    <row r="84" spans="2:2" x14ac:dyDescent="0.25">
      <c r="B84" s="208"/>
    </row>
  </sheetData>
  <autoFilter ref="B4:F54">
    <sortState ref="B3:M52">
      <sortCondition ref="E2:E52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60" zoomScaleNormal="160" workbookViewId="0">
      <pane ySplit="3" topLeftCell="A13" activePane="bottomLeft" state="frozen"/>
      <selection activeCell="C15" sqref="C15"/>
      <selection pane="bottomLeft" activeCell="C19" sqref="C19"/>
    </sheetView>
  </sheetViews>
  <sheetFormatPr defaultRowHeight="15" outlineLevelCol="1" x14ac:dyDescent="0.25"/>
  <cols>
    <col min="1" max="1" width="5" customWidth="1"/>
    <col min="2" max="2" width="31.85546875" bestFit="1" customWidth="1"/>
    <col min="3" max="3" width="12.85546875" bestFit="1" customWidth="1"/>
    <col min="4" max="5" width="12.85546875" customWidth="1" outlineLevel="1"/>
    <col min="6" max="6" width="14.5703125" bestFit="1" customWidth="1"/>
    <col min="7" max="7" width="12.85546875" bestFit="1" customWidth="1"/>
    <col min="9" max="10" width="11.7109375" bestFit="1" customWidth="1"/>
    <col min="11" max="11" width="12.140625" bestFit="1" customWidth="1"/>
  </cols>
  <sheetData>
    <row r="1" spans="1:11" ht="15.75" x14ac:dyDescent="0.25">
      <c r="A1" s="95" t="s">
        <v>149</v>
      </c>
    </row>
    <row r="2" spans="1:11" x14ac:dyDescent="0.25">
      <c r="I2" s="104" t="s">
        <v>164</v>
      </c>
      <c r="J2" s="104"/>
      <c r="K2" s="104"/>
    </row>
    <row r="3" spans="1:11" x14ac:dyDescent="0.25">
      <c r="B3" t="s">
        <v>150</v>
      </c>
      <c r="C3" t="s">
        <v>42</v>
      </c>
      <c r="D3" t="s">
        <v>279</v>
      </c>
      <c r="E3" t="s">
        <v>278</v>
      </c>
      <c r="F3" t="s">
        <v>43</v>
      </c>
      <c r="G3" t="s">
        <v>132</v>
      </c>
      <c r="I3" t="s">
        <v>42</v>
      </c>
      <c r="J3" t="s">
        <v>43</v>
      </c>
      <c r="K3" t="s">
        <v>132</v>
      </c>
    </row>
    <row r="5" spans="1:11" x14ac:dyDescent="0.25">
      <c r="A5" s="17">
        <v>1</v>
      </c>
      <c r="B5" t="s">
        <v>151</v>
      </c>
      <c r="C5" s="28">
        <f>+'Rev Reqs'!H31</f>
        <v>1085716.9690100905</v>
      </c>
      <c r="D5" s="28">
        <f>+'Rev Reqs'!H37</f>
        <v>422534.28133647371</v>
      </c>
      <c r="E5" s="28"/>
      <c r="F5" s="28">
        <f>SUM(D5:E5)</f>
        <v>422534.28133647371</v>
      </c>
      <c r="G5" s="28">
        <f>+F5+C5</f>
        <v>1508251.2503465642</v>
      </c>
      <c r="I5" s="100">
        <f>+C5/1000000</f>
        <v>1.0857169690100905</v>
      </c>
      <c r="J5" s="100">
        <f t="shared" ref="J5:J20" si="0">+F5/1000000</f>
        <v>0.42253428133647369</v>
      </c>
      <c r="K5" s="100">
        <f t="shared" ref="K5" si="1">+G5/1000000</f>
        <v>1.5082512503465642</v>
      </c>
    </row>
    <row r="6" spans="1:11" x14ac:dyDescent="0.25">
      <c r="A6" s="17">
        <f>+A5+1</f>
        <v>2</v>
      </c>
      <c r="B6" t="s">
        <v>152</v>
      </c>
      <c r="C6" s="96">
        <f>+'Rev Reqs'!G31</f>
        <v>19916089.484277144</v>
      </c>
      <c r="D6" s="96">
        <f>+'Rev Reqs'!G37</f>
        <v>26389912.250802502</v>
      </c>
      <c r="E6" s="96"/>
      <c r="F6" s="28">
        <f t="shared" ref="F6:F20" si="2">SUM(D6:E6)</f>
        <v>26389912.250802502</v>
      </c>
      <c r="G6" s="96">
        <f t="shared" ref="G6:G20" si="3">+F6+C6</f>
        <v>46306001.735079646</v>
      </c>
      <c r="I6" s="101">
        <f t="shared" ref="I6:I20" si="4">+C6/1000000</f>
        <v>19.916089484277144</v>
      </c>
      <c r="J6" s="101">
        <f t="shared" si="0"/>
        <v>26.389912250802503</v>
      </c>
      <c r="K6" s="101">
        <f t="shared" ref="K6:K20" si="5">+G6/1000000</f>
        <v>46.306001735079647</v>
      </c>
    </row>
    <row r="7" spans="1:11" x14ac:dyDescent="0.25">
      <c r="A7" s="17">
        <f t="shared" ref="A7:A20" si="6">+A6+1</f>
        <v>3</v>
      </c>
      <c r="B7" t="s">
        <v>153</v>
      </c>
      <c r="C7" s="96">
        <f>+'P&amp;L Summary'!D49</f>
        <v>25131552.626379251</v>
      </c>
      <c r="D7" s="184">
        <f>+'P&amp;L Summary'!H49</f>
        <v>-64019635.5313375</v>
      </c>
      <c r="E7" s="184">
        <f>-'Remove PGA'!F6</f>
        <v>63523667.521090031</v>
      </c>
      <c r="F7" s="28">
        <f t="shared" si="2"/>
        <v>-495968.01024746895</v>
      </c>
      <c r="G7" s="96">
        <f t="shared" si="3"/>
        <v>24635584.616131783</v>
      </c>
      <c r="I7" s="101">
        <f t="shared" si="4"/>
        <v>25.13155262637925</v>
      </c>
      <c r="J7" s="101">
        <f t="shared" si="0"/>
        <v>-0.49596801024746895</v>
      </c>
      <c r="K7" s="101">
        <f t="shared" si="5"/>
        <v>24.635584616131784</v>
      </c>
    </row>
    <row r="8" spans="1:11" x14ac:dyDescent="0.25">
      <c r="A8" s="17">
        <f t="shared" si="6"/>
        <v>4</v>
      </c>
      <c r="B8" t="s">
        <v>154</v>
      </c>
      <c r="C8" s="96">
        <f>+'P&amp;L Summary'!D24</f>
        <v>-29033356.483689368</v>
      </c>
      <c r="D8" s="96">
        <f>++'P&amp;L Summary'!H24</f>
        <v>3716781.6676697033</v>
      </c>
      <c r="E8" s="96"/>
      <c r="F8" s="28">
        <f t="shared" si="2"/>
        <v>3716781.6676697033</v>
      </c>
      <c r="G8" s="96">
        <f t="shared" si="3"/>
        <v>-25316574.816019665</v>
      </c>
      <c r="I8" s="101">
        <f t="shared" si="4"/>
        <v>-29.033356483689367</v>
      </c>
      <c r="J8" s="101">
        <f t="shared" si="0"/>
        <v>3.7167816676697032</v>
      </c>
      <c r="K8" s="101">
        <f t="shared" si="5"/>
        <v>-25.316574816019667</v>
      </c>
    </row>
    <row r="9" spans="1:11" x14ac:dyDescent="0.25">
      <c r="A9" s="17">
        <f t="shared" si="6"/>
        <v>5</v>
      </c>
      <c r="B9" t="s">
        <v>78</v>
      </c>
      <c r="C9" s="96">
        <f>SUM('P&amp;L Summary'!D25:D26)</f>
        <v>6554947.9361300319</v>
      </c>
      <c r="D9" s="96">
        <f>SUM('P&amp;L Summary'!H25:H26)</f>
        <v>6135694.7566989996</v>
      </c>
      <c r="E9" s="96"/>
      <c r="F9" s="28">
        <f t="shared" si="2"/>
        <v>6135694.7566989996</v>
      </c>
      <c r="G9" s="96">
        <f t="shared" si="3"/>
        <v>12690642.692829031</v>
      </c>
      <c r="I9" s="101">
        <f t="shared" si="4"/>
        <v>6.5549479361300316</v>
      </c>
      <c r="J9" s="101">
        <f t="shared" si="0"/>
        <v>6.1356947566989994</v>
      </c>
      <c r="K9" s="101">
        <f t="shared" si="5"/>
        <v>12.690642692829032</v>
      </c>
    </row>
    <row r="10" spans="1:11" x14ac:dyDescent="0.25">
      <c r="A10" s="17">
        <f t="shared" si="6"/>
        <v>6</v>
      </c>
      <c r="B10" t="s">
        <v>155</v>
      </c>
      <c r="C10" s="96">
        <f>SUM('P&amp;L Summary'!D27:D29)</f>
        <v>5620408.2542120311</v>
      </c>
      <c r="D10" s="96">
        <f>SUM('P&amp;L Summary'!H27:H29)</f>
        <v>1719368.0821944925</v>
      </c>
      <c r="E10" s="96">
        <f>-'Remove PGA'!F7</f>
        <v>1100751.3500436542</v>
      </c>
      <c r="F10" s="28">
        <f t="shared" si="2"/>
        <v>2820119.4322381467</v>
      </c>
      <c r="G10" s="96">
        <f t="shared" si="3"/>
        <v>8440527.6864501778</v>
      </c>
      <c r="I10" s="101">
        <f t="shared" si="4"/>
        <v>5.6204082542120313</v>
      </c>
      <c r="J10" s="101">
        <f t="shared" si="0"/>
        <v>2.8201194322381467</v>
      </c>
      <c r="K10" s="101">
        <f t="shared" si="5"/>
        <v>8.4405276864501779</v>
      </c>
    </row>
    <row r="11" spans="1:11" x14ac:dyDescent="0.25">
      <c r="A11" s="17">
        <f t="shared" si="6"/>
        <v>7</v>
      </c>
      <c r="B11" t="s">
        <v>156</v>
      </c>
      <c r="C11" s="96">
        <f>+'P&amp;L Summary'!D30</f>
        <v>11936215.034739137</v>
      </c>
      <c r="D11" s="96">
        <f>+'P&amp;L Summary'!H30</f>
        <v>10296207.439610392</v>
      </c>
      <c r="E11" s="96">
        <f>-'Remove PGA'!F8</f>
        <v>133100.32248069323</v>
      </c>
      <c r="F11" s="28">
        <f t="shared" si="2"/>
        <v>10429307.762091085</v>
      </c>
      <c r="G11" s="96">
        <f t="shared" si="3"/>
        <v>22365522.796830222</v>
      </c>
      <c r="I11" s="101">
        <f t="shared" si="4"/>
        <v>11.936215034739137</v>
      </c>
      <c r="J11" s="101">
        <f t="shared" si="0"/>
        <v>10.429307762091085</v>
      </c>
      <c r="K11" s="101">
        <f t="shared" si="5"/>
        <v>22.365522796830223</v>
      </c>
    </row>
    <row r="12" spans="1:11" x14ac:dyDescent="0.25">
      <c r="A12" s="17">
        <f t="shared" si="6"/>
        <v>8</v>
      </c>
      <c r="B12" t="s">
        <v>65</v>
      </c>
      <c r="C12" s="96">
        <f>SUM('P&amp;L Summary'!D31:D32)</f>
        <v>71328551.006283209</v>
      </c>
      <c r="D12" s="96">
        <f>SUM('P&amp;L Summary'!H31:H32)</f>
        <v>45699173.100825772</v>
      </c>
      <c r="E12" s="96"/>
      <c r="F12" s="28">
        <f t="shared" si="2"/>
        <v>45699173.100825772</v>
      </c>
      <c r="G12" s="96">
        <f t="shared" si="3"/>
        <v>117027724.10710898</v>
      </c>
      <c r="I12" s="101">
        <f t="shared" si="4"/>
        <v>71.328551006283206</v>
      </c>
      <c r="J12" s="101">
        <f t="shared" si="0"/>
        <v>45.699173100825774</v>
      </c>
      <c r="K12" s="101">
        <f t="shared" si="5"/>
        <v>117.02772410710898</v>
      </c>
    </row>
    <row r="13" spans="1:11" x14ac:dyDescent="0.25">
      <c r="A13" s="17">
        <f t="shared" si="6"/>
        <v>9</v>
      </c>
      <c r="B13" t="s">
        <v>157</v>
      </c>
      <c r="C13" s="96">
        <f>+'P&amp;L Summary'!D35</f>
        <v>2656361.7502022237</v>
      </c>
      <c r="D13" s="96">
        <f>+'P&amp;L Summary'!H35</f>
        <v>5589870.9927996993</v>
      </c>
      <c r="E13" s="96">
        <f>-'Remove PGA'!F9</f>
        <v>1792642.6985672936</v>
      </c>
      <c r="F13" s="28">
        <f t="shared" si="2"/>
        <v>7382513.6913669929</v>
      </c>
      <c r="G13" s="96">
        <f t="shared" si="3"/>
        <v>10038875.441569217</v>
      </c>
      <c r="I13" s="101">
        <f t="shared" si="4"/>
        <v>2.6563617502022239</v>
      </c>
      <c r="J13" s="101">
        <f t="shared" si="0"/>
        <v>7.3825136913669933</v>
      </c>
      <c r="K13" s="101">
        <f t="shared" si="5"/>
        <v>10.038875441569216</v>
      </c>
    </row>
    <row r="14" spans="1:11" x14ac:dyDescent="0.25">
      <c r="A14" s="17">
        <f t="shared" si="6"/>
        <v>10</v>
      </c>
      <c r="B14" t="s">
        <v>161</v>
      </c>
      <c r="C14" s="96">
        <f>+'P&amp;L Summary'!D34</f>
        <v>10333557.56540544</v>
      </c>
      <c r="D14" s="96">
        <f>+'P&amp;L Summary'!H34</f>
        <v>6610109.9228340033</v>
      </c>
      <c r="E14" s="96"/>
      <c r="F14" s="28">
        <f t="shared" si="2"/>
        <v>6610109.9228340033</v>
      </c>
      <c r="G14" s="96">
        <f t="shared" si="3"/>
        <v>16943667.488239445</v>
      </c>
      <c r="I14" s="101">
        <f t="shared" si="4"/>
        <v>10.333557565405439</v>
      </c>
      <c r="J14" s="101">
        <f t="shared" si="0"/>
        <v>6.6101099228340034</v>
      </c>
      <c r="K14" s="101">
        <f t="shared" si="5"/>
        <v>16.943667488239445</v>
      </c>
    </row>
    <row r="15" spans="1:11" x14ac:dyDescent="0.25">
      <c r="A15" s="17">
        <f t="shared" si="6"/>
        <v>11</v>
      </c>
      <c r="B15" t="s">
        <v>162</v>
      </c>
      <c r="C15" s="96">
        <f>+'P&amp;L Summary'!D33</f>
        <v>7882338.3776958734</v>
      </c>
      <c r="D15" s="96">
        <v>0</v>
      </c>
      <c r="E15" s="96"/>
      <c r="F15" s="28">
        <f t="shared" si="2"/>
        <v>0</v>
      </c>
      <c r="G15" s="96">
        <f t="shared" si="3"/>
        <v>7882338.3776958734</v>
      </c>
      <c r="I15" s="101">
        <f t="shared" si="4"/>
        <v>7.8823383776958735</v>
      </c>
      <c r="J15" s="101">
        <f t="shared" si="0"/>
        <v>0</v>
      </c>
      <c r="K15" s="101">
        <f t="shared" si="5"/>
        <v>7.8823383776958735</v>
      </c>
    </row>
    <row r="16" spans="1:11" x14ac:dyDescent="0.25">
      <c r="A16" s="17">
        <f t="shared" si="6"/>
        <v>12</v>
      </c>
      <c r="B16" t="s">
        <v>158</v>
      </c>
      <c r="C16" s="96">
        <f>-'Other Schedules'!B10</f>
        <v>-25799000</v>
      </c>
      <c r="D16" s="96">
        <f>-'Other Schedules'!C10</f>
        <v>-6187109.090210814</v>
      </c>
      <c r="E16" s="96"/>
      <c r="F16" s="28">
        <f t="shared" si="2"/>
        <v>-6187109.090210814</v>
      </c>
      <c r="G16" s="96">
        <f t="shared" si="3"/>
        <v>-31986109.090210814</v>
      </c>
      <c r="I16" s="101">
        <f t="shared" si="4"/>
        <v>-25.798999999999999</v>
      </c>
      <c r="J16" s="101">
        <f t="shared" si="0"/>
        <v>-6.1871090902108143</v>
      </c>
      <c r="K16" s="101">
        <f t="shared" si="5"/>
        <v>-31.986109090210814</v>
      </c>
    </row>
    <row r="17" spans="1:11" x14ac:dyDescent="0.25">
      <c r="A17" s="17">
        <f t="shared" si="6"/>
        <v>13</v>
      </c>
      <c r="B17" t="s">
        <v>79</v>
      </c>
      <c r="C17" s="96">
        <f>SUM('P&amp;L Summary'!D36:D37)-C16</f>
        <v>-6440168.2320413888</v>
      </c>
      <c r="D17" s="96">
        <f>SUM('P&amp;L Summary'!H36:H37)-D16</f>
        <v>3285591.0377455801</v>
      </c>
      <c r="E17" s="96"/>
      <c r="F17" s="28">
        <f t="shared" si="2"/>
        <v>3285591.0377455801</v>
      </c>
      <c r="G17" s="96">
        <f t="shared" si="3"/>
        <v>-3154577.1942958087</v>
      </c>
      <c r="I17" s="101">
        <f t="shared" si="4"/>
        <v>-6.4401682320413887</v>
      </c>
      <c r="J17" s="101">
        <f t="shared" si="0"/>
        <v>3.2855910377455801</v>
      </c>
      <c r="K17" s="101">
        <f t="shared" si="5"/>
        <v>-3.1545771942958085</v>
      </c>
    </row>
    <row r="18" spans="1:11" x14ac:dyDescent="0.25">
      <c r="A18" s="17">
        <f t="shared" si="6"/>
        <v>14</v>
      </c>
      <c r="B18" t="s">
        <v>159</v>
      </c>
      <c r="C18" s="96">
        <f>+'Rev Reqs'!C11</f>
        <v>3357030.6474160403</v>
      </c>
      <c r="D18" s="96">
        <f>+'Rev Reqs'!C19</f>
        <v>2700848.7200000007</v>
      </c>
      <c r="E18" s="96"/>
      <c r="F18" s="28">
        <f t="shared" si="2"/>
        <v>2700848.7200000007</v>
      </c>
      <c r="G18" s="96">
        <f t="shared" si="3"/>
        <v>6057879.367416041</v>
      </c>
      <c r="I18" s="101">
        <f t="shared" si="4"/>
        <v>3.3570306474160403</v>
      </c>
      <c r="J18" s="101">
        <f t="shared" si="0"/>
        <v>2.7008487200000006</v>
      </c>
      <c r="K18" s="101">
        <f t="shared" si="5"/>
        <v>6.0578793674160414</v>
      </c>
    </row>
    <row r="19" spans="1:11" x14ac:dyDescent="0.25">
      <c r="A19" s="17">
        <f t="shared" si="6"/>
        <v>15</v>
      </c>
      <c r="B19" t="s">
        <v>160</v>
      </c>
      <c r="C19" s="96">
        <f>+'Rev Reqs'!C9+'Rev Reqs'!C13</f>
        <v>-3501696.4595293999</v>
      </c>
      <c r="D19" s="96">
        <f>+'Rev Reqs'!C18+'Rev Reqs'!C21</f>
        <v>11360324.731972452</v>
      </c>
      <c r="E19" s="96">
        <f>--'Remove PGA'!F4</f>
        <v>-66550161.240346611</v>
      </c>
      <c r="F19" s="28">
        <f t="shared" si="2"/>
        <v>-55189836.508374155</v>
      </c>
      <c r="G19" s="96">
        <f t="shared" si="3"/>
        <v>-58691532.967903554</v>
      </c>
      <c r="I19" s="101">
        <f t="shared" si="4"/>
        <v>-3.5016964595293998</v>
      </c>
      <c r="J19" s="101">
        <f t="shared" si="0"/>
        <v>-55.189836508374157</v>
      </c>
      <c r="K19" s="101">
        <f t="shared" si="5"/>
        <v>-58.691532967903555</v>
      </c>
    </row>
    <row r="20" spans="1:11" x14ac:dyDescent="0.25">
      <c r="A20" s="17">
        <f t="shared" si="6"/>
        <v>16</v>
      </c>
      <c r="B20" t="s">
        <v>113</v>
      </c>
      <c r="C20" s="60">
        <v>357075</v>
      </c>
      <c r="D20" s="96">
        <v>1</v>
      </c>
      <c r="E20" s="96"/>
      <c r="F20" s="28">
        <f t="shared" si="2"/>
        <v>1</v>
      </c>
      <c r="G20" s="96">
        <f t="shared" si="3"/>
        <v>357076</v>
      </c>
      <c r="I20" s="102">
        <f t="shared" si="4"/>
        <v>0.35707499999999998</v>
      </c>
      <c r="J20" s="101">
        <f t="shared" si="0"/>
        <v>9.9999999999999995E-7</v>
      </c>
      <c r="K20" s="101">
        <f t="shared" si="5"/>
        <v>0.357076</v>
      </c>
    </row>
    <row r="21" spans="1:11" ht="15.75" thickBot="1" x14ac:dyDescent="0.3">
      <c r="C21" s="97">
        <f>SUM(C5:C20)</f>
        <v>101385623.47649032</v>
      </c>
      <c r="D21" s="97">
        <f>SUM(D5:D20)</f>
        <v>53719673.362941757</v>
      </c>
      <c r="E21" s="97">
        <f>SUM(E5:E20)</f>
        <v>0.65183506160974503</v>
      </c>
      <c r="F21" s="97">
        <f>SUM(F5:F20)</f>
        <v>53719674.014776826</v>
      </c>
      <c r="G21" s="97">
        <f>SUM(G5:G20)</f>
        <v>155105297.49126717</v>
      </c>
      <c r="I21" s="103">
        <f>SUM(I5:I20)</f>
        <v>101.3856234764903</v>
      </c>
      <c r="J21" s="103">
        <f>SUM(J5:J20)</f>
        <v>53.719674014776814</v>
      </c>
      <c r="K21" s="103">
        <f>SUM(K5:K20)</f>
        <v>155.10529749126715</v>
      </c>
    </row>
    <row r="22" spans="1:11" ht="15.75" thickTop="1" x14ac:dyDescent="0.25">
      <c r="B22" s="99" t="s">
        <v>163</v>
      </c>
      <c r="C22" s="98">
        <f>'[3]COC, Def, ConvF'!$C$28</f>
        <v>101385623</v>
      </c>
      <c r="E22" s="98"/>
      <c r="F22" s="98">
        <f>'[4]COC, Def, ConvF'!$C$28</f>
        <v>53719673.018225789</v>
      </c>
      <c r="G22" s="96"/>
      <c r="I22" s="98">
        <f t="shared" ref="I22" si="7">+C22/1000000</f>
        <v>101.385623</v>
      </c>
      <c r="J22" s="98">
        <f>+F22/1000000</f>
        <v>53.719673018225791</v>
      </c>
      <c r="K22" s="96"/>
    </row>
    <row r="23" spans="1:11" x14ac:dyDescent="0.25">
      <c r="C23" s="98">
        <f>+C21-C22</f>
        <v>0.476490318775177</v>
      </c>
      <c r="E23" s="98"/>
      <c r="F23" s="98">
        <f>+D21-F22</f>
        <v>0.34471596777439117</v>
      </c>
      <c r="G23" s="28"/>
      <c r="I23" s="98">
        <f>+I21-I22</f>
        <v>4.7649029966123635E-7</v>
      </c>
      <c r="J23" s="98">
        <f>+J21-J22</f>
        <v>9.9655102303586318E-7</v>
      </c>
      <c r="K23" s="28"/>
    </row>
    <row r="24" spans="1:11" x14ac:dyDescent="0.25">
      <c r="C24" s="111"/>
      <c r="E24" s="111"/>
      <c r="F24" s="111"/>
    </row>
    <row r="25" spans="1:11" x14ac:dyDescent="0.25">
      <c r="C25" s="111"/>
      <c r="E25" s="111"/>
      <c r="F25" s="111"/>
    </row>
    <row r="26" spans="1:11" x14ac:dyDescent="0.25">
      <c r="C26" s="111"/>
      <c r="E26" s="111"/>
      <c r="F26" s="111"/>
    </row>
    <row r="27" spans="1:11" x14ac:dyDescent="0.25">
      <c r="E27" s="111"/>
      <c r="F27" s="111"/>
    </row>
    <row r="28" spans="1:11" x14ac:dyDescent="0.25">
      <c r="E28" s="111"/>
      <c r="F28" s="1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L67"/>
  <sheetViews>
    <sheetView zoomScaleNormal="100" workbookViewId="0">
      <selection activeCell="C22" sqref="C22"/>
    </sheetView>
  </sheetViews>
  <sheetFormatPr defaultColWidth="9.140625" defaultRowHeight="15" x14ac:dyDescent="0.25"/>
  <cols>
    <col min="1" max="1" width="3.140625" style="45" bestFit="1" customWidth="1"/>
    <col min="2" max="2" width="44.28515625" style="45" bestFit="1" customWidth="1"/>
    <col min="3" max="3" width="17.28515625" style="45" bestFit="1" customWidth="1"/>
    <col min="4" max="4" width="16.85546875" style="45" bestFit="1" customWidth="1"/>
    <col min="5" max="5" width="18.7109375" style="45" bestFit="1" customWidth="1"/>
    <col min="6" max="8" width="16.140625" style="45" bestFit="1" customWidth="1"/>
    <col min="9" max="9" width="9.140625" style="45"/>
    <col min="10" max="12" width="15.28515625" style="45" customWidth="1"/>
    <col min="13" max="16384" width="9.140625" style="45"/>
  </cols>
  <sheetData>
    <row r="1" spans="1:7" s="91" customFormat="1" x14ac:dyDescent="0.25">
      <c r="A1" s="90" t="s">
        <v>87</v>
      </c>
    </row>
    <row r="3" spans="1:7" x14ac:dyDescent="0.25">
      <c r="C3" s="46">
        <f>C26</f>
        <v>7.6200000000000004E-2</v>
      </c>
      <c r="D3" s="46"/>
    </row>
    <row r="4" spans="1:7" x14ac:dyDescent="0.25">
      <c r="C4" s="47" t="s">
        <v>88</v>
      </c>
      <c r="D4" s="48"/>
    </row>
    <row r="5" spans="1:7" x14ac:dyDescent="0.25">
      <c r="A5" s="49">
        <v>1</v>
      </c>
      <c r="B5" s="50" t="s">
        <v>89</v>
      </c>
      <c r="C5" s="51">
        <v>43281</v>
      </c>
      <c r="D5" s="52"/>
    </row>
    <row r="6" spans="1:7" x14ac:dyDescent="0.25">
      <c r="A6" s="45">
        <v>2</v>
      </c>
      <c r="D6" s="53"/>
    </row>
    <row r="7" spans="1:7" x14ac:dyDescent="0.25">
      <c r="A7" s="45">
        <f t="shared" ref="A7:A31" si="0">A6+1</f>
        <v>3</v>
      </c>
      <c r="B7" s="18" t="s">
        <v>90</v>
      </c>
      <c r="D7" s="53"/>
    </row>
    <row r="8" spans="1:7" x14ac:dyDescent="0.25">
      <c r="A8" s="45">
        <f t="shared" si="0"/>
        <v>4</v>
      </c>
      <c r="B8" s="45" t="s">
        <v>91</v>
      </c>
      <c r="C8" s="54">
        <f>C34-D34</f>
        <v>101173214.28860426</v>
      </c>
      <c r="D8" s="55"/>
    </row>
    <row r="9" spans="1:7" x14ac:dyDescent="0.25">
      <c r="A9" s="45">
        <f t="shared" si="0"/>
        <v>5</v>
      </c>
      <c r="B9" s="45" t="s">
        <v>92</v>
      </c>
      <c r="C9" s="77">
        <f>-Changes!C21</f>
        <v>-384696.45952939987</v>
      </c>
      <c r="D9" s="57"/>
    </row>
    <row r="10" spans="1:7" x14ac:dyDescent="0.25">
      <c r="A10" s="45">
        <f t="shared" si="0"/>
        <v>6</v>
      </c>
      <c r="B10" s="45" t="s">
        <v>93</v>
      </c>
      <c r="C10" s="77">
        <f>-Changes!H20</f>
        <v>357074.77817964577</v>
      </c>
      <c r="D10" s="57"/>
    </row>
    <row r="11" spans="1:7" x14ac:dyDescent="0.25">
      <c r="A11" s="45">
        <f t="shared" si="0"/>
        <v>7</v>
      </c>
      <c r="B11" s="45" t="s">
        <v>94</v>
      </c>
      <c r="C11" s="77">
        <f>-Changes!H19</f>
        <v>3357030.6474160403</v>
      </c>
      <c r="D11" s="58"/>
    </row>
    <row r="12" spans="1:7" x14ac:dyDescent="0.25">
      <c r="A12" s="45">
        <f t="shared" si="0"/>
        <v>8</v>
      </c>
      <c r="B12" s="45" t="s">
        <v>172</v>
      </c>
      <c r="C12" s="110">
        <f>SUM(C8:C11)</f>
        <v>104502623.25467055</v>
      </c>
      <c r="D12" s="222">
        <f>'[3]COC, Def, ConvF'!$C$21-C12</f>
        <v>-0.25467054545879364</v>
      </c>
    </row>
    <row r="13" spans="1:7" x14ac:dyDescent="0.25">
      <c r="A13" s="45">
        <f t="shared" si="0"/>
        <v>9</v>
      </c>
      <c r="B13" s="45" t="s">
        <v>165</v>
      </c>
      <c r="C13" s="77">
        <f>'Other Schedules'!B12</f>
        <v>-3117000</v>
      </c>
      <c r="D13" s="58"/>
    </row>
    <row r="14" spans="1:7" ht="15.75" thickBot="1" x14ac:dyDescent="0.3">
      <c r="A14" s="45">
        <f t="shared" si="0"/>
        <v>10</v>
      </c>
      <c r="B14" s="45" t="s">
        <v>89</v>
      </c>
      <c r="C14" s="59">
        <f>SUM(C12:C13)</f>
        <v>101385623.25467055</v>
      </c>
      <c r="D14" s="228"/>
    </row>
    <row r="15" spans="1:7" ht="15.75" thickTop="1" x14ac:dyDescent="0.25">
      <c r="A15" s="45">
        <f t="shared" si="0"/>
        <v>11</v>
      </c>
      <c r="C15" s="60">
        <f>'[3]COC, Def, ConvF'!$C$21+'[1]GRC Impacts'!$U$37*1000-C14</f>
        <v>-0.25467054545879364</v>
      </c>
      <c r="D15" s="55"/>
      <c r="E15" s="55"/>
      <c r="F15" s="55"/>
      <c r="G15" s="55"/>
    </row>
    <row r="16" spans="1:7" x14ac:dyDescent="0.25">
      <c r="A16" s="45">
        <f t="shared" si="0"/>
        <v>12</v>
      </c>
      <c r="B16" s="18" t="s">
        <v>95</v>
      </c>
      <c r="C16" s="5"/>
      <c r="D16" s="36"/>
    </row>
    <row r="17" spans="1:12" x14ac:dyDescent="0.25">
      <c r="A17" s="45">
        <f t="shared" si="0"/>
        <v>13</v>
      </c>
      <c r="B17" s="45" t="s">
        <v>91</v>
      </c>
      <c r="C17" s="54">
        <f>C40-D40</f>
        <v>39658498.910969734</v>
      </c>
      <c r="D17" s="55"/>
    </row>
    <row r="18" spans="1:12" x14ac:dyDescent="0.25">
      <c r="A18" s="45">
        <f t="shared" si="0"/>
        <v>14</v>
      </c>
      <c r="B18" s="45" t="s">
        <v>92</v>
      </c>
      <c r="C18" s="77">
        <f>-Changes!D21</f>
        <v>43768990.713746667</v>
      </c>
      <c r="D18" s="57"/>
    </row>
    <row r="19" spans="1:12" x14ac:dyDescent="0.25">
      <c r="A19" s="45">
        <f t="shared" si="0"/>
        <v>15</v>
      </c>
      <c r="B19" s="45" t="s">
        <v>94</v>
      </c>
      <c r="C19" s="78">
        <f>-Changes!I21</f>
        <v>2700848.7200000007</v>
      </c>
      <c r="D19" s="58"/>
    </row>
    <row r="20" spans="1:12" x14ac:dyDescent="0.25">
      <c r="A20" s="45">
        <f t="shared" si="0"/>
        <v>16</v>
      </c>
      <c r="B20" s="45" t="s">
        <v>172</v>
      </c>
      <c r="C20" s="107">
        <f>SUM(C17:C19)</f>
        <v>86128338.3447164</v>
      </c>
      <c r="D20" s="222">
        <f>+'[4]COC, Def, ConvF'!$C$21-C20</f>
        <v>0.6552836000919342</v>
      </c>
    </row>
    <row r="21" spans="1:12" x14ac:dyDescent="0.25">
      <c r="A21" s="45">
        <f t="shared" si="0"/>
        <v>17</v>
      </c>
      <c r="B21" s="45" t="s">
        <v>165</v>
      </c>
      <c r="C21" s="107">
        <f>'Other Schedules'!C12</f>
        <v>-32408665.981774215</v>
      </c>
      <c r="D21"/>
      <c r="E21" s="227"/>
    </row>
    <row r="22" spans="1:12" ht="15.75" thickBot="1" x14ac:dyDescent="0.3">
      <c r="A22" s="45">
        <f t="shared" si="0"/>
        <v>18</v>
      </c>
      <c r="B22" s="45" t="s">
        <v>89</v>
      </c>
      <c r="C22" s="59">
        <f>SUM(C20:C21)</f>
        <v>53719672.362942189</v>
      </c>
      <c r="D22" s="55"/>
    </row>
    <row r="23" spans="1:12" ht="15.75" thickTop="1" x14ac:dyDescent="0.25">
      <c r="A23" s="45">
        <f t="shared" si="0"/>
        <v>19</v>
      </c>
      <c r="C23"/>
      <c r="D23"/>
      <c r="E23"/>
    </row>
    <row r="24" spans="1:12" x14ac:dyDescent="0.25">
      <c r="A24" s="63">
        <f t="shared" si="0"/>
        <v>20</v>
      </c>
      <c r="B24" s="63"/>
      <c r="C24" s="64"/>
      <c r="D24" s="63"/>
    </row>
    <row r="25" spans="1:12" x14ac:dyDescent="0.25">
      <c r="A25" s="45">
        <f t="shared" si="0"/>
        <v>21</v>
      </c>
      <c r="C25" s="60"/>
    </row>
    <row r="26" spans="1:12" x14ac:dyDescent="0.25">
      <c r="A26" s="45">
        <f t="shared" si="0"/>
        <v>22</v>
      </c>
      <c r="C26" s="65">
        <f>+'[3]COC, Def, ConvF'!$H$14</f>
        <v>7.6200000000000004E-2</v>
      </c>
      <c r="D26" s="46">
        <v>7.600000011920148E-2</v>
      </c>
      <c r="E26" s="47" t="s">
        <v>120</v>
      </c>
      <c r="F26" s="46"/>
      <c r="G26" s="46"/>
      <c r="H26" s="46"/>
      <c r="J26" s="46"/>
      <c r="K26" s="46"/>
      <c r="L26" s="46"/>
    </row>
    <row r="27" spans="1:12" x14ac:dyDescent="0.25">
      <c r="A27" s="45">
        <f t="shared" si="0"/>
        <v>23</v>
      </c>
      <c r="C27" s="47" t="s">
        <v>119</v>
      </c>
      <c r="D27" s="47" t="s">
        <v>96</v>
      </c>
      <c r="E27" s="47" t="s">
        <v>119</v>
      </c>
      <c r="F27" s="66"/>
      <c r="G27" s="66"/>
      <c r="H27" s="66"/>
      <c r="I27" s="53"/>
      <c r="J27" s="48"/>
      <c r="K27" s="48"/>
      <c r="L27" s="48"/>
    </row>
    <row r="28" spans="1:12" x14ac:dyDescent="0.25">
      <c r="A28" s="49">
        <f t="shared" si="0"/>
        <v>24</v>
      </c>
      <c r="B28" s="50" t="s">
        <v>97</v>
      </c>
      <c r="C28" s="51">
        <v>43465</v>
      </c>
      <c r="D28" s="51">
        <v>42643</v>
      </c>
      <c r="E28" s="51" t="s">
        <v>98</v>
      </c>
      <c r="F28" s="52"/>
      <c r="G28" s="52"/>
      <c r="H28" s="52"/>
      <c r="I28" s="53"/>
      <c r="J28" s="52"/>
      <c r="K28" s="52"/>
      <c r="L28" s="52"/>
    </row>
    <row r="29" spans="1:12" x14ac:dyDescent="0.25">
      <c r="A29" s="45">
        <f t="shared" si="0"/>
        <v>25</v>
      </c>
      <c r="F29" s="53"/>
      <c r="G29" s="53"/>
      <c r="H29" s="53"/>
      <c r="I29" s="53"/>
      <c r="J29" s="53"/>
      <c r="K29" s="53"/>
      <c r="L29" s="53"/>
    </row>
    <row r="30" spans="1:12" x14ac:dyDescent="0.25">
      <c r="A30" s="45">
        <f t="shared" si="0"/>
        <v>26</v>
      </c>
      <c r="B30" s="18" t="s">
        <v>90</v>
      </c>
      <c r="D30" s="56"/>
      <c r="F30" s="53"/>
      <c r="G30" s="67" t="s">
        <v>99</v>
      </c>
      <c r="H30" s="67" t="s">
        <v>100</v>
      </c>
      <c r="I30" s="53"/>
      <c r="J30" s="53"/>
      <c r="K30" s="53"/>
      <c r="L30" s="53"/>
    </row>
    <row r="31" spans="1:12" x14ac:dyDescent="0.25">
      <c r="A31" s="45">
        <f t="shared" si="0"/>
        <v>27</v>
      </c>
      <c r="B31" s="45" t="s">
        <v>101</v>
      </c>
      <c r="C31" s="54">
        <f>C55*C26</f>
        <v>413658411.73631132</v>
      </c>
      <c r="D31" s="54">
        <f>D55*D26</f>
        <v>392656605.28302407</v>
      </c>
      <c r="E31" s="54">
        <f>+C31-D31</f>
        <v>21001806.453287244</v>
      </c>
      <c r="F31" s="68" t="s">
        <v>102</v>
      </c>
      <c r="G31" s="54">
        <f>E55*D44</f>
        <v>19916089.484277144</v>
      </c>
      <c r="H31" s="54">
        <f>C55*(C44-D44)</f>
        <v>1085716.9690100905</v>
      </c>
      <c r="I31" s="61">
        <f>E31-G31-H31</f>
        <v>9.3132257461547852E-9</v>
      </c>
      <c r="J31" s="55"/>
      <c r="K31" s="55"/>
      <c r="L31" s="55"/>
    </row>
    <row r="32" spans="1:12" x14ac:dyDescent="0.25">
      <c r="A32" s="45">
        <f>A31+1</f>
        <v>28</v>
      </c>
      <c r="B32" s="45" t="s">
        <v>103</v>
      </c>
      <c r="C32" s="77">
        <f>+'P&amp;L Summary'!B56-C33</f>
        <v>1302120632.2333479</v>
      </c>
      <c r="D32" s="77">
        <f>+'P&amp;L Summary'!C56-D33</f>
        <v>1293277775.4043143</v>
      </c>
      <c r="E32" s="77">
        <f>+C32-D32</f>
        <v>8842856.8290336132</v>
      </c>
      <c r="F32" s="57"/>
      <c r="G32" s="57"/>
      <c r="H32" s="57"/>
      <c r="I32" s="53"/>
      <c r="J32" s="57"/>
      <c r="K32" s="57"/>
      <c r="L32" s="57"/>
    </row>
    <row r="33" spans="1:12" x14ac:dyDescent="0.25">
      <c r="A33" s="45">
        <f t="shared" ref="A33:A63" si="1">A32+1</f>
        <v>29</v>
      </c>
      <c r="B33" s="45" t="s">
        <v>104</v>
      </c>
      <c r="C33" s="78">
        <f>+'P&amp;L Summary'!B52</f>
        <v>441142018.4547528</v>
      </c>
      <c r="D33" s="78">
        <f>+'P&amp;L Summary'!C52</f>
        <v>369813467.44846964</v>
      </c>
      <c r="E33" s="78">
        <f>+C33-D33</f>
        <v>71328551.006283164</v>
      </c>
      <c r="F33" s="58"/>
      <c r="G33" s="58"/>
      <c r="H33" s="58"/>
      <c r="I33" s="53"/>
      <c r="J33" s="58"/>
      <c r="K33" s="58"/>
      <c r="L33" s="58"/>
    </row>
    <row r="34" spans="1:12" ht="15.75" thickBot="1" x14ac:dyDescent="0.3">
      <c r="A34" s="45">
        <f t="shared" si="1"/>
        <v>30</v>
      </c>
      <c r="B34" s="45" t="s">
        <v>105</v>
      </c>
      <c r="C34" s="59">
        <f>SUM(C31:C33)</f>
        <v>2156921062.4244123</v>
      </c>
      <c r="D34" s="59">
        <f>SUM(D31:D33)</f>
        <v>2055747848.135808</v>
      </c>
      <c r="E34" s="59">
        <f>+C34-D34</f>
        <v>101173214.28860426</v>
      </c>
      <c r="F34" s="55"/>
      <c r="G34" s="55"/>
      <c r="H34" s="55"/>
      <c r="I34" s="53"/>
      <c r="J34" s="55"/>
      <c r="K34" s="55"/>
      <c r="L34" s="55"/>
    </row>
    <row r="35" spans="1:12" ht="15.75" thickTop="1" x14ac:dyDescent="0.25">
      <c r="A35" s="45">
        <f t="shared" si="1"/>
        <v>31</v>
      </c>
      <c r="C35" s="69">
        <f>+'P&amp;L Summary'!B47-C34</f>
        <v>-0.25467109680175781</v>
      </c>
      <c r="D35" s="69">
        <f>+'P&amp;L Summary'!C47-D34</f>
        <v>0</v>
      </c>
      <c r="F35" s="70"/>
      <c r="G35" s="53"/>
      <c r="H35" s="53"/>
      <c r="I35" s="53"/>
      <c r="J35" s="70"/>
      <c r="K35" s="53"/>
      <c r="L35" s="53"/>
    </row>
    <row r="36" spans="1:12" x14ac:dyDescent="0.25">
      <c r="A36" s="45">
        <f t="shared" si="1"/>
        <v>32</v>
      </c>
      <c r="B36" s="18" t="s">
        <v>95</v>
      </c>
      <c r="C36" s="5"/>
      <c r="D36" s="56"/>
      <c r="F36" s="36"/>
      <c r="G36" s="36"/>
      <c r="H36" s="36"/>
      <c r="I36" s="53"/>
      <c r="J36" s="36"/>
      <c r="K36" s="36"/>
      <c r="L36" s="36"/>
    </row>
    <row r="37" spans="1:12" x14ac:dyDescent="0.25">
      <c r="A37" s="45">
        <f t="shared" si="1"/>
        <v>33</v>
      </c>
      <c r="B37" s="45" t="s">
        <v>101</v>
      </c>
      <c r="C37" s="54">
        <f>C63*C26</f>
        <v>160985657.13783646</v>
      </c>
      <c r="D37" s="54">
        <f>D63*D26</f>
        <v>134173210.60569748</v>
      </c>
      <c r="E37" s="54">
        <f>+C37-D37</f>
        <v>26812446.532138973</v>
      </c>
      <c r="F37" s="68" t="s">
        <v>102</v>
      </c>
      <c r="G37" s="54">
        <f>E63*D44</f>
        <v>26389912.250802502</v>
      </c>
      <c r="H37" s="54">
        <f>C63*(C44-D44)</f>
        <v>422534.28133647371</v>
      </c>
      <c r="I37" s="61">
        <f>E37-G37-H37</f>
        <v>-2.2700987756252289E-9</v>
      </c>
      <c r="J37" s="55"/>
      <c r="K37" s="55"/>
      <c r="L37" s="55"/>
    </row>
    <row r="38" spans="1:12" x14ac:dyDescent="0.25">
      <c r="A38" s="45">
        <f t="shared" si="1"/>
        <v>34</v>
      </c>
      <c r="B38" s="45" t="s">
        <v>103</v>
      </c>
      <c r="C38" s="77">
        <f>+'P&amp;L Summary'!F56-C39</f>
        <v>528293952.43820184</v>
      </c>
      <c r="D38" s="77">
        <f>+'P&amp;L Summary'!G56-D39</f>
        <v>561147073.16019702</v>
      </c>
      <c r="E38" s="77">
        <f>+C38-D38</f>
        <v>-32853120.721995175</v>
      </c>
      <c r="F38" s="57"/>
      <c r="G38" s="57"/>
      <c r="H38" s="57"/>
      <c r="I38" s="53"/>
      <c r="J38" s="57"/>
      <c r="K38" s="57"/>
      <c r="L38" s="57"/>
    </row>
    <row r="39" spans="1:12" x14ac:dyDescent="0.25">
      <c r="A39" s="45">
        <f t="shared" si="1"/>
        <v>35</v>
      </c>
      <c r="B39" s="45" t="s">
        <v>104</v>
      </c>
      <c r="C39" s="78">
        <f>+'P&amp;L Summary'!F52</f>
        <v>159157191.37666124</v>
      </c>
      <c r="D39" s="78">
        <f>+'P&amp;L Summary'!G52</f>
        <v>113458018.27583545</v>
      </c>
      <c r="E39" s="78">
        <f>+C39-D39</f>
        <v>45699173.100825787</v>
      </c>
      <c r="F39" s="58"/>
      <c r="G39" s="58"/>
      <c r="H39" s="58"/>
      <c r="I39" s="53"/>
      <c r="J39" s="58"/>
      <c r="K39" s="58"/>
      <c r="L39" s="58"/>
    </row>
    <row r="40" spans="1:12" ht="15.75" thickBot="1" x14ac:dyDescent="0.3">
      <c r="A40" s="45">
        <f t="shared" si="1"/>
        <v>36</v>
      </c>
      <c r="B40" s="45" t="s">
        <v>106</v>
      </c>
      <c r="C40" s="59">
        <f>SUM(C37:C39)</f>
        <v>848436800.95269966</v>
      </c>
      <c r="D40" s="59">
        <f>SUM(D37:D39)</f>
        <v>808778302.04172993</v>
      </c>
      <c r="E40" s="59">
        <f>+C40-D40</f>
        <v>39658498.910969734</v>
      </c>
      <c r="F40" s="55"/>
      <c r="G40" s="55"/>
      <c r="H40" s="55"/>
      <c r="I40" s="53"/>
      <c r="J40" s="55"/>
      <c r="K40" s="55"/>
      <c r="L40" s="55"/>
    </row>
    <row r="41" spans="1:12" ht="15.75" thickTop="1" x14ac:dyDescent="0.25">
      <c r="A41" s="45">
        <f t="shared" si="1"/>
        <v>37</v>
      </c>
      <c r="C41" s="69">
        <f>+'P&amp;L Summary'!F47-C40</f>
        <v>0.21747183799743652</v>
      </c>
      <c r="D41" s="69">
        <f>+'P&amp;L Summary'!G47-D40</f>
        <v>-0.43781185150146484</v>
      </c>
      <c r="F41" s="70"/>
      <c r="G41" s="53"/>
      <c r="H41" s="53"/>
      <c r="I41" s="53"/>
      <c r="J41" s="70"/>
      <c r="K41" s="53"/>
      <c r="L41" s="53"/>
    </row>
    <row r="42" spans="1:12" x14ac:dyDescent="0.25">
      <c r="A42" s="63">
        <f t="shared" si="1"/>
        <v>38</v>
      </c>
      <c r="B42" s="63"/>
      <c r="C42" s="64"/>
      <c r="D42" s="63"/>
      <c r="F42" s="53"/>
      <c r="G42" s="53"/>
      <c r="H42" s="53"/>
      <c r="I42" s="53"/>
      <c r="J42" s="53"/>
      <c r="K42" s="53"/>
      <c r="L42" s="53"/>
    </row>
    <row r="43" spans="1:12" x14ac:dyDescent="0.25">
      <c r="A43" s="45">
        <f t="shared" si="1"/>
        <v>39</v>
      </c>
      <c r="F43" s="53"/>
      <c r="G43" s="53"/>
      <c r="H43" s="53"/>
      <c r="I43" s="53"/>
      <c r="J43" s="53"/>
      <c r="K43" s="53"/>
      <c r="L43" s="53"/>
    </row>
    <row r="44" spans="1:12" x14ac:dyDescent="0.25">
      <c r="A44" s="45">
        <f t="shared" si="1"/>
        <v>40</v>
      </c>
      <c r="C44" s="46">
        <f>+'[3]COC, Def, ConvF'!$H$14</f>
        <v>7.6200000000000004E-2</v>
      </c>
      <c r="D44" s="46">
        <f>D26</f>
        <v>7.600000011920148E-2</v>
      </c>
      <c r="F44" s="53"/>
      <c r="G44" s="53"/>
      <c r="H44" s="53"/>
      <c r="I44" s="53"/>
      <c r="J44" s="53"/>
      <c r="K44" s="53"/>
      <c r="L44" s="53"/>
    </row>
    <row r="45" spans="1:12" x14ac:dyDescent="0.25">
      <c r="A45" s="45">
        <f t="shared" si="1"/>
        <v>41</v>
      </c>
      <c r="C45" s="47" t="s">
        <v>119</v>
      </c>
      <c r="D45" s="47" t="s">
        <v>96</v>
      </c>
      <c r="E45" s="47" t="s">
        <v>88</v>
      </c>
      <c r="F45" s="66"/>
      <c r="G45" s="66"/>
      <c r="H45" s="66"/>
      <c r="I45" s="53"/>
      <c r="J45" s="66"/>
      <c r="K45" s="66"/>
      <c r="L45" s="66"/>
    </row>
    <row r="46" spans="1:12" x14ac:dyDescent="0.25">
      <c r="A46" s="49">
        <f t="shared" si="1"/>
        <v>42</v>
      </c>
      <c r="B46" s="50" t="s">
        <v>107</v>
      </c>
      <c r="C46" s="51">
        <f>+C28</f>
        <v>43465</v>
      </c>
      <c r="D46" s="51">
        <v>42643</v>
      </c>
      <c r="E46" s="51" t="s">
        <v>98</v>
      </c>
      <c r="F46" s="52"/>
      <c r="G46" s="52"/>
      <c r="H46" s="52"/>
      <c r="I46" s="53"/>
      <c r="J46" s="71"/>
      <c r="K46" s="52"/>
      <c r="L46" s="52"/>
    </row>
    <row r="47" spans="1:12" x14ac:dyDescent="0.25">
      <c r="A47" s="45">
        <f t="shared" si="1"/>
        <v>43</v>
      </c>
      <c r="F47" s="53"/>
      <c r="G47" s="53"/>
      <c r="H47" s="53"/>
      <c r="I47" s="53"/>
      <c r="J47" s="53"/>
      <c r="K47" s="53"/>
      <c r="L47" s="53"/>
    </row>
    <row r="48" spans="1:12" x14ac:dyDescent="0.25">
      <c r="A48" s="45">
        <f t="shared" si="1"/>
        <v>44</v>
      </c>
      <c r="B48" s="18" t="s">
        <v>90</v>
      </c>
      <c r="F48" s="53"/>
      <c r="G48" s="53"/>
      <c r="H48" s="53"/>
      <c r="I48" s="53"/>
      <c r="J48" s="53"/>
      <c r="K48" s="53"/>
      <c r="L48" s="53"/>
    </row>
    <row r="49" spans="1:12" x14ac:dyDescent="0.25">
      <c r="A49" s="45">
        <f t="shared" si="1"/>
        <v>45</v>
      </c>
      <c r="B49" s="45" t="s">
        <v>108</v>
      </c>
      <c r="C49" s="72">
        <f>+'Links to Models'!B47</f>
        <v>10965881739.478994</v>
      </c>
      <c r="D49" s="72">
        <f>+'Links to Models'!C47</f>
        <v>9801651058.3894615</v>
      </c>
      <c r="E49" s="54">
        <f t="shared" ref="E49:E54" si="2">+C49-D49</f>
        <v>1164230681.0895329</v>
      </c>
      <c r="F49" s="73"/>
      <c r="G49" s="73"/>
      <c r="H49" s="73"/>
      <c r="I49" s="53"/>
      <c r="J49" s="53"/>
      <c r="K49" s="53"/>
      <c r="L49" s="73"/>
    </row>
    <row r="50" spans="1:12" x14ac:dyDescent="0.25">
      <c r="A50" s="45">
        <f t="shared" si="1"/>
        <v>46</v>
      </c>
      <c r="B50" s="45" t="s">
        <v>109</v>
      </c>
      <c r="C50" s="56">
        <f>+'Links to Models'!B48</f>
        <v>-4430239049.7081385</v>
      </c>
      <c r="D50" s="56">
        <f>+'Links to Models'!C48</f>
        <v>-3845713720.5158229</v>
      </c>
      <c r="E50" s="56">
        <f t="shared" si="2"/>
        <v>-584525329.19231558</v>
      </c>
      <c r="F50" s="57"/>
      <c r="G50" s="57"/>
      <c r="H50" s="57"/>
      <c r="I50" s="53"/>
      <c r="J50" s="53"/>
      <c r="K50" s="53"/>
      <c r="L50" s="57"/>
    </row>
    <row r="51" spans="1:12" x14ac:dyDescent="0.25">
      <c r="A51" s="45">
        <f t="shared" si="1"/>
        <v>47</v>
      </c>
      <c r="B51" s="45" t="s">
        <v>110</v>
      </c>
      <c r="C51" s="56">
        <f>+'Links to Models'!B49</f>
        <v>254905848.40334773</v>
      </c>
      <c r="D51" s="56">
        <f>+'Links to Models'!C49</f>
        <v>289481343.15060478</v>
      </c>
      <c r="E51" s="56">
        <f t="shared" si="2"/>
        <v>-34575494.747257054</v>
      </c>
      <c r="F51" s="57"/>
      <c r="G51" s="57"/>
      <c r="H51" s="57"/>
      <c r="I51" s="53"/>
      <c r="J51" s="53"/>
      <c r="K51" s="53"/>
      <c r="L51" s="57"/>
    </row>
    <row r="52" spans="1:12" x14ac:dyDescent="0.25">
      <c r="A52" s="45">
        <f t="shared" si="1"/>
        <v>48</v>
      </c>
      <c r="B52" s="45" t="s">
        <v>111</v>
      </c>
      <c r="C52" s="56">
        <f>+'Links to Models'!B50</f>
        <v>-1391244894.0998716</v>
      </c>
      <c r="D52" s="56">
        <f>+'Links to Models'!C50</f>
        <v>-1245172107.6922143</v>
      </c>
      <c r="E52" s="56">
        <f t="shared" si="2"/>
        <v>-146072786.40765738</v>
      </c>
      <c r="F52" s="57"/>
      <c r="G52" s="57"/>
      <c r="H52" s="57"/>
      <c r="I52" s="53"/>
      <c r="J52" s="53"/>
      <c r="K52" s="53"/>
      <c r="L52" s="57"/>
    </row>
    <row r="53" spans="1:12" x14ac:dyDescent="0.25">
      <c r="A53" s="45">
        <f t="shared" si="1"/>
        <v>49</v>
      </c>
      <c r="B53" s="45" t="s">
        <v>112</v>
      </c>
      <c r="C53" s="56">
        <f>+'Links to Models'!B51</f>
        <v>137375215.94916266</v>
      </c>
      <c r="D53" s="56">
        <f>+'Links to Models'!C51</f>
        <v>246011331.39146316</v>
      </c>
      <c r="E53" s="56">
        <f t="shared" si="2"/>
        <v>-108636115.4423005</v>
      </c>
      <c r="F53" s="57"/>
      <c r="G53" s="57"/>
      <c r="H53" s="57"/>
      <c r="I53" s="53"/>
      <c r="J53" s="53"/>
      <c r="K53" s="53"/>
      <c r="L53" s="57"/>
    </row>
    <row r="54" spans="1:12" x14ac:dyDescent="0.25">
      <c r="A54" s="45">
        <f t="shared" si="1"/>
        <v>50</v>
      </c>
      <c r="B54" s="45" t="s">
        <v>113</v>
      </c>
      <c r="C54" s="56">
        <f>+'Links to Models'!B52</f>
        <v>-108090779.49447501</v>
      </c>
      <c r="D54" s="56">
        <f>+'Links to Models'!C52</f>
        <v>-79723632.787103415</v>
      </c>
      <c r="E54" s="56">
        <f t="shared" si="2"/>
        <v>-28367146.707371593</v>
      </c>
      <c r="F54" s="57"/>
      <c r="G54" s="57"/>
      <c r="H54" s="57"/>
      <c r="I54" s="53"/>
      <c r="J54" s="53"/>
      <c r="K54" s="53"/>
      <c r="L54" s="57"/>
    </row>
    <row r="55" spans="1:12" ht="15.75" thickBot="1" x14ac:dyDescent="0.3">
      <c r="A55" s="45">
        <f t="shared" si="1"/>
        <v>51</v>
      </c>
      <c r="B55" s="45" t="s">
        <v>114</v>
      </c>
      <c r="C55" s="74">
        <f>SUM(C49:C54)</f>
        <v>5428588080.5290194</v>
      </c>
      <c r="D55" s="74">
        <f>SUM(D49:D54)</f>
        <v>5166534271.936389</v>
      </c>
      <c r="E55" s="74">
        <f>SUM(E49:E54)</f>
        <v>262053808.5926308</v>
      </c>
      <c r="F55" s="73"/>
      <c r="G55" s="73"/>
      <c r="H55" s="73"/>
      <c r="I55" s="53"/>
      <c r="J55" s="73"/>
      <c r="K55" s="73"/>
      <c r="L55" s="73"/>
    </row>
    <row r="56" spans="1:12" ht="15.75" thickTop="1" x14ac:dyDescent="0.25">
      <c r="A56" s="45">
        <f t="shared" si="1"/>
        <v>52</v>
      </c>
      <c r="C56" s="69">
        <f>+'Links to Models'!B53-C55</f>
        <v>0</v>
      </c>
      <c r="D56" s="69">
        <f>+'Links to Models'!C53-D55</f>
        <v>0</v>
      </c>
      <c r="F56" s="53"/>
      <c r="G56" s="53"/>
      <c r="H56" s="53"/>
      <c r="I56" s="53"/>
      <c r="J56" s="53"/>
      <c r="K56" s="53"/>
      <c r="L56" s="53"/>
    </row>
    <row r="57" spans="1:12" x14ac:dyDescent="0.25">
      <c r="A57" s="45">
        <f t="shared" si="1"/>
        <v>53</v>
      </c>
      <c r="B57" s="18" t="s">
        <v>95</v>
      </c>
      <c r="F57" s="53"/>
      <c r="G57" s="53"/>
      <c r="H57" s="53"/>
      <c r="I57" s="53"/>
      <c r="J57" s="53"/>
      <c r="K57" s="53"/>
      <c r="L57" s="53"/>
    </row>
    <row r="58" spans="1:12" x14ac:dyDescent="0.25">
      <c r="A58" s="45">
        <f t="shared" si="1"/>
        <v>54</v>
      </c>
      <c r="B58" s="45" t="s">
        <v>115</v>
      </c>
      <c r="C58" s="75">
        <f>+'Links to Models'!F47</f>
        <v>4329775326.8504925</v>
      </c>
      <c r="D58" s="75">
        <f>+'Links to Models'!G47</f>
        <v>3584727602.3317013</v>
      </c>
      <c r="E58" s="54">
        <f>+C58-D58</f>
        <v>745047724.5187912</v>
      </c>
    </row>
    <row r="59" spans="1:12" x14ac:dyDescent="0.25">
      <c r="A59" s="45">
        <f>A58+1</f>
        <v>55</v>
      </c>
      <c r="B59" s="45" t="s">
        <v>116</v>
      </c>
      <c r="C59" s="62">
        <f>+'Links to Models'!F48</f>
        <v>-1650386813.5120428</v>
      </c>
      <c r="D59" s="62">
        <f>+'Links to Models'!G48</f>
        <v>-1360298497.686322</v>
      </c>
      <c r="E59" s="56">
        <f>+C59-D59</f>
        <v>-290088315.82572079</v>
      </c>
    </row>
    <row r="60" spans="1:12" x14ac:dyDescent="0.25">
      <c r="A60" s="45">
        <f t="shared" si="1"/>
        <v>56</v>
      </c>
      <c r="B60" s="45" t="s">
        <v>117</v>
      </c>
      <c r="C60" s="62">
        <f>+'Links to Models'!F49</f>
        <v>-601828300.28014243</v>
      </c>
      <c r="D60" s="62">
        <f>+'Links to Models'!G49</f>
        <v>-511214275.71564537</v>
      </c>
      <c r="E60" s="56">
        <f>+C60-D60</f>
        <v>-90614024.564497054</v>
      </c>
    </row>
    <row r="61" spans="1:12" x14ac:dyDescent="0.25">
      <c r="A61" s="45">
        <f t="shared" si="1"/>
        <v>57</v>
      </c>
      <c r="B61" s="45" t="s">
        <v>118</v>
      </c>
      <c r="C61" s="62">
        <f>+'Links to Models'!F50</f>
        <v>-18443372.966716439</v>
      </c>
      <c r="D61" s="62">
        <f>+'Links to Models'!G50</f>
        <v>-30161803</v>
      </c>
      <c r="E61" s="56">
        <f>+C61-D61</f>
        <v>11718430.033283561</v>
      </c>
    </row>
    <row r="62" spans="1:12" x14ac:dyDescent="0.25">
      <c r="A62" s="45">
        <f t="shared" si="1"/>
        <v>58</v>
      </c>
      <c r="B62" s="45" t="s">
        <v>112</v>
      </c>
      <c r="C62" s="62">
        <f>+'Links to Models'!F51</f>
        <v>53555825.759281471</v>
      </c>
      <c r="D62" s="62">
        <f>+'Links to Models'!G51</f>
        <v>82383952.955197617</v>
      </c>
      <c r="E62" s="56">
        <f>+C62-D62</f>
        <v>-28828127.195916146</v>
      </c>
    </row>
    <row r="63" spans="1:12" ht="15.75" thickBot="1" x14ac:dyDescent="0.3">
      <c r="A63" s="45">
        <f t="shared" si="1"/>
        <v>59</v>
      </c>
      <c r="B63" s="45" t="s">
        <v>114</v>
      </c>
      <c r="C63" s="76">
        <f>SUM(C58:C62)</f>
        <v>2112672665.850872</v>
      </c>
      <c r="D63" s="74">
        <f>SUM(D58:D62)</f>
        <v>1765436978.8849313</v>
      </c>
      <c r="E63" s="74">
        <f>SUM(E58:E62)</f>
        <v>347235686.96594071</v>
      </c>
    </row>
    <row r="64" spans="1:12" ht="15.75" thickTop="1" x14ac:dyDescent="0.25">
      <c r="C64" s="69">
        <v>0</v>
      </c>
      <c r="D64" s="69">
        <f>+'Links to Models'!G53-D63</f>
        <v>0</v>
      </c>
    </row>
    <row r="65" spans="3:4" x14ac:dyDescent="0.25">
      <c r="C65" s="56"/>
      <c r="D65" s="56"/>
    </row>
    <row r="66" spans="3:4" x14ac:dyDescent="0.25">
      <c r="C66" s="56"/>
      <c r="D66" s="56"/>
    </row>
    <row r="67" spans="3:4" x14ac:dyDescent="0.25">
      <c r="C67" s="56"/>
      <c r="D67" s="56"/>
    </row>
  </sheetData>
  <printOptions horizontalCentered="1"/>
  <pageMargins left="0.45" right="0.45" top="0.5" bottom="0.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2" sqref="C22"/>
    </sheetView>
  </sheetViews>
  <sheetFormatPr defaultRowHeight="15" x14ac:dyDescent="0.25"/>
  <cols>
    <col min="1" max="1" width="9.42578125" bestFit="1" customWidth="1"/>
    <col min="2" max="2" width="27.7109375" bestFit="1" customWidth="1"/>
    <col min="3" max="5" width="15.28515625" bestFit="1" customWidth="1"/>
    <col min="6" max="6" width="4.5703125" style="92" customWidth="1"/>
    <col min="7" max="7" width="18.85546875" bestFit="1" customWidth="1"/>
    <col min="8" max="9" width="14.42578125" bestFit="1" customWidth="1"/>
    <col min="10" max="10" width="15.28515625" bestFit="1" customWidth="1"/>
    <col min="11" max="16384" width="9.140625" style="92"/>
  </cols>
  <sheetData>
    <row r="1" spans="1:10" x14ac:dyDescent="0.25">
      <c r="A1" s="89"/>
      <c r="B1" s="89"/>
      <c r="C1" s="89"/>
      <c r="D1" s="89"/>
      <c r="E1" s="89"/>
      <c r="G1" s="89"/>
      <c r="H1" s="89"/>
      <c r="I1" s="89"/>
      <c r="J1" s="89"/>
    </row>
    <row r="5" spans="1:10" x14ac:dyDescent="0.25">
      <c r="C5" s="94"/>
      <c r="D5" s="88"/>
      <c r="E5" s="88"/>
    </row>
    <row r="6" spans="1:10" x14ac:dyDescent="0.25">
      <c r="A6" s="87" t="s">
        <v>134</v>
      </c>
      <c r="B6" s="87" t="s">
        <v>133</v>
      </c>
      <c r="C6" s="87" t="s">
        <v>42</v>
      </c>
      <c r="D6" s="87" t="s">
        <v>43</v>
      </c>
      <c r="E6" s="87" t="s">
        <v>132</v>
      </c>
      <c r="G6" s="87" t="s">
        <v>133</v>
      </c>
      <c r="H6" s="87" t="s">
        <v>42</v>
      </c>
      <c r="I6" s="87" t="s">
        <v>43</v>
      </c>
      <c r="J6" s="87" t="s">
        <v>132</v>
      </c>
    </row>
    <row r="8" spans="1:10" x14ac:dyDescent="0.25">
      <c r="A8">
        <v>1</v>
      </c>
      <c r="B8" s="83" t="s">
        <v>143</v>
      </c>
      <c r="C8" s="94" t="s">
        <v>144</v>
      </c>
      <c r="D8" s="88"/>
      <c r="E8" s="88"/>
      <c r="G8" s="83" t="s">
        <v>143</v>
      </c>
      <c r="H8" s="94" t="s">
        <v>145</v>
      </c>
      <c r="I8" s="88"/>
      <c r="J8" s="88"/>
    </row>
    <row r="9" spans="1:10" x14ac:dyDescent="0.25">
      <c r="A9">
        <v>2</v>
      </c>
      <c r="B9" t="s">
        <v>131</v>
      </c>
      <c r="C9" s="28">
        <f>+'Links to Models'!J7</f>
        <v>1996675023.7812319</v>
      </c>
      <c r="D9" s="28">
        <f>+'Links to Models'!N7</f>
        <v>751958168.20017147</v>
      </c>
      <c r="E9" s="28">
        <f>SUM(C9:D9)</f>
        <v>2748633191.9814034</v>
      </c>
      <c r="G9" t="s">
        <v>127</v>
      </c>
      <c r="H9" s="28">
        <f>'P&amp;L Summary'!B46</f>
        <v>55416055.228509635</v>
      </c>
      <c r="I9" s="86">
        <f>+'Links to Models'!N10</f>
        <v>10350293.969999997</v>
      </c>
      <c r="J9" s="28">
        <f>SUM(H9:I9)</f>
        <v>65766349.198509634</v>
      </c>
    </row>
    <row r="10" spans="1:10" x14ac:dyDescent="0.25">
      <c r="A10">
        <v>3</v>
      </c>
      <c r="B10" t="s">
        <v>130</v>
      </c>
      <c r="C10" s="81">
        <v>0</v>
      </c>
      <c r="D10" s="85"/>
      <c r="E10" s="81">
        <f>SUM(C10:D10)</f>
        <v>0</v>
      </c>
      <c r="G10" t="s">
        <v>124</v>
      </c>
      <c r="H10" s="81">
        <f>+'Links to Models'!J8</f>
        <v>327360.15999999898</v>
      </c>
      <c r="I10" s="81"/>
      <c r="J10" s="81">
        <f>SUM(H10:I10)</f>
        <v>327360.15999999898</v>
      </c>
    </row>
    <row r="11" spans="1:10" x14ac:dyDescent="0.25">
      <c r="A11">
        <v>4</v>
      </c>
      <c r="B11" t="s">
        <v>121</v>
      </c>
      <c r="C11" s="79">
        <f>SUM(C9:C10)</f>
        <v>1996675023.7812319</v>
      </c>
      <c r="D11" s="79">
        <f>SUM(D9:D10)</f>
        <v>751958168.20017147</v>
      </c>
      <c r="E11" s="79">
        <f>SUM(E9:E10)</f>
        <v>2748633191.9814034</v>
      </c>
      <c r="F11" s="225"/>
      <c r="G11" t="s">
        <v>121</v>
      </c>
      <c r="H11" s="79">
        <f>SUM(H9:H10)</f>
        <v>55743415.388509631</v>
      </c>
      <c r="I11" s="79">
        <f>SUM(I9:I10)</f>
        <v>10350293.969999997</v>
      </c>
      <c r="J11" s="79">
        <f>SUM(J9:J10)</f>
        <v>66093709.35850963</v>
      </c>
    </row>
    <row r="12" spans="1:10" x14ac:dyDescent="0.25">
      <c r="A12">
        <v>5</v>
      </c>
      <c r="C12" s="79"/>
      <c r="D12" s="79"/>
      <c r="E12" s="79"/>
      <c r="F12" s="225"/>
      <c r="H12" s="79"/>
      <c r="I12" s="79"/>
      <c r="J12" s="79"/>
    </row>
    <row r="13" spans="1:10" x14ac:dyDescent="0.25">
      <c r="A13">
        <v>6</v>
      </c>
      <c r="B13" s="83" t="s">
        <v>96</v>
      </c>
      <c r="C13" s="94" t="s">
        <v>147</v>
      </c>
      <c r="D13" s="88"/>
      <c r="E13" s="88"/>
      <c r="F13" s="225"/>
      <c r="G13" s="83" t="s">
        <v>96</v>
      </c>
      <c r="H13" s="94" t="s">
        <v>148</v>
      </c>
      <c r="I13" s="88"/>
      <c r="J13" s="88"/>
    </row>
    <row r="14" spans="1:10" x14ac:dyDescent="0.25">
      <c r="A14">
        <v>7</v>
      </c>
      <c r="B14" t="s">
        <v>131</v>
      </c>
      <c r="C14" s="86">
        <f>+'Links to Models'!C7</f>
        <v>1996290327.3217025</v>
      </c>
      <c r="D14" s="86">
        <f>+'Links to Models'!G7</f>
        <v>795727158.91391814</v>
      </c>
      <c r="E14" s="28">
        <f>SUM(C14:D14)</f>
        <v>2792017486.2356205</v>
      </c>
      <c r="F14" s="86"/>
      <c r="G14" t="s">
        <v>127</v>
      </c>
      <c r="H14" s="28">
        <f>'P&amp;L Summary'!C46</f>
        <v>58773085.875925675</v>
      </c>
      <c r="I14" s="28">
        <f>+'Links to Models'!G10</f>
        <v>13051142.689999998</v>
      </c>
      <c r="J14" s="28">
        <f>SUM(H14:I14)</f>
        <v>71824228.565925673</v>
      </c>
    </row>
    <row r="15" spans="1:10" x14ac:dyDescent="0.25">
      <c r="A15">
        <v>8</v>
      </c>
      <c r="B15" t="s">
        <v>130</v>
      </c>
      <c r="C15" s="81"/>
      <c r="D15" s="85"/>
      <c r="E15" s="81">
        <f>SUM(C15:D15)</f>
        <v>0</v>
      </c>
      <c r="F15" s="85"/>
      <c r="G15" t="s">
        <v>124</v>
      </c>
      <c r="H15" s="81">
        <f>+'Links to Models'!C8</f>
        <v>684434.93817964476</v>
      </c>
      <c r="I15" s="81"/>
      <c r="J15" s="81">
        <f>SUM(H15:I15)</f>
        <v>684434.93817964476</v>
      </c>
    </row>
    <row r="16" spans="1:10" x14ac:dyDescent="0.25">
      <c r="A16">
        <v>9</v>
      </c>
      <c r="B16" t="s">
        <v>121</v>
      </c>
      <c r="C16" s="79">
        <f>SUM(C14:C15)</f>
        <v>1996290327.3217025</v>
      </c>
      <c r="D16" s="79">
        <f>SUM(D14:D15)</f>
        <v>795727158.91391814</v>
      </c>
      <c r="E16" s="79">
        <f>SUM(E14:E15)</f>
        <v>2792017486.2356205</v>
      </c>
      <c r="F16" s="225"/>
      <c r="G16" t="s">
        <v>121</v>
      </c>
      <c r="H16" s="79">
        <f>SUM(H14:H15)</f>
        <v>59457520.814105317</v>
      </c>
      <c r="I16" s="79">
        <f>SUM(I14:I15)</f>
        <v>13051142.689999998</v>
      </c>
      <c r="J16" s="79">
        <f>SUM(J14:J15)</f>
        <v>72508663.504105315</v>
      </c>
    </row>
    <row r="17" spans="1:10" x14ac:dyDescent="0.25">
      <c r="A17">
        <v>10</v>
      </c>
      <c r="C17" s="84"/>
      <c r="D17" s="84"/>
      <c r="E17" s="84"/>
      <c r="F17" s="226"/>
      <c r="H17" s="84"/>
      <c r="I17" s="84"/>
      <c r="J17" s="84"/>
    </row>
    <row r="18" spans="1:10" x14ac:dyDescent="0.25">
      <c r="A18">
        <v>11</v>
      </c>
      <c r="B18" s="83" t="s">
        <v>146</v>
      </c>
      <c r="C18" s="82"/>
      <c r="D18" s="82"/>
      <c r="E18" s="82"/>
      <c r="F18" s="226"/>
      <c r="G18" s="83" t="s">
        <v>146</v>
      </c>
      <c r="H18" s="82"/>
      <c r="I18" s="82"/>
      <c r="J18" s="82"/>
    </row>
    <row r="19" spans="1:10" x14ac:dyDescent="0.25">
      <c r="A19" s="80" t="s">
        <v>129</v>
      </c>
      <c r="B19" t="s">
        <v>128</v>
      </c>
      <c r="C19" s="28">
        <f>C9-C14</f>
        <v>384696.45952939987</v>
      </c>
      <c r="D19" s="28">
        <f>D9-D14</f>
        <v>-43768990.713746667</v>
      </c>
      <c r="E19" s="28">
        <f>SUM(C19:D19)</f>
        <v>-43384294.254217267</v>
      </c>
      <c r="F19" s="86"/>
      <c r="G19" t="s">
        <v>127</v>
      </c>
      <c r="H19" s="28">
        <f>H9-H14</f>
        <v>-3357030.6474160403</v>
      </c>
      <c r="I19" s="28">
        <f>I9-I14</f>
        <v>-2700848.7200000007</v>
      </c>
      <c r="J19" s="28">
        <f>SUM(H19:I19)</f>
        <v>-6057879.367416041</v>
      </c>
    </row>
    <row r="20" spans="1:10" x14ac:dyDescent="0.25">
      <c r="A20" s="80" t="s">
        <v>126</v>
      </c>
      <c r="B20" t="s">
        <v>125</v>
      </c>
      <c r="C20" s="81">
        <f>C10-C15</f>
        <v>0</v>
      </c>
      <c r="D20" s="81">
        <f>D10-D15</f>
        <v>0</v>
      </c>
      <c r="E20" s="81">
        <f>SUM(C20:D20)</f>
        <v>0</v>
      </c>
      <c r="F20" s="85"/>
      <c r="G20" t="s">
        <v>124</v>
      </c>
      <c r="H20" s="81">
        <f>H10-H15</f>
        <v>-357074.77817964577</v>
      </c>
      <c r="I20" s="81">
        <f>I10-I15</f>
        <v>0</v>
      </c>
      <c r="J20" s="81">
        <f>SUM(H20:I20)</f>
        <v>-357074.77817964577</v>
      </c>
    </row>
    <row r="21" spans="1:10" x14ac:dyDescent="0.25">
      <c r="A21" s="80" t="s">
        <v>123</v>
      </c>
      <c r="B21" t="s">
        <v>122</v>
      </c>
      <c r="C21" s="79">
        <f>SUM(C19:C20)</f>
        <v>384696.45952939987</v>
      </c>
      <c r="D21" s="79">
        <f>SUM(D19:D20)</f>
        <v>-43768990.713746667</v>
      </c>
      <c r="E21" s="79">
        <f>SUM(E19:E20)</f>
        <v>-43384294.254217267</v>
      </c>
      <c r="F21" s="225"/>
      <c r="G21" t="s">
        <v>121</v>
      </c>
      <c r="H21" s="79">
        <f>SUM(H19:H20)</f>
        <v>-3714105.4255956858</v>
      </c>
      <c r="I21" s="79">
        <f>SUM(I19:I20)</f>
        <v>-2700848.7200000007</v>
      </c>
      <c r="J21" s="79">
        <f>SUM(J19:J20)</f>
        <v>-6414954.1455956865</v>
      </c>
    </row>
    <row r="22" spans="1:10" x14ac:dyDescent="0.25">
      <c r="C22" s="28"/>
      <c r="D22" s="28"/>
    </row>
    <row r="23" spans="1:10" x14ac:dyDescent="0.25">
      <c r="D23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C75361-C3FD-48BB-8ED5-B072B726EE26}"/>
</file>

<file path=customXml/itemProps2.xml><?xml version="1.0" encoding="utf-8"?>
<ds:datastoreItem xmlns:ds="http://schemas.openxmlformats.org/officeDocument/2006/customXml" ds:itemID="{BCEC5CB6-AABC-45DC-B294-76489538F3E0}"/>
</file>

<file path=customXml/itemProps3.xml><?xml version="1.0" encoding="utf-8"?>
<ds:datastoreItem xmlns:ds="http://schemas.openxmlformats.org/officeDocument/2006/customXml" ds:itemID="{8623FC67-93EB-480D-BEB8-165F27100FAD}"/>
</file>

<file path=customXml/itemProps4.xml><?xml version="1.0" encoding="utf-8"?>
<ds:datastoreItem xmlns:ds="http://schemas.openxmlformats.org/officeDocument/2006/customXml" ds:itemID="{A6892A59-6F3A-4C52-A888-0BFE7FD67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for Testimony</vt:lpstr>
      <vt:lpstr>Change in Rate Base</vt:lpstr>
      <vt:lpstr>Depreciation</vt:lpstr>
      <vt:lpstr>Deferral Amortization</vt:lpstr>
      <vt:lpstr>Summary</vt:lpstr>
      <vt:lpstr>Amort of Gain Loss</vt:lpstr>
      <vt:lpstr>Causes Detail</vt:lpstr>
      <vt:lpstr>Rev Reqs</vt:lpstr>
      <vt:lpstr>Changes</vt:lpstr>
      <vt:lpstr>Links to Models</vt:lpstr>
      <vt:lpstr>P&amp;L Summary</vt:lpstr>
      <vt:lpstr>Other Schedules</vt:lpstr>
      <vt:lpstr>Remove PGA</vt:lpstr>
      <vt:lpstr>2017-Gas-GRC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MarvelousMarina</cp:lastModifiedBy>
  <dcterms:created xsi:type="dcterms:W3CDTF">2019-05-16T15:56:11Z</dcterms:created>
  <dcterms:modified xsi:type="dcterms:W3CDTF">2019-06-21T16:09:28Z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