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5412" yWindow="672" windowWidth="20028" windowHeight="7872" tabRatio="849" firstSheet="1" activeTab="1"/>
  </bookViews>
  <sheets>
    <sheet name="Acerno_Cache_XXXXX" sheetId="28" state="veryHidden" r:id="rId1"/>
    <sheet name="MR-DO-1" sheetId="2" r:id="rId2"/>
    <sheet name="2015-18 GL Est" sheetId="26" state="hidden" r:id="rId3"/>
    <sheet name="2014 GL Invoiced" sheetId="8" state="hidden" r:id="rId4"/>
    <sheet name="2013 GL Actual" sheetId="7" state="hidden" r:id="rId5"/>
    <sheet name="2018 D&amp;O Est" sheetId="13" r:id="rId6"/>
    <sheet name="2014 D&amp;O Invoiced" sheetId="12" state="hidden" r:id="rId7"/>
    <sheet name="2013 D&amp;O Invoiced" sheetId="11" state="hidden" r:id="rId8"/>
    <sheet name="2014-18  Prop Calcs for IA-2" sheetId="21" state="hidden" r:id="rId9"/>
    <sheet name="2012 Property Premium" sheetId="20" state="hidden" r:id="rId10"/>
    <sheet name="2013 Property Premium" sheetId="19" state="hidden" r:id="rId11"/>
    <sheet name="2015 Prop Prem Est" sheetId="17" state="hidden" r:id="rId12"/>
    <sheet name="2016 Prop Prem Est" sheetId="18" state="hidden" r:id="rId13"/>
    <sheet name="2017 Prop Prem Est" sheetId="22" state="hidden" r:id="rId14"/>
    <sheet name="2018 Prop Prem Est" sheetId="23" state="hidden" r:id="rId15"/>
    <sheet name="2019 Prop Prem Est" sheetId="27" state="hidden" r:id="rId16"/>
  </sheets>
  <definedNames>
    <definedName name="_xlnm.Print_Area" localSheetId="1">'MR-DO-1'!$A$1:$F$23</definedName>
  </definedNames>
  <calcPr calcId="152511"/>
</workbook>
</file>

<file path=xl/calcChain.xml><?xml version="1.0" encoding="utf-8"?>
<calcChain xmlns="http://schemas.openxmlformats.org/spreadsheetml/2006/main">
  <c r="D18" i="13" l="1"/>
  <c r="G70" i="13" s="1"/>
  <c r="G76" i="13" l="1"/>
  <c r="C28" i="13" l="1"/>
  <c r="F18" i="13"/>
  <c r="G20" i="13" l="1"/>
  <c r="G72" i="13" l="1"/>
  <c r="G74" i="13" s="1"/>
  <c r="G78" i="13" s="1"/>
  <c r="D7" i="2"/>
  <c r="D12" i="2" s="1"/>
  <c r="D25" i="18"/>
  <c r="H25" i="18"/>
  <c r="D21" i="2" l="1"/>
  <c r="D22" i="2"/>
  <c r="D16" i="2"/>
  <c r="P40" i="26"/>
  <c r="O38" i="26"/>
  <c r="P38" i="26"/>
  <c r="F21" i="21"/>
  <c r="J21" i="21" s="1"/>
  <c r="M21" i="21" s="1"/>
  <c r="R11" i="26"/>
  <c r="O11" i="26"/>
  <c r="R10" i="26"/>
  <c r="O10" i="26"/>
  <c r="R9" i="26"/>
  <c r="O9" i="26"/>
  <c r="R8" i="26"/>
  <c r="O8" i="26"/>
  <c r="R7" i="26"/>
  <c r="N7" i="26"/>
  <c r="O7" i="26" s="1"/>
  <c r="R6" i="26"/>
  <c r="O6" i="26"/>
  <c r="R5" i="26"/>
  <c r="O5" i="26"/>
  <c r="R4" i="26"/>
  <c r="O4" i="26"/>
  <c r="B25" i="22"/>
  <c r="B29" i="22" s="1"/>
  <c r="B27" i="23" s="1"/>
  <c r="B31" i="23" s="1"/>
  <c r="B27" i="27" s="1"/>
  <c r="B31" i="27" s="1"/>
  <c r="B22" i="18"/>
  <c r="B20" i="18"/>
  <c r="B18" i="18" s="1"/>
  <c r="Q69" i="26"/>
  <c r="U69" i="26" s="1"/>
  <c r="Q55" i="26"/>
  <c r="U55" i="26" s="1"/>
  <c r="N41" i="26"/>
  <c r="Q41" i="26"/>
  <c r="U41" i="26" s="1"/>
  <c r="C37" i="13"/>
  <c r="E37" i="13" s="1"/>
  <c r="G37" i="13" s="1"/>
  <c r="C31" i="13"/>
  <c r="E31" i="13" s="1"/>
  <c r="C30" i="13"/>
  <c r="E30" i="13" s="1"/>
  <c r="C52" i="13" s="1"/>
  <c r="E52" i="13" s="1"/>
  <c r="G52" i="13" s="1"/>
  <c r="Q65" i="26"/>
  <c r="U65" i="26" s="1"/>
  <c r="U66" i="26"/>
  <c r="S66" i="26"/>
  <c r="U64" i="26"/>
  <c r="S64" i="26"/>
  <c r="Q51" i="26"/>
  <c r="U51" i="26" s="1"/>
  <c r="U52" i="26"/>
  <c r="S52" i="26"/>
  <c r="U50" i="26"/>
  <c r="S50" i="26"/>
  <c r="Q37" i="26"/>
  <c r="U37" i="26" s="1"/>
  <c r="N37" i="26"/>
  <c r="N36" i="26"/>
  <c r="O36" i="26" s="1"/>
  <c r="N42" i="26"/>
  <c r="N39" i="26"/>
  <c r="U38" i="26"/>
  <c r="S38" i="26"/>
  <c r="U36" i="26"/>
  <c r="S36" i="26"/>
  <c r="T28" i="26"/>
  <c r="R28" i="26"/>
  <c r="P28" i="26"/>
  <c r="T29" i="26"/>
  <c r="R29" i="26"/>
  <c r="P29" i="26"/>
  <c r="P27" i="26"/>
  <c r="N27" i="26"/>
  <c r="N40" i="26" s="1"/>
  <c r="T26" i="26"/>
  <c r="R26" i="26"/>
  <c r="P26" i="26"/>
  <c r="S25" i="26"/>
  <c r="Q25" i="26"/>
  <c r="N25" i="26"/>
  <c r="N38" i="26" s="1"/>
  <c r="T24" i="26"/>
  <c r="R24" i="26"/>
  <c r="P24" i="26"/>
  <c r="T23" i="26"/>
  <c r="S23" i="26"/>
  <c r="Q23" i="26"/>
  <c r="R23" i="26" s="1"/>
  <c r="P23" i="26"/>
  <c r="G47" i="26"/>
  <c r="I47" i="26"/>
  <c r="G48" i="26"/>
  <c r="I48" i="26"/>
  <c r="G49" i="26"/>
  <c r="I49" i="26"/>
  <c r="A30" i="21"/>
  <c r="B10" i="22"/>
  <c r="B13" i="22" s="1"/>
  <c r="K14" i="21"/>
  <c r="L14" i="21" s="1"/>
  <c r="I14" i="21"/>
  <c r="B30" i="21" s="1"/>
  <c r="C30" i="21" s="1"/>
  <c r="D30" i="21" s="1"/>
  <c r="H14" i="21"/>
  <c r="L21" i="21" l="1"/>
  <c r="H21" i="21"/>
  <c r="T38" i="26"/>
  <c r="G31" i="13"/>
  <c r="C53" i="13"/>
  <c r="E53" i="13" s="1"/>
  <c r="G53" i="13" s="1"/>
  <c r="G30" i="13"/>
  <c r="C29" i="13"/>
  <c r="E29" i="13" s="1"/>
  <c r="C36" i="13"/>
  <c r="E36" i="13" s="1"/>
  <c r="G36" i="13" s="1"/>
  <c r="E28" i="13"/>
  <c r="C32" i="13"/>
  <c r="E32" i="13" s="1"/>
  <c r="C54" i="13" s="1"/>
  <c r="E54" i="13" s="1"/>
  <c r="G54" i="13" s="1"/>
  <c r="R37" i="26"/>
  <c r="S12" i="26"/>
  <c r="S15" i="26" s="1"/>
  <c r="N30" i="26"/>
  <c r="T25" i="26"/>
  <c r="C59" i="13"/>
  <c r="E59" i="13" s="1"/>
  <c r="G59" i="13" s="1"/>
  <c r="C35" i="13"/>
  <c r="E35" i="13" s="1"/>
  <c r="C34" i="13"/>
  <c r="E34" i="13" s="1"/>
  <c r="C33" i="13"/>
  <c r="E33" i="13" s="1"/>
  <c r="I48" i="21"/>
  <c r="R36" i="26"/>
  <c r="N50" i="26"/>
  <c r="P50" i="26" s="1"/>
  <c r="N64" i="26" s="1"/>
  <c r="P64" i="26" s="1"/>
  <c r="R64" i="26" s="1"/>
  <c r="N52" i="26"/>
  <c r="P52" i="26" s="1"/>
  <c r="T52" i="26" s="1"/>
  <c r="R38" i="26"/>
  <c r="T37" i="26"/>
  <c r="V36" i="26"/>
  <c r="V38" i="26"/>
  <c r="T36" i="26"/>
  <c r="T27" i="26"/>
  <c r="T30" i="26" s="1"/>
  <c r="R25" i="26"/>
  <c r="R27" i="26"/>
  <c r="P25" i="26"/>
  <c r="P30" i="26" s="1"/>
  <c r="B12" i="23"/>
  <c r="B15" i="23" s="1"/>
  <c r="B31" i="22"/>
  <c r="H36" i="21" s="1"/>
  <c r="H30" i="21"/>
  <c r="J14" i="21"/>
  <c r="M14" i="21" s="1"/>
  <c r="B40" i="26"/>
  <c r="D40" i="26" s="1"/>
  <c r="B38" i="26"/>
  <c r="D38" i="26" s="1"/>
  <c r="B50" i="26" s="1"/>
  <c r="D50" i="26" s="1"/>
  <c r="B36" i="26"/>
  <c r="D36" i="26" s="1"/>
  <c r="B35" i="26"/>
  <c r="D35" i="26" s="1"/>
  <c r="I37" i="26"/>
  <c r="G37" i="26"/>
  <c r="I36" i="26"/>
  <c r="G36" i="26"/>
  <c r="I35" i="26"/>
  <c r="G35" i="26"/>
  <c r="H28" i="26"/>
  <c r="H26" i="26"/>
  <c r="F28" i="26"/>
  <c r="F26" i="26"/>
  <c r="D28" i="26"/>
  <c r="D26" i="26"/>
  <c r="C58" i="13" l="1"/>
  <c r="E58" i="13" s="1"/>
  <c r="G58" i="13" s="1"/>
  <c r="G32" i="13"/>
  <c r="B33" i="23"/>
  <c r="H42" i="21" s="1"/>
  <c r="B12" i="27"/>
  <c r="B15" i="27" s="1"/>
  <c r="B33" i="27" s="1"/>
  <c r="H48" i="21" s="1"/>
  <c r="C50" i="13"/>
  <c r="E50" i="13" s="1"/>
  <c r="G50" i="13" s="1"/>
  <c r="G28" i="13"/>
  <c r="G29" i="13"/>
  <c r="C51" i="13"/>
  <c r="E51" i="13" s="1"/>
  <c r="G51" i="13" s="1"/>
  <c r="G35" i="13"/>
  <c r="C57" i="13"/>
  <c r="E57" i="13" s="1"/>
  <c r="G57" i="13" s="1"/>
  <c r="G34" i="13"/>
  <c r="C56" i="13"/>
  <c r="E56" i="13" s="1"/>
  <c r="G56" i="13" s="1"/>
  <c r="G33" i="13"/>
  <c r="C55" i="13"/>
  <c r="E55" i="13" s="1"/>
  <c r="G55" i="13" s="1"/>
  <c r="K48" i="21"/>
  <c r="R30" i="26"/>
  <c r="R52" i="26"/>
  <c r="N66" i="26"/>
  <c r="P66" i="26" s="1"/>
  <c r="V50" i="26"/>
  <c r="T64" i="26"/>
  <c r="R50" i="26"/>
  <c r="V64" i="26"/>
  <c r="T50" i="26"/>
  <c r="V52" i="26"/>
  <c r="F36" i="26"/>
  <c r="B48" i="26"/>
  <c r="D48" i="26" s="1"/>
  <c r="F35" i="26"/>
  <c r="B47" i="26"/>
  <c r="D47" i="26" s="1"/>
  <c r="J40" i="26"/>
  <c r="B52" i="26"/>
  <c r="D52" i="26" s="1"/>
  <c r="J50" i="26"/>
  <c r="H50" i="26"/>
  <c r="F50" i="26"/>
  <c r="J35" i="26"/>
  <c r="J36" i="26"/>
  <c r="H38" i="26"/>
  <c r="J38" i="26"/>
  <c r="F38" i="26"/>
  <c r="H35" i="26"/>
  <c r="H36" i="26"/>
  <c r="H40" i="26"/>
  <c r="F40" i="26"/>
  <c r="B27" i="26"/>
  <c r="B39" i="26" s="1"/>
  <c r="D39" i="26" s="1"/>
  <c r="B51" i="26" s="1"/>
  <c r="D51" i="26" s="1"/>
  <c r="G25" i="26"/>
  <c r="E25" i="26"/>
  <c r="B25" i="26"/>
  <c r="B37" i="26" s="1"/>
  <c r="D37" i="26" s="1"/>
  <c r="B49" i="26" s="1"/>
  <c r="D49" i="26" s="1"/>
  <c r="G24" i="26"/>
  <c r="H24" i="26" s="1"/>
  <c r="E24" i="26"/>
  <c r="F24" i="26" s="1"/>
  <c r="D24" i="26"/>
  <c r="H23" i="26"/>
  <c r="G23" i="26"/>
  <c r="D23" i="26"/>
  <c r="E23" i="26"/>
  <c r="F23" i="26" s="1"/>
  <c r="D25" i="26" l="1"/>
  <c r="R66" i="26"/>
  <c r="V66" i="26"/>
  <c r="T66" i="26"/>
  <c r="F47" i="26"/>
  <c r="H47" i="26"/>
  <c r="J47" i="26"/>
  <c r="H49" i="26"/>
  <c r="F49" i="26"/>
  <c r="J49" i="26"/>
  <c r="J51" i="26"/>
  <c r="H51" i="26"/>
  <c r="F51" i="26"/>
  <c r="H52" i="26"/>
  <c r="F52" i="26"/>
  <c r="J52" i="26"/>
  <c r="F48" i="26"/>
  <c r="H48" i="26"/>
  <c r="J48" i="26"/>
  <c r="J37" i="26"/>
  <c r="H37" i="26"/>
  <c r="F37" i="26"/>
  <c r="J39" i="26"/>
  <c r="F39" i="26"/>
  <c r="H39" i="26"/>
  <c r="D27" i="26"/>
  <c r="D29" i="26" s="1"/>
  <c r="H27" i="26"/>
  <c r="F27" i="26"/>
  <c r="F25" i="26"/>
  <c r="H25" i="26"/>
  <c r="B26" i="17"/>
  <c r="B12" i="12"/>
  <c r="B9" i="12"/>
  <c r="B18" i="12" s="1"/>
  <c r="J8" i="21"/>
  <c r="F8" i="21"/>
  <c r="A8" i="21"/>
  <c r="C8" i="21" s="1"/>
  <c r="D8" i="21" l="1"/>
  <c r="F53" i="26"/>
  <c r="H53" i="26"/>
  <c r="J41" i="26"/>
  <c r="J53" i="26"/>
  <c r="F29" i="26"/>
  <c r="H41" i="26"/>
  <c r="H29" i="26"/>
  <c r="F41" i="26"/>
  <c r="H8" i="21"/>
  <c r="I8" i="21" s="1"/>
  <c r="A14" i="21"/>
  <c r="A21" i="21" s="1"/>
  <c r="C21" i="21" s="1"/>
  <c r="D21" i="21" s="1"/>
  <c r="O21" i="21" s="1"/>
  <c r="B20" i="17"/>
  <c r="B18" i="17" s="1"/>
  <c r="F9" i="8"/>
  <c r="F8" i="8"/>
  <c r="B10" i="8"/>
  <c r="C14" i="8"/>
  <c r="C13" i="8"/>
  <c r="C11" i="8"/>
  <c r="C9" i="8"/>
  <c r="C8" i="8"/>
  <c r="C7" i="8"/>
  <c r="D10" i="7"/>
  <c r="D9" i="7"/>
  <c r="K8" i="21" l="1"/>
  <c r="C14" i="21"/>
  <c r="D14" i="21" s="1"/>
  <c r="N14" i="21" s="1"/>
  <c r="C17" i="12"/>
  <c r="C16" i="12"/>
  <c r="C15" i="12"/>
  <c r="C14" i="12"/>
  <c r="C13" i="12"/>
  <c r="C11" i="12"/>
  <c r="C9" i="12"/>
  <c r="C8" i="12"/>
  <c r="D12" i="12"/>
  <c r="C12" i="12" s="1"/>
  <c r="D9" i="12"/>
  <c r="D15" i="7" l="1"/>
  <c r="D14" i="7"/>
  <c r="D13" i="7"/>
  <c r="D12" i="7"/>
  <c r="D11" i="7"/>
  <c r="D8" i="7"/>
  <c r="F14" i="8"/>
  <c r="F13" i="8"/>
  <c r="F11" i="8"/>
  <c r="B8" i="18"/>
  <c r="B9" i="22" s="1"/>
  <c r="B12" i="22" s="1"/>
  <c r="F17" i="12"/>
  <c r="F16" i="12"/>
  <c r="F15" i="12"/>
  <c r="F14" i="12"/>
  <c r="F13" i="12"/>
  <c r="F12" i="12"/>
  <c r="F11" i="12"/>
  <c r="F10" i="12"/>
  <c r="F9" i="12"/>
  <c r="F8" i="12"/>
  <c r="B18" i="11"/>
  <c r="D17" i="11"/>
  <c r="D16" i="11"/>
  <c r="D15" i="11"/>
  <c r="D14" i="11"/>
  <c r="D13" i="11"/>
  <c r="D12" i="11"/>
  <c r="D11" i="11"/>
  <c r="D10" i="11"/>
  <c r="D9" i="11"/>
  <c r="D8" i="11"/>
  <c r="E21" i="11" l="1"/>
  <c r="E17" i="7"/>
  <c r="B11" i="23"/>
  <c r="B14" i="23" s="1"/>
  <c r="B11" i="27" s="1"/>
  <c r="B14" i="27" s="1"/>
  <c r="G19" i="12"/>
  <c r="B15" i="18"/>
  <c r="F30" i="21" l="1"/>
  <c r="B17" i="22"/>
  <c r="B21" i="22" s="1"/>
  <c r="A36" i="21" l="1"/>
  <c r="B19" i="23"/>
  <c r="B23" i="23" s="1"/>
  <c r="B23" i="22"/>
  <c r="B25" i="23" l="1"/>
  <c r="F42" i="21" s="1"/>
  <c r="A48" i="21" s="1"/>
  <c r="B19" i="27"/>
  <c r="B23" i="27" s="1"/>
  <c r="B25" i="27" s="1"/>
  <c r="F48" i="21" s="1"/>
  <c r="F36" i="21"/>
  <c r="I30" i="21"/>
  <c r="K30" i="21"/>
  <c r="L30" i="21" s="1"/>
  <c r="J48" i="21" l="1"/>
  <c r="M48" i="21" s="1"/>
  <c r="L48" i="21"/>
  <c r="G42" i="21"/>
  <c r="K42" i="21" s="1"/>
  <c r="L42" i="21" s="1"/>
  <c r="G36" i="21"/>
  <c r="A42" i="21"/>
  <c r="B36" i="21"/>
  <c r="C36" i="21" s="1"/>
  <c r="D36" i="21" s="1"/>
  <c r="J30" i="21"/>
  <c r="M30" i="21" s="1"/>
  <c r="N30" i="21" s="1"/>
  <c r="P30" i="21" s="1"/>
  <c r="I42" i="21" l="1"/>
  <c r="B48" i="21" s="1"/>
  <c r="C48" i="21" s="1"/>
  <c r="D48" i="21" s="1"/>
  <c r="N48" i="21" s="1"/>
  <c r="I36" i="21"/>
  <c r="K36" i="21"/>
  <c r="L36" i="21" s="1"/>
  <c r="F7" i="8"/>
  <c r="F12" i="8"/>
  <c r="C12" i="8"/>
  <c r="C10" i="8"/>
  <c r="F10" i="8"/>
  <c r="G15" i="8" l="1"/>
  <c r="G18" i="8" s="1"/>
  <c r="J42" i="21"/>
  <c r="M42" i="21" s="1"/>
  <c r="B42" i="21"/>
  <c r="C42" i="21" s="1"/>
  <c r="D42" i="21" s="1"/>
  <c r="J36" i="21"/>
  <c r="M36" i="21" s="1"/>
  <c r="N36" i="21" s="1"/>
  <c r="N42" i="21" l="1"/>
  <c r="P36" i="21"/>
  <c r="C38" i="13" l="1"/>
  <c r="E38" i="13" s="1"/>
  <c r="G38" i="13" l="1"/>
  <c r="E40" i="13"/>
  <c r="C60" i="13"/>
  <c r="E60" i="13" s="1"/>
  <c r="E62" i="13" l="1"/>
  <c r="G60" i="13"/>
  <c r="V37" i="26"/>
  <c r="O37" i="26"/>
  <c r="N51" i="26"/>
  <c r="R51" i="26" s="1"/>
  <c r="T51" i="26" l="1"/>
  <c r="P51" i="26"/>
  <c r="N65" i="26" l="1"/>
  <c r="V51" i="26"/>
  <c r="D23" i="2" l="1"/>
  <c r="T65" i="26"/>
  <c r="P65" i="26"/>
  <c r="V65" i="26" s="1"/>
  <c r="R65" i="26"/>
  <c r="R39" i="26"/>
  <c r="T39" i="26"/>
  <c r="N53" i="26"/>
  <c r="P53" i="26" s="1"/>
  <c r="O39" i="26"/>
  <c r="V39" i="26"/>
  <c r="R53" i="26" l="1"/>
  <c r="V53" i="26"/>
  <c r="N67" i="26"/>
  <c r="P67" i="26" s="1"/>
  <c r="T53" i="26"/>
  <c r="V67" i="26" l="1"/>
  <c r="T67" i="26"/>
  <c r="R67" i="26"/>
  <c r="T40" i="26"/>
  <c r="V40" i="26"/>
  <c r="R40" i="26"/>
  <c r="O40" i="26"/>
  <c r="N54" i="26"/>
  <c r="P54" i="26" s="1"/>
  <c r="R54" i="26" l="1"/>
  <c r="N68" i="26"/>
  <c r="P68" i="26" s="1"/>
  <c r="V54" i="26"/>
  <c r="T54" i="26"/>
  <c r="V68" i="26" l="1"/>
  <c r="R68" i="26"/>
  <c r="T68" i="26"/>
  <c r="R41" i="26"/>
  <c r="V41" i="26"/>
  <c r="T41" i="26"/>
  <c r="N55" i="26"/>
  <c r="P55" i="26"/>
  <c r="T55" i="26" s="1"/>
  <c r="N69" i="26" l="1"/>
  <c r="P69" i="26" s="1"/>
  <c r="R55" i="26"/>
  <c r="V55" i="26"/>
  <c r="V69" i="26" l="1"/>
  <c r="R69" i="26"/>
  <c r="T69" i="26"/>
  <c r="V42" i="26"/>
  <c r="V43" i="26" s="1"/>
  <c r="R42" i="26"/>
  <c r="R43" i="26" s="1"/>
  <c r="T42" i="26"/>
  <c r="T43" i="26" s="1"/>
  <c r="O42" i="26"/>
  <c r="N56" i="26"/>
  <c r="P56" i="26" s="1"/>
  <c r="X40" i="26" l="1"/>
  <c r="V56" i="26"/>
  <c r="V57" i="26" s="1"/>
  <c r="R56" i="26"/>
  <c r="R57" i="26" s="1"/>
  <c r="T56" i="26"/>
  <c r="T57" i="26" s="1"/>
  <c r="N70" i="26"/>
  <c r="P70" i="26" s="1"/>
  <c r="V70" i="26" l="1"/>
  <c r="V71" i="26" s="1"/>
  <c r="R70" i="26"/>
  <c r="R71" i="26" s="1"/>
  <c r="T70" i="26"/>
  <c r="T71" i="26" s="1"/>
</calcChain>
</file>

<file path=xl/comments1.xml><?xml version="1.0" encoding="utf-8"?>
<comments xmlns="http://schemas.openxmlformats.org/spreadsheetml/2006/main">
  <authors>
    <author>bbb3786</author>
  </authors>
  <commentList>
    <comment ref="Q37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Beginning in 2016 AELP will receive 1/5 per year until total of 16.6% total allocation achieved after year 5.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bbb3786:
Beginning in 2016 AELP will receive 1/5 per year until total of 9.6% total allocation achieved after year 5.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info from Bob Brandkamp</t>
        </r>
      </text>
    </comment>
  </commentList>
</comments>
</file>

<file path=xl/comments3.xml><?xml version="1.0" encoding="utf-8"?>
<comments xmlns="http://schemas.openxmlformats.org/spreadsheetml/2006/main">
  <authors>
    <author>bbb3786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$923 continuity credit from AEGIS US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$717 US AEGIS Continuity Credit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AEGIS London Credit announced in 2014 and paid in 2015.  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2,024 is AEGIS london credit announced in 2015 and paid in 2016.  AEGIS US Credit o f717 included in 12 1 15 premium.
</t>
        </r>
      </text>
    </comment>
  </commentList>
</comments>
</file>

<file path=xl/sharedStrings.xml><?xml version="1.0" encoding="utf-8"?>
<sst xmlns="http://schemas.openxmlformats.org/spreadsheetml/2006/main" count="526" uniqueCount="251">
  <si>
    <t>FERC 925</t>
  </si>
  <si>
    <t>FERC 924</t>
  </si>
  <si>
    <t>Avista Utilities</t>
  </si>
  <si>
    <t>Test Period Expense:</t>
  </si>
  <si>
    <t>Amount</t>
  </si>
  <si>
    <t>Allocated to Washington Gas</t>
  </si>
  <si>
    <t>Allocated to Washington Electric</t>
  </si>
  <si>
    <t>Test Period Insurance Expense</t>
  </si>
  <si>
    <t>Washington Jurisdiction</t>
  </si>
  <si>
    <t>Proforma Insurance Adjustment</t>
  </si>
  <si>
    <t>Electric</t>
  </si>
  <si>
    <t>Carrier</t>
  </si>
  <si>
    <t>Utility Allocated %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</si>
  <si>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</si>
  <si>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</si>
  <si>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</si>
  <si>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</si>
  <si>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</si>
  <si>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</si>
  <si>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</si>
  <si>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Lloyd's Outside Broker Fee</t>
  </si>
  <si>
    <t>2013 Liability Premium Reconcilliation to Invoices (12/31/12- 12/31/13)</t>
  </si>
  <si>
    <t>Insurance Company/Coverage Amount</t>
  </si>
  <si>
    <t xml:space="preserve">2013 Paid Premiums </t>
  </si>
  <si>
    <t>% allocated to Avista utility</t>
  </si>
  <si>
    <t>Allocated 2013 Paid Premium</t>
  </si>
  <si>
    <t>Allocated 2014 Premium</t>
  </si>
  <si>
    <t>AEGIS -Continuity Credit</t>
  </si>
  <si>
    <t>EIM ($15M xs $35M)</t>
  </si>
  <si>
    <t>EIM ($15M xs $35M) taxes</t>
  </si>
  <si>
    <t>XL Specialty ($15M xs $50M)</t>
  </si>
  <si>
    <t>Zurich ($15M xs $80M)</t>
  </si>
  <si>
    <t>Allied ($5M xs $95M)</t>
  </si>
  <si>
    <t>XL Speciality ($15M xs $100) Side A/DIC</t>
  </si>
  <si>
    <t>2013 D &amp; O Premium Reconcilliation to Invoices (12/31/12- 12/31/13)</t>
  </si>
  <si>
    <t>Twin City ($15M xs $65M)</t>
  </si>
  <si>
    <t>2013 D &amp; O Premium Total</t>
  </si>
  <si>
    <t>2013 Invoiced Amount</t>
  </si>
  <si>
    <t>AEGIS -Continuity Credit (1)</t>
  </si>
  <si>
    <t>2015 Premium Estimate</t>
  </si>
  <si>
    <t>Estimated 12/31/13 Asset Base</t>
  </si>
  <si>
    <t>Estimated % increase in asset base (2012 to 2013)</t>
  </si>
  <si>
    <t>12/31/12 Asset Base (millions)</t>
  </si>
  <si>
    <t>Projected 2016 Property Premium (effective 12/1/15)</t>
  </si>
  <si>
    <t>12/31/13 Asset Base (millions)</t>
  </si>
  <si>
    <t xml:space="preserve"> Increase/Decrease</t>
  </si>
  <si>
    <t>2014 Total Premium</t>
  </si>
  <si>
    <t xml:space="preserve"> 2014 Utility Allocated %</t>
  </si>
  <si>
    <t>2014 D &amp; O Premium Total Allocated to Avista</t>
  </si>
  <si>
    <t>2014 D &amp; O Premiums Invoiced</t>
  </si>
  <si>
    <t>Actual 2013 Premium</t>
  </si>
  <si>
    <t>AEGIS Continuity Credit</t>
  </si>
  <si>
    <t>Terrorism</t>
  </si>
  <si>
    <t xml:space="preserve"> % Rate Increase for 2014</t>
  </si>
  <si>
    <t xml:space="preserve">Invoiced 2014 Liability Premiums </t>
  </si>
  <si>
    <t xml:space="preserve"> Invoiced 2014 Premiums</t>
  </si>
  <si>
    <t>Actual 2014 Premium</t>
  </si>
  <si>
    <t>2013 Property Premium Reconcilliation to Invoices (12/1/13 - 12/1/14)</t>
  </si>
  <si>
    <t xml:space="preserve">National Union </t>
  </si>
  <si>
    <t>ACE American Insurance Co.</t>
  </si>
  <si>
    <t>EIM</t>
  </si>
  <si>
    <t>EIM taxes</t>
  </si>
  <si>
    <t>American Alternative Insurance Co.</t>
  </si>
  <si>
    <t>AEGIS</t>
  </si>
  <si>
    <t>AEGIS taxes</t>
  </si>
  <si>
    <t>Lloyd's of London</t>
  </si>
  <si>
    <t>Lloyd's taxes</t>
  </si>
  <si>
    <t>Lloyds of London</t>
  </si>
  <si>
    <t>Total</t>
  </si>
  <si>
    <t>12/2/13 Property Invoice Total</t>
  </si>
  <si>
    <t>Difference s/b $0.00</t>
  </si>
  <si>
    <t>2013 Property Premium Reconcilliation to Invoices (12/1/12 - 12/1/13)</t>
  </si>
  <si>
    <t>American Alternative Ins Corp</t>
  </si>
  <si>
    <t>Lloyds of London ($150 Primary)</t>
  </si>
  <si>
    <t>Lloyd's ($150 Primary) taxes</t>
  </si>
  <si>
    <t>Lloyd's of London ($250 xs $150)</t>
  </si>
  <si>
    <t>Lloyd's ($250 xs $150) taxes</t>
  </si>
  <si>
    <t>AEGIS ($400M)</t>
  </si>
  <si>
    <t>Lloyd's/Other (Primary $25M)</t>
  </si>
  <si>
    <t>Lloyd's/Other (Primary $25M) taxes</t>
  </si>
  <si>
    <t>Lloyd's/Other ($375M xs $25M)</t>
  </si>
  <si>
    <t>Lloyd's/Other ($375M xs $25M) taxes</t>
  </si>
  <si>
    <t xml:space="preserve">ACE </t>
  </si>
  <si>
    <t>12/1/12 Prop Premium</t>
  </si>
  <si>
    <t>12/1/13 Premium</t>
  </si>
  <si>
    <t>Portion allocated to Avista</t>
  </si>
  <si>
    <t>2 mo Allocated Premium from 12/1/12 policy (Oct and Nov 2013)</t>
  </si>
  <si>
    <t>% allocated to Avista</t>
  </si>
  <si>
    <t>Premium portion allocated to Avista</t>
  </si>
  <si>
    <t>Actual Property Premium for 12 mo period ending 9/30/14</t>
  </si>
  <si>
    <t>2014 12 ME 9/30/14 Actual Premium</t>
  </si>
  <si>
    <t>n/a</t>
  </si>
  <si>
    <t>Less Continuity Credit Received</t>
  </si>
  <si>
    <t>12/1/16 Premium</t>
  </si>
  <si>
    <t>Projected 2017 Property Premium (effective 12/1/16)</t>
  </si>
  <si>
    <t>Estimated 12/31/15 Asset Base</t>
  </si>
  <si>
    <t>Estimated % increase in asset base (2014 to 2015)</t>
  </si>
  <si>
    <t>Estimated Asset Base (millions) as of 12/31/15</t>
  </si>
  <si>
    <t>2017 Premium Estimate</t>
  </si>
  <si>
    <t>Estimated rate increase for 2017 renewal effective 12/1/15</t>
  </si>
  <si>
    <t>Projected 2018 Property Premium (effective 12/1/18)</t>
  </si>
  <si>
    <t>Estimated % increase in asset base (2015 to 2016)</t>
  </si>
  <si>
    <t>Estimated 12/31/16 Asset Base</t>
  </si>
  <si>
    <t>12/31/15 Asset Base (millions)</t>
  </si>
  <si>
    <t>Estimated Asset Base (millions) as of 12/31/16</t>
  </si>
  <si>
    <t>2018 Premium Estimate</t>
  </si>
  <si>
    <t>Estimated rate increase for 2018 renewal effective 12/1/17</t>
  </si>
  <si>
    <t>12/1/17 Premium</t>
  </si>
  <si>
    <t>10 mo Allocated Premium from 12/1/13 policy (Dec 2013 - Sept 2014)</t>
  </si>
  <si>
    <t>Projected Increase/Decrease</t>
  </si>
  <si>
    <t>2017 Estimated D &amp; O Premium Total Allocated to Avista</t>
  </si>
  <si>
    <t xml:space="preserve">Estimated 2016 Liability Premiums </t>
  </si>
  <si>
    <t xml:space="preserve">Estimated 2017 Liability Premiums </t>
  </si>
  <si>
    <t xml:space="preserve"> 2016  Estimated Premiums</t>
  </si>
  <si>
    <t>2015 Property Premium (effective 12/1/14)</t>
  </si>
  <si>
    <t>Avista Actual Asset Base (millions) as of 12/31/13</t>
  </si>
  <si>
    <t>AELP Actual Asset base  as of 12/31/13</t>
  </si>
  <si>
    <t>New Avista 2015 Property Premium at 12/1/14 renewal</t>
  </si>
  <si>
    <t>Avista Estimated rate increase for 2015 renewal effective 12/1/14</t>
  </si>
  <si>
    <t>Avista 2014 estimated rate per $100 of coverage; eff 12/1/13</t>
  </si>
  <si>
    <t>New Avita 2015 rate per $100 of coverage effective 12/1/14</t>
  </si>
  <si>
    <t>AELP Property Premium at 12/1/14 renewal</t>
  </si>
  <si>
    <t>AELP 2015 rate per $100 of coverage effective 12/1/14</t>
  </si>
  <si>
    <t>2015 Liability Premiums  (Invoiced)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</si>
  <si>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</si>
  <si>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</si>
  <si>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</si>
  <si>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</si>
  <si>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</si>
  <si>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% Allocation</t>
  </si>
  <si>
    <t xml:space="preserve"> 2015 Invoiced  Premiums</t>
  </si>
  <si>
    <t>Anticipated % Rate Increase for 2016</t>
  </si>
  <si>
    <t xml:space="preserve"> 2015 Premiums</t>
  </si>
  <si>
    <t>Estimated 2016 Premiums</t>
  </si>
  <si>
    <t>AELP Allocation %</t>
  </si>
  <si>
    <t>Anticipated % Rate Increase for 2017</t>
  </si>
  <si>
    <t>Estimated 2017 Premiums</t>
  </si>
  <si>
    <t>12/1/13 Prop Premium</t>
  </si>
  <si>
    <t>Property Premium (1/1/14-12/31/14)</t>
  </si>
  <si>
    <t>11mo Allocated Premium from 12/1/13 policy</t>
  </si>
  <si>
    <t>12/1/14 Premium</t>
  </si>
  <si>
    <t>% Allocated to AELP</t>
  </si>
  <si>
    <t>$ Allocated to AELP</t>
  </si>
  <si>
    <t>$ allocated to Avista</t>
  </si>
  <si>
    <t>% Allocated to Avista Capital</t>
  </si>
  <si>
    <t>$ Allocated to Avista Capital</t>
  </si>
  <si>
    <t>1 mo Allocated Premium for Avista from 12/1/14 Premium</t>
  </si>
  <si>
    <t>Allocated Property Premium 1/1/14-12/31/14</t>
  </si>
  <si>
    <t>Avista 2015 rate per $100 of coverage</t>
  </si>
  <si>
    <t>AELP 2015 rate per $100 coverage</t>
  </si>
  <si>
    <t>New Avista rate per $100 of coverage effective 12/1/15</t>
  </si>
  <si>
    <t>12/1/14 Prop Premium</t>
  </si>
  <si>
    <t>Property Premium (1/1/15-12/31/15)</t>
  </si>
  <si>
    <t>12/1/15 Premium</t>
  </si>
  <si>
    <t>Estimated Allocated Property Premium 1/1/15-12/31/15</t>
  </si>
  <si>
    <t>Property Premium (1/1/16-12/31/16)</t>
  </si>
  <si>
    <t>12/1/15 Prop Premium</t>
  </si>
  <si>
    <t>AELP Estimated Asset base  as of 12/31/15</t>
  </si>
  <si>
    <t>Avista 12/31/14 Asset Base (millions)</t>
  </si>
  <si>
    <t>AELP 12/31/14 Asset Base (millions)</t>
  </si>
  <si>
    <t>Avista New rate per $100 of coverage effective 12/1/16</t>
  </si>
  <si>
    <t>Avista New estimated 2017 Property Premium at 12/1/16 renewal</t>
  </si>
  <si>
    <t>12/1/16 Prop Premium</t>
  </si>
  <si>
    <t>AELP Estimated Asset base  as of 12/31/16</t>
  </si>
  <si>
    <t>AELP 12/31/15 Asset Base (millions)</t>
  </si>
  <si>
    <t>Avista 2017 estimated rate per $100 of coverage</t>
  </si>
  <si>
    <t>Avista New rate per $100 of coverage effective 12/1/17</t>
  </si>
  <si>
    <t>Avista New estimated 2018 Property Premium at 12/1/17 renewal</t>
  </si>
  <si>
    <t>AELP 2016 estimated rate per $100 of coverage</t>
  </si>
  <si>
    <t>AELP New rate per $100 of coverage effective 12/1/16</t>
  </si>
  <si>
    <t>AELP New estimated 2017 Property Premium at 12/1/16 renewal</t>
  </si>
  <si>
    <t>Property Premium (1/1/17-12/31/17)</t>
  </si>
  <si>
    <t>Estimated Allocated Property Premium 1/1/16-12/31/16</t>
  </si>
  <si>
    <t>Estimated Allocated Property Premium 1/1/17-12/31/17</t>
  </si>
  <si>
    <t>11mo Allocated Premium from 12/1/14 policy</t>
  </si>
  <si>
    <t>1 mo Allocated Premium for Avista from 12/1/15Premium</t>
  </si>
  <si>
    <t>11mo Allocated Premium from 12/1/15 policy</t>
  </si>
  <si>
    <t>1 mo Allocated Premium for Avista from 12/1/16 Premium</t>
  </si>
  <si>
    <t>11mo Allocated Premium from 12/1/16 policy</t>
  </si>
  <si>
    <t>1 mo Allocated Premium for Avista from 12/1/17 Premium</t>
  </si>
  <si>
    <t>Less EIM Continuity Credit</t>
  </si>
  <si>
    <t>Net 2014 GL Premium</t>
  </si>
  <si>
    <t>HCC ($15M xs $125M) Side A/DIC</t>
  </si>
  <si>
    <t>Allied ($15M xs $95M)</t>
  </si>
  <si>
    <t>Corrected 12/11/15</t>
  </si>
  <si>
    <t>EIM Distribution Credit</t>
  </si>
  <si>
    <t xml:space="preserve">Estimated 2018 Liability Premiums </t>
  </si>
  <si>
    <t>Estimated 2018 Premiums</t>
  </si>
  <si>
    <t>2018 Estimated D &amp; O Premium Total Allocated to Avista</t>
  </si>
  <si>
    <t>Property Premium (1/1/18-12/31/18)</t>
  </si>
  <si>
    <t>12/1/17 Prop Premium</t>
  </si>
  <si>
    <t>12/1/18 Premium</t>
  </si>
  <si>
    <t>1 mo Allocated Premium for Avista from 12/1/18 Premium</t>
  </si>
  <si>
    <t>11mo Allocated Premium from 12/1/17 policy</t>
  </si>
  <si>
    <t>Estimated Allocated Property Premium 1/1/18-12/31/18</t>
  </si>
  <si>
    <t>12/31/14 Asset Base</t>
  </si>
  <si>
    <t>Avista Asset Base (millions) as of 12/31/14</t>
  </si>
  <si>
    <t>AELP Asset base  as of 12/31/14</t>
  </si>
  <si>
    <t>New Avista 2016 Property Premium at 12/1/15 renewal</t>
  </si>
  <si>
    <t>New AELP 2016 Property Premium at 12/1/16 renewal</t>
  </si>
  <si>
    <t>2016 Premium</t>
  </si>
  <si>
    <t>Avista 2016 rate per $100 of coverage</t>
  </si>
  <si>
    <t>Projected 2019 Property Premium (effective 12/1/19)</t>
  </si>
  <si>
    <t>Estimated 12/31/17 Asset Base</t>
  </si>
  <si>
    <t>Estimated % increase in asset base (2016 to 2017)</t>
  </si>
  <si>
    <t>12/31/16 Asset Base (millions)</t>
  </si>
  <si>
    <t>AELP 12/31/16 Asset Base (millions)</t>
  </si>
  <si>
    <t>Estimated Asset Base (millions) as of 12/31/17</t>
  </si>
  <si>
    <t>AELP Estimated Asset base  as of 12/31/17</t>
  </si>
  <si>
    <t>2019 Premium Estimate</t>
  </si>
  <si>
    <t>Avista 2018 estimated rate per $100 of coverage</t>
  </si>
  <si>
    <t>Estimated rate increase for 2019 renewal effective 12/1/18</t>
  </si>
  <si>
    <t>Avista New estimated 2019 Property Premium at 12/1/18 renewal</t>
  </si>
  <si>
    <t>Avista New rate per $100 of coverage effective 12/1/18</t>
  </si>
  <si>
    <t>Net 2015 Property Premium</t>
  </si>
  <si>
    <t>Net 2016 Property Premium</t>
  </si>
  <si>
    <t>Net 2017 Property Premium</t>
  </si>
  <si>
    <t>Net 2018 Property Premium</t>
  </si>
  <si>
    <t>2015 12 ME 9/30/15 Actual Premium</t>
  </si>
  <si>
    <t>2 mo Allocated Premium from 12/1/13 policy (Oct and Nov 2014)</t>
  </si>
  <si>
    <t>10 mo Allocated Premium from 12/1/14 policy (Dec 2014 - Sept 2015)</t>
  </si>
  <si>
    <t>Actual Property Premium for 12 mo period ending 9/30/15</t>
  </si>
  <si>
    <t xml:space="preserve"> 2016 Liability Premiums (Invoiced)</t>
  </si>
  <si>
    <t>Revised 1/05/16</t>
  </si>
  <si>
    <t>XL ($50M xs $135M)</t>
  </si>
  <si>
    <t>Actual 2016 Premiums (EIM Distribution estimated)</t>
  </si>
  <si>
    <t>2018 Estimated Premium</t>
  </si>
  <si>
    <t>Summary:</t>
  </si>
  <si>
    <t>Less: 10%</t>
  </si>
  <si>
    <t>90% of D&amp;O Premiums</t>
  </si>
  <si>
    <t>Utility Expense</t>
  </si>
  <si>
    <t>Difference - Adjustment</t>
  </si>
  <si>
    <t>Note 7</t>
  </si>
  <si>
    <t>Note 4</t>
  </si>
  <si>
    <t>Increase/Decrease</t>
  </si>
  <si>
    <t>Amount Allocated to AELP</t>
  </si>
  <si>
    <t>2017 Total D&amp;O Premiums</t>
  </si>
  <si>
    <t>2017 Premiums</t>
  </si>
  <si>
    <t xml:space="preserve"> 2017 Utility Allocated %</t>
  </si>
  <si>
    <t>Estimate Changed 12 21 17</t>
  </si>
  <si>
    <t>2018 Estimated Premiums</t>
  </si>
  <si>
    <t>2019 Estimated Premium</t>
  </si>
  <si>
    <t xml:space="preserve"> 2018 Utility Allocated %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</si>
  <si>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</si>
  <si>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</si>
  <si>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</si>
  <si>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</si>
  <si>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</si>
  <si>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2018 D &amp; O Premiums (Estimated)</t>
  </si>
  <si>
    <t>2018  Premium</t>
  </si>
  <si>
    <t>For the Twelve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</si>
</sst>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&quot;$&quot;#,##0"/>
    <numFmt numFmtId="168" formatCode="0.0%"/>
    <numFmt numFmtId="169" formatCode="&quot;$&quot;#,##0.00"/>
    <numFmt numFmtId="170" formatCode="&quot;$&quot;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9" fontId="6" fillId="0" borderId="0" xfId="1" applyNumberFormat="1" applyFont="1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4" fontId="9" fillId="0" borderId="0" xfId="1" applyNumberFormat="1" applyFont="1"/>
    <xf numFmtId="164" fontId="8" fillId="0" borderId="0" xfId="1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applyFont="1"/>
    <xf numFmtId="0" fontId="11" fillId="0" borderId="0" xfId="2" applyFont="1" applyAlignment="1">
      <alignment horizontal="right"/>
    </xf>
    <xf numFmtId="165" fontId="10" fillId="0" borderId="3" xfId="3" applyNumberFormat="1" applyFont="1" applyBorder="1"/>
    <xf numFmtId="166" fontId="10" fillId="0" borderId="0" xfId="2" applyNumberFormat="1" applyFont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164" fontId="12" fillId="0" borderId="0" xfId="1" applyNumberFormat="1" applyFont="1" applyBorder="1"/>
    <xf numFmtId="9" fontId="10" fillId="0" borderId="0" xfId="2" applyNumberFormat="1" applyFont="1"/>
    <xf numFmtId="44" fontId="10" fillId="0" borderId="0" xfId="2" applyNumberFormat="1" applyFont="1"/>
    <xf numFmtId="0" fontId="13" fillId="0" borderId="0" xfId="5" applyFont="1" applyAlignment="1">
      <alignment wrapText="1"/>
    </xf>
    <xf numFmtId="164" fontId="12" fillId="0" borderId="0" xfId="1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44" fontId="10" fillId="0" borderId="1" xfId="2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167" fontId="15" fillId="0" borderId="0" xfId="0" applyNumberFormat="1" applyFont="1"/>
    <xf numFmtId="0" fontId="13" fillId="0" borderId="0" xfId="0" applyFont="1"/>
    <xf numFmtId="10" fontId="0" fillId="0" borderId="0" xfId="0" applyNumberFormat="1"/>
    <xf numFmtId="167" fontId="0" fillId="0" borderId="0" xfId="0" applyNumberFormat="1" applyFont="1" applyAlignment="1">
      <alignment horizontal="right"/>
    </xf>
    <xf numFmtId="0" fontId="0" fillId="0" borderId="0" xfId="0" quotePrefix="1"/>
    <xf numFmtId="167" fontId="0" fillId="0" borderId="2" xfId="0" applyNumberFormat="1" applyBorder="1"/>
    <xf numFmtId="3" fontId="0" fillId="0" borderId="0" xfId="0" applyNumberFormat="1"/>
    <xf numFmtId="169" fontId="0" fillId="0" borderId="0" xfId="0" applyNumberFormat="1"/>
    <xf numFmtId="167" fontId="16" fillId="0" borderId="0" xfId="0" applyNumberFormat="1" applyFont="1"/>
    <xf numFmtId="0" fontId="5" fillId="0" borderId="0" xfId="0" quotePrefix="1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Alignment="1">
      <alignment horizontal="right"/>
    </xf>
    <xf numFmtId="169" fontId="15" fillId="0" borderId="4" xfId="13" applyNumberFormat="1" applyFont="1" applyBorder="1"/>
    <xf numFmtId="0" fontId="3" fillId="0" borderId="0" xfId="13" quotePrefix="1" applyAlignment="1">
      <alignment horizontal="right"/>
    </xf>
    <xf numFmtId="169" fontId="17" fillId="0" borderId="0" xfId="13" applyNumberFormat="1" applyFont="1"/>
    <xf numFmtId="167" fontId="3" fillId="0" borderId="5" xfId="13" applyNumberFormat="1" applyBorder="1"/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Fill="1"/>
    <xf numFmtId="10" fontId="0" fillId="0" borderId="2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67" fontId="13" fillId="0" borderId="2" xfId="0" applyNumberFormat="1" applyFont="1" applyBorder="1"/>
    <xf numFmtId="167" fontId="0" fillId="0" borderId="0" xfId="0" quotePrefix="1" applyNumberFormat="1" applyAlignment="1">
      <alignment horizontal="center"/>
    </xf>
    <xf numFmtId="0" fontId="3" fillId="0" borderId="0" xfId="18"/>
    <xf numFmtId="0" fontId="3" fillId="0" borderId="0" xfId="13"/>
    <xf numFmtId="0" fontId="15" fillId="0" borderId="0" xfId="13" applyFont="1" applyAlignment="1">
      <alignment horizontal="center"/>
    </xf>
    <xf numFmtId="0" fontId="15" fillId="0" borderId="0" xfId="13" applyFont="1" applyAlignment="1">
      <alignment horizontal="center" wrapText="1"/>
    </xf>
    <xf numFmtId="0" fontId="15" fillId="0" borderId="0" xfId="13" applyFont="1"/>
    <xf numFmtId="167" fontId="3" fillId="0" borderId="0" xfId="13" applyNumberFormat="1"/>
    <xf numFmtId="168" fontId="3" fillId="0" borderId="0" xfId="13" applyNumberFormat="1"/>
    <xf numFmtId="0" fontId="3" fillId="0" borderId="0" xfId="13" applyFill="1" applyAlignment="1">
      <alignment wrapText="1"/>
    </xf>
    <xf numFmtId="0" fontId="3" fillId="0" borderId="0" xfId="13" applyFill="1"/>
    <xf numFmtId="167" fontId="15" fillId="0" borderId="0" xfId="13" applyNumberFormat="1" applyFont="1"/>
    <xf numFmtId="0" fontId="3" fillId="0" borderId="0" xfId="18"/>
    <xf numFmtId="0" fontId="5" fillId="0" borderId="0" xfId="14"/>
    <xf numFmtId="0" fontId="15" fillId="0" borderId="0" xfId="14" applyFont="1"/>
    <xf numFmtId="0" fontId="15" fillId="0" borderId="0" xfId="14" applyFont="1" applyAlignment="1">
      <alignment horizontal="center" wrapText="1"/>
    </xf>
    <xf numFmtId="167" fontId="5" fillId="0" borderId="0" xfId="14" applyNumberFormat="1"/>
    <xf numFmtId="10" fontId="5" fillId="0" borderId="0" xfId="14" applyNumberFormat="1"/>
    <xf numFmtId="167" fontId="16" fillId="0" borderId="0" xfId="14" applyNumberFormat="1" applyFont="1"/>
    <xf numFmtId="167" fontId="5" fillId="0" borderId="4" xfId="14" applyNumberForma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0" fontId="18" fillId="0" borderId="0" xfId="0" applyFont="1"/>
    <xf numFmtId="0" fontId="18" fillId="0" borderId="0" xfId="0" applyFont="1" applyAlignment="1">
      <alignment wrapText="1"/>
    </xf>
    <xf numFmtId="167" fontId="5" fillId="0" borderId="0" xfId="14" applyNumberFormat="1" applyFont="1"/>
    <xf numFmtId="167" fontId="0" fillId="0" borderId="4" xfId="0" applyNumberFormat="1" applyBorder="1"/>
    <xf numFmtId="0" fontId="21" fillId="0" borderId="0" xfId="0" applyFont="1"/>
    <xf numFmtId="0" fontId="5" fillId="0" borderId="0" xfId="14" applyFill="1"/>
    <xf numFmtId="0" fontId="5" fillId="3" borderId="0" xfId="14" applyFill="1"/>
    <xf numFmtId="167" fontId="16" fillId="3" borderId="0" xfId="14" applyNumberFormat="1" applyFont="1" applyFill="1"/>
    <xf numFmtId="10" fontId="5" fillId="3" borderId="0" xfId="14" applyNumberFormat="1" applyFill="1"/>
    <xf numFmtId="167" fontId="5" fillId="3" borderId="0" xfId="14" applyNumberFormat="1" applyFill="1"/>
    <xf numFmtId="167" fontId="13" fillId="0" borderId="0" xfId="0" applyNumberFormat="1" applyFont="1" applyBorder="1"/>
    <xf numFmtId="10" fontId="5" fillId="0" borderId="0" xfId="14" applyNumberFormat="1" applyFill="1"/>
    <xf numFmtId="170" fontId="0" fillId="0" borderId="0" xfId="0" applyNumberFormat="1"/>
    <xf numFmtId="0" fontId="0" fillId="0" borderId="2" xfId="0" applyBorder="1"/>
    <xf numFmtId="168" fontId="3" fillId="0" borderId="0" xfId="13" applyNumberFormat="1" applyFill="1"/>
    <xf numFmtId="167" fontId="3" fillId="0" borderId="0" xfId="13" applyNumberFormat="1" applyFill="1"/>
    <xf numFmtId="167" fontId="22" fillId="0" borderId="0" xfId="14" applyNumberFormat="1" applyFont="1"/>
    <xf numFmtId="167" fontId="0" fillId="3" borderId="2" xfId="0" applyNumberFormat="1" applyFill="1" applyBorder="1"/>
    <xf numFmtId="167" fontId="5" fillId="3" borderId="4" xfId="14" applyNumberFormat="1" applyFill="1" applyBorder="1"/>
    <xf numFmtId="0" fontId="17" fillId="0" borderId="0" xfId="13" applyFont="1" applyFill="1" applyAlignment="1">
      <alignment horizontal="center" wrapText="1"/>
    </xf>
    <xf numFmtId="9" fontId="0" fillId="0" borderId="0" xfId="12" applyFont="1"/>
    <xf numFmtId="0" fontId="0" fillId="0" borderId="0" xfId="0" applyAlignment="1">
      <alignment shrinkToFit="1"/>
    </xf>
    <xf numFmtId="169" fontId="0" fillId="0" borderId="0" xfId="0" applyNumberFormat="1" applyFill="1" applyBorder="1"/>
    <xf numFmtId="164" fontId="0" fillId="0" borderId="0" xfId="1" applyNumberFormat="1" applyFont="1"/>
    <xf numFmtId="167" fontId="0" fillId="0" borderId="0" xfId="0" applyNumberFormat="1" applyFill="1" applyBorder="1"/>
    <xf numFmtId="167" fontId="2" fillId="0" borderId="4" xfId="13" applyNumberFormat="1" applyFont="1" applyBorder="1"/>
    <xf numFmtId="164" fontId="13" fillId="0" borderId="2" xfId="1" applyNumberFormat="1" applyFont="1" applyBorder="1"/>
    <xf numFmtId="0" fontId="1" fillId="0" borderId="0" xfId="13" applyFont="1" applyFill="1" applyAlignment="1">
      <alignment wrapText="1"/>
    </xf>
    <xf numFmtId="167" fontId="1" fillId="0" borderId="0" xfId="29" applyNumberFormat="1" applyFill="1" applyBorder="1" applyAlignment="1">
      <alignment wrapText="1"/>
    </xf>
    <xf numFmtId="0" fontId="13" fillId="0" borderId="0" xfId="5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14" applyFont="1" applyAlignment="1">
      <alignment horizontal="center"/>
    </xf>
  </cellXfs>
  <cellStyles count="30">
    <cellStyle name="Comma" xfId="1" builtinId="3"/>
    <cellStyle name="Comma 2" xfId="9"/>
    <cellStyle name="Comma 2 2" xfId="23"/>
    <cellStyle name="Comma 3" xfId="7"/>
    <cellStyle name="Comma 3 2" xfId="17"/>
    <cellStyle name="Comma 4" xfId="15"/>
    <cellStyle name="Comma 4 2" xfId="24"/>
    <cellStyle name="Currency 2" xfId="3"/>
    <cellStyle name="Currency 2 2" xfId="25"/>
    <cellStyle name="Normal" xfId="0" builtinId="0"/>
    <cellStyle name="Normal 2" xfId="5"/>
    <cellStyle name="Normal 2 2" xfId="8"/>
    <cellStyle name="Normal 2 2 2" xfId="18"/>
    <cellStyle name="Normal 2 3" xfId="27"/>
    <cellStyle name="Normal 3" xfId="10"/>
    <cellStyle name="Normal 3 2" xfId="22"/>
    <cellStyle name="Normal 3 3" xfId="19"/>
    <cellStyle name="Normal 4" xfId="11"/>
    <cellStyle name="Normal 4 2" xfId="20"/>
    <cellStyle name="Normal 5" xfId="6"/>
    <cellStyle name="Normal 5 2" xfId="16"/>
    <cellStyle name="Normal 6" xfId="13"/>
    <cellStyle name="Normal 6 2" xfId="29"/>
    <cellStyle name="Normal 7" xfId="14"/>
    <cellStyle name="Normal_Incent2007recon" xfId="2"/>
    <cellStyle name="Percent" xfId="12" builtinId="5"/>
    <cellStyle name="Percent 2" xfId="4"/>
    <cellStyle name="Percent 2 2" xfId="26"/>
    <cellStyle name="Percent 3" xfId="21"/>
    <cellStyle name="Percent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19050</xdr:rowOff>
    </xdr:from>
    <xdr:to>
      <xdr:col>3</xdr:col>
      <xdr:colOff>76200</xdr:colOff>
      <xdr:row>21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29050" y="6705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20</xdr:row>
      <xdr:rowOff>19050</xdr:rowOff>
    </xdr:from>
    <xdr:to>
      <xdr:col>6</xdr:col>
      <xdr:colOff>76200</xdr:colOff>
      <xdr:row>21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410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3.2" x14ac:dyDescent="0.25"/>
  <cols>
    <col min="1" max="16384" width="9.109375" style="105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C24"/>
  <sheetViews>
    <sheetView workbookViewId="0">
      <selection activeCell="J11" sqref="J11"/>
    </sheetView>
  </sheetViews>
  <sheetFormatPr defaultRowHeight="13.2" x14ac:dyDescent="0.25"/>
  <cols>
    <col min="1" max="1" width="33.5546875" customWidth="1"/>
    <col min="2" max="2" width="14.44140625" customWidth="1"/>
  </cols>
  <sheetData>
    <row r="4" spans="1:3" ht="14.4" x14ac:dyDescent="0.3">
      <c r="A4" s="53"/>
      <c r="B4" s="56" t="s">
        <v>71</v>
      </c>
      <c r="C4" s="53"/>
    </row>
    <row r="7" spans="1:3" ht="14.4" x14ac:dyDescent="0.3">
      <c r="A7" s="54" t="s">
        <v>11</v>
      </c>
      <c r="B7" s="54" t="s">
        <v>4</v>
      </c>
      <c r="C7" s="56" t="s">
        <v>14</v>
      </c>
    </row>
    <row r="8" spans="1:3" ht="14.4" x14ac:dyDescent="0.3">
      <c r="A8" s="53" t="s">
        <v>58</v>
      </c>
      <c r="B8" s="55">
        <v>310000</v>
      </c>
      <c r="C8" s="57"/>
    </row>
    <row r="9" spans="1:3" ht="14.4" x14ac:dyDescent="0.3">
      <c r="A9" s="53" t="s">
        <v>60</v>
      </c>
      <c r="B9" s="55">
        <v>75950</v>
      </c>
      <c r="C9" s="57"/>
    </row>
    <row r="10" spans="1:3" ht="14.4" x14ac:dyDescent="0.3">
      <c r="A10" s="53" t="s">
        <v>61</v>
      </c>
      <c r="B10" s="55">
        <v>1594.95</v>
      </c>
      <c r="C10" s="57"/>
    </row>
    <row r="11" spans="1:3" ht="14.4" x14ac:dyDescent="0.3">
      <c r="A11" s="53" t="s">
        <v>72</v>
      </c>
      <c r="B11" s="55">
        <v>75950</v>
      </c>
      <c r="C11" s="57"/>
    </row>
    <row r="12" spans="1:3" ht="14.4" x14ac:dyDescent="0.3">
      <c r="A12" s="53" t="s">
        <v>73</v>
      </c>
      <c r="B12" s="55">
        <v>364859.4</v>
      </c>
      <c r="C12" s="57"/>
    </row>
    <row r="13" spans="1:3" ht="14.4" x14ac:dyDescent="0.3">
      <c r="A13" s="53" t="s">
        <v>74</v>
      </c>
      <c r="B13" s="55">
        <v>7662.0499999999993</v>
      </c>
      <c r="C13" s="57"/>
    </row>
    <row r="14" spans="1:3" ht="14.4" x14ac:dyDescent="0.3">
      <c r="A14" s="53" t="s">
        <v>75</v>
      </c>
      <c r="B14" s="55">
        <v>74979</v>
      </c>
      <c r="C14" s="57"/>
    </row>
    <row r="15" spans="1:3" ht="14.4" x14ac:dyDescent="0.3">
      <c r="A15" s="53" t="s">
        <v>76</v>
      </c>
      <c r="B15" s="55">
        <v>1574.56</v>
      </c>
      <c r="C15" s="57"/>
    </row>
    <row r="16" spans="1:3" ht="14.4" x14ac:dyDescent="0.3">
      <c r="A16" s="53" t="s">
        <v>77</v>
      </c>
      <c r="B16" s="55">
        <v>151900</v>
      </c>
      <c r="C16" s="57"/>
    </row>
    <row r="17" spans="1:3" ht="14.4" x14ac:dyDescent="0.3">
      <c r="A17" s="53" t="s">
        <v>64</v>
      </c>
      <c r="B17" s="55">
        <v>3189.9</v>
      </c>
      <c r="C17" s="57"/>
    </row>
    <row r="18" spans="1:3" ht="14.4" x14ac:dyDescent="0.3">
      <c r="A18" s="53" t="s">
        <v>78</v>
      </c>
      <c r="B18" s="55">
        <v>48918.75</v>
      </c>
      <c r="C18" s="57"/>
    </row>
    <row r="19" spans="1:3" ht="14.4" x14ac:dyDescent="0.3">
      <c r="A19" s="53" t="s">
        <v>79</v>
      </c>
      <c r="B19" s="55">
        <v>1027.3</v>
      </c>
      <c r="C19" s="57"/>
    </row>
    <row r="20" spans="1:3" ht="14.4" x14ac:dyDescent="0.3">
      <c r="A20" s="53" t="s">
        <v>80</v>
      </c>
      <c r="B20" s="55">
        <v>27794.75</v>
      </c>
      <c r="C20" s="57"/>
    </row>
    <row r="21" spans="1:3" ht="14.4" x14ac:dyDescent="0.3">
      <c r="A21" s="53" t="s">
        <v>81</v>
      </c>
      <c r="B21" s="55">
        <v>583.68999999999994</v>
      </c>
      <c r="C21" s="57"/>
    </row>
    <row r="22" spans="1:3" ht="14.4" x14ac:dyDescent="0.3">
      <c r="A22" s="53" t="s">
        <v>82</v>
      </c>
      <c r="B22" s="55">
        <v>379750</v>
      </c>
      <c r="C22" s="57"/>
    </row>
    <row r="24" spans="1:3" ht="14.4" x14ac:dyDescent="0.3">
      <c r="A24" s="53"/>
      <c r="B24" s="52">
        <v>1525734.35</v>
      </c>
      <c r="C24" s="5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H28"/>
  <sheetViews>
    <sheetView workbookViewId="0">
      <selection activeCell="J11" sqref="J11"/>
    </sheetView>
  </sheetViews>
  <sheetFormatPr defaultRowHeight="13.2" x14ac:dyDescent="0.25"/>
  <cols>
    <col min="1" max="1" width="32.88671875" bestFit="1" customWidth="1"/>
    <col min="2" max="2" width="17.44140625" customWidth="1"/>
  </cols>
  <sheetData>
    <row r="4" spans="1:5" ht="14.4" x14ac:dyDescent="0.3">
      <c r="A4" s="44"/>
      <c r="B4" s="47" t="s">
        <v>57</v>
      </c>
      <c r="C4" s="44"/>
    </row>
    <row r="7" spans="1:5" ht="14.4" x14ac:dyDescent="0.3">
      <c r="A7" s="45" t="s">
        <v>11</v>
      </c>
      <c r="B7" s="45" t="s">
        <v>4</v>
      </c>
      <c r="C7" s="47" t="s">
        <v>14</v>
      </c>
    </row>
    <row r="8" spans="1:5" ht="14.4" x14ac:dyDescent="0.3">
      <c r="A8" s="44" t="s">
        <v>58</v>
      </c>
      <c r="B8" s="46">
        <v>304270</v>
      </c>
      <c r="C8" s="44"/>
    </row>
    <row r="9" spans="1:5" ht="14.4" x14ac:dyDescent="0.3">
      <c r="A9" s="44" t="s">
        <v>59</v>
      </c>
      <c r="B9" s="46">
        <v>373963</v>
      </c>
      <c r="C9" s="44"/>
    </row>
    <row r="10" spans="1:5" ht="14.4" x14ac:dyDescent="0.3">
      <c r="A10" s="44" t="s">
        <v>60</v>
      </c>
      <c r="B10" s="46">
        <v>74793</v>
      </c>
      <c r="C10" s="44"/>
    </row>
    <row r="11" spans="1:5" ht="14.4" x14ac:dyDescent="0.3">
      <c r="A11" s="44" t="s">
        <v>61</v>
      </c>
      <c r="B11" s="46">
        <v>1570.6499999999999</v>
      </c>
      <c r="C11" s="44"/>
      <c r="E11" s="28"/>
    </row>
    <row r="12" spans="1:5" ht="14.4" x14ac:dyDescent="0.3">
      <c r="A12" s="44" t="s">
        <v>62</v>
      </c>
      <c r="B12" s="46">
        <v>74543</v>
      </c>
      <c r="C12" s="44"/>
    </row>
    <row r="13" spans="1:5" ht="14.4" x14ac:dyDescent="0.3">
      <c r="A13" s="44" t="s">
        <v>63</v>
      </c>
      <c r="B13" s="46">
        <v>149585</v>
      </c>
      <c r="C13" s="44"/>
    </row>
    <row r="14" spans="1:5" ht="14.4" x14ac:dyDescent="0.3">
      <c r="A14" s="44" t="s">
        <v>64</v>
      </c>
      <c r="B14" s="46">
        <v>3141.29</v>
      </c>
      <c r="C14" s="44"/>
      <c r="E14" s="28"/>
    </row>
    <row r="15" spans="1:5" ht="14.4" x14ac:dyDescent="0.3">
      <c r="A15" s="44" t="s">
        <v>65</v>
      </c>
      <c r="B15" s="46">
        <v>358109.4</v>
      </c>
      <c r="C15" s="44"/>
    </row>
    <row r="16" spans="1:5" ht="14.4" x14ac:dyDescent="0.3">
      <c r="A16" s="44" t="s">
        <v>66</v>
      </c>
      <c r="B16" s="46">
        <v>7520.2999999999993</v>
      </c>
      <c r="C16" s="44"/>
      <c r="E16" s="28"/>
    </row>
    <row r="17" spans="1:8" ht="14.4" x14ac:dyDescent="0.3">
      <c r="A17" s="44" t="s">
        <v>67</v>
      </c>
      <c r="B17" s="46">
        <v>48000</v>
      </c>
    </row>
    <row r="18" spans="1:8" ht="14.4" x14ac:dyDescent="0.3">
      <c r="A18" s="44" t="s">
        <v>66</v>
      </c>
      <c r="B18" s="46">
        <v>1008</v>
      </c>
      <c r="E18" s="28"/>
    </row>
    <row r="19" spans="1:8" ht="14.4" x14ac:dyDescent="0.3">
      <c r="A19" s="44" t="s">
        <v>65</v>
      </c>
      <c r="B19" s="46">
        <v>73378.2</v>
      </c>
    </row>
    <row r="20" spans="1:8" ht="14.4" x14ac:dyDescent="0.3">
      <c r="A20" s="44" t="s">
        <v>66</v>
      </c>
      <c r="B20" s="46">
        <v>1540.94</v>
      </c>
      <c r="E20" s="28"/>
    </row>
    <row r="21" spans="1:8" ht="14.4" x14ac:dyDescent="0.3">
      <c r="A21" s="44" t="s">
        <v>65</v>
      </c>
      <c r="B21" s="46">
        <v>27794.75</v>
      </c>
    </row>
    <row r="22" spans="1:8" ht="14.4" x14ac:dyDescent="0.3">
      <c r="A22" s="44" t="s">
        <v>66</v>
      </c>
      <c r="B22" s="46">
        <v>583.69999999999993</v>
      </c>
      <c r="E22" s="28"/>
    </row>
    <row r="23" spans="1:8" x14ac:dyDescent="0.25">
      <c r="F23" s="28"/>
      <c r="H23" s="33"/>
    </row>
    <row r="24" spans="1:8" ht="15" thickBot="1" x14ac:dyDescent="0.35">
      <c r="A24" s="48" t="s">
        <v>68</v>
      </c>
      <c r="B24" s="49">
        <v>1499801.23</v>
      </c>
    </row>
    <row r="25" spans="1:8" ht="15" thickTop="1" x14ac:dyDescent="0.3">
      <c r="A25" s="44"/>
      <c r="B25" s="44"/>
    </row>
    <row r="26" spans="1:8" ht="15" thickBot="1" x14ac:dyDescent="0.35">
      <c r="A26" s="50" t="s">
        <v>69</v>
      </c>
      <c r="B26" s="49">
        <v>1499801.23</v>
      </c>
    </row>
    <row r="27" spans="1:8" ht="15" thickTop="1" x14ac:dyDescent="0.3">
      <c r="A27" s="44"/>
      <c r="B27" s="44"/>
    </row>
    <row r="28" spans="1:8" ht="14.4" x14ac:dyDescent="0.3">
      <c r="A28" s="48" t="s">
        <v>70</v>
      </c>
      <c r="B28" s="51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"/>
  <sheetViews>
    <sheetView topLeftCell="A7" workbookViewId="0">
      <selection activeCell="J11" sqref="J11"/>
    </sheetView>
  </sheetViews>
  <sheetFormatPr defaultRowHeight="13.2" x14ac:dyDescent="0.25"/>
  <cols>
    <col min="1" max="1" width="27.88671875" customWidth="1"/>
    <col min="2" max="2" width="19.5546875" bestFit="1" customWidth="1"/>
    <col min="7" max="7" width="10.109375" bestFit="1" customWidth="1"/>
    <col min="9" max="9" width="17.5546875" customWidth="1"/>
  </cols>
  <sheetData>
    <row r="3" spans="1:7" ht="14.4" x14ac:dyDescent="0.3">
      <c r="C3" s="25" t="s">
        <v>114</v>
      </c>
    </row>
    <row r="5" spans="1:7" ht="14.4" x14ac:dyDescent="0.3">
      <c r="A5" s="25" t="s">
        <v>40</v>
      </c>
    </row>
    <row r="6" spans="1:7" x14ac:dyDescent="0.25">
      <c r="A6" s="30"/>
      <c r="B6" s="28"/>
    </row>
    <row r="7" spans="1:7" ht="26.4" x14ac:dyDescent="0.25">
      <c r="A7" s="30" t="s">
        <v>41</v>
      </c>
      <c r="B7" s="29">
        <v>0</v>
      </c>
    </row>
    <row r="8" spans="1:7" x14ac:dyDescent="0.25">
      <c r="A8" s="30"/>
    </row>
    <row r="9" spans="1:7" x14ac:dyDescent="0.25">
      <c r="A9" t="s">
        <v>42</v>
      </c>
      <c r="B9" s="62" t="s">
        <v>91</v>
      </c>
      <c r="G9" s="37"/>
    </row>
    <row r="11" spans="1:7" ht="26.4" x14ac:dyDescent="0.25">
      <c r="A11" s="30" t="s">
        <v>115</v>
      </c>
      <c r="B11" s="28">
        <v>3923754000</v>
      </c>
    </row>
    <row r="12" spans="1:7" ht="26.4" x14ac:dyDescent="0.25">
      <c r="A12" s="30" t="s">
        <v>116</v>
      </c>
      <c r="B12" s="28">
        <v>369611631</v>
      </c>
    </row>
    <row r="14" spans="1:7" ht="14.4" x14ac:dyDescent="0.3">
      <c r="A14" s="25" t="s">
        <v>39</v>
      </c>
    </row>
    <row r="16" spans="1:7" ht="26.4" x14ac:dyDescent="0.25">
      <c r="A16" s="30" t="s">
        <v>119</v>
      </c>
      <c r="B16">
        <v>4.0099999999999997E-2</v>
      </c>
    </row>
    <row r="18" spans="1:2" ht="39.6" x14ac:dyDescent="0.25">
      <c r="A18" s="30" t="s">
        <v>118</v>
      </c>
      <c r="B18" s="29">
        <f>(+B20-B16)/B16</f>
        <v>-6.9412720293561325E-2</v>
      </c>
    </row>
    <row r="20" spans="1:2" ht="26.4" x14ac:dyDescent="0.25">
      <c r="A20" s="30" t="s">
        <v>120</v>
      </c>
      <c r="B20">
        <f>+B22/(B11/100)</f>
        <v>3.7316549916228188E-2</v>
      </c>
    </row>
    <row r="22" spans="1:2" ht="26.4" x14ac:dyDescent="0.25">
      <c r="A22" s="30" t="s">
        <v>117</v>
      </c>
      <c r="B22" s="28">
        <v>1464209.62</v>
      </c>
    </row>
    <row r="23" spans="1:2" x14ac:dyDescent="0.25">
      <c r="B23" s="38"/>
    </row>
    <row r="24" spans="1:2" ht="26.4" x14ac:dyDescent="0.25">
      <c r="A24" s="30" t="s">
        <v>121</v>
      </c>
      <c r="B24" s="28">
        <v>358079.89</v>
      </c>
    </row>
    <row r="26" spans="1:2" ht="26.4" x14ac:dyDescent="0.25">
      <c r="A26" s="30" t="s">
        <v>122</v>
      </c>
      <c r="B26">
        <f>+B24/(B12/100)</f>
        <v>9.6880038388185902E-2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5"/>
  <sheetViews>
    <sheetView topLeftCell="A13" workbookViewId="0">
      <selection activeCell="J11" sqref="J11"/>
    </sheetView>
  </sheetViews>
  <sheetFormatPr defaultRowHeight="13.2" x14ac:dyDescent="0.25"/>
  <cols>
    <col min="1" max="1" width="27.88671875" customWidth="1"/>
    <col min="2" max="2" width="19.5546875" bestFit="1" customWidth="1"/>
    <col min="6" max="8" width="10.109375" bestFit="1" customWidth="1"/>
    <col min="9" max="9" width="17.5546875" customWidth="1"/>
  </cols>
  <sheetData>
    <row r="3" spans="1:7" ht="14.4" x14ac:dyDescent="0.3">
      <c r="C3" s="25" t="s">
        <v>43</v>
      </c>
    </row>
    <row r="5" spans="1:7" ht="18" x14ac:dyDescent="0.35">
      <c r="A5" s="85" t="s">
        <v>195</v>
      </c>
    </row>
    <row r="6" spans="1:7" x14ac:dyDescent="0.25">
      <c r="A6" s="30"/>
      <c r="B6" s="28"/>
    </row>
    <row r="7" spans="1:7" x14ac:dyDescent="0.25">
      <c r="A7" s="30"/>
    </row>
    <row r="8" spans="1:7" x14ac:dyDescent="0.25">
      <c r="A8" t="s">
        <v>44</v>
      </c>
      <c r="B8" s="28">
        <f>+'2015 Prop Prem Est'!B11</f>
        <v>3923754000</v>
      </c>
      <c r="G8" s="37"/>
    </row>
    <row r="10" spans="1:7" ht="26.4" x14ac:dyDescent="0.25">
      <c r="A10" s="30" t="s">
        <v>196</v>
      </c>
      <c r="B10" s="28">
        <v>4062051000</v>
      </c>
    </row>
    <row r="11" spans="1:7" ht="26.4" x14ac:dyDescent="0.25">
      <c r="A11" s="30" t="s">
        <v>197</v>
      </c>
      <c r="B11" s="28">
        <v>390889888</v>
      </c>
    </row>
    <row r="13" spans="1:7" ht="18" x14ac:dyDescent="0.35">
      <c r="A13" s="84" t="s">
        <v>200</v>
      </c>
    </row>
    <row r="15" spans="1:7" ht="26.4" x14ac:dyDescent="0.25">
      <c r="A15" s="30" t="s">
        <v>148</v>
      </c>
      <c r="B15">
        <f>+'2015 Prop Prem Est'!B20</f>
        <v>3.7316549916228188E-2</v>
      </c>
    </row>
    <row r="18" spans="1:8" ht="26.4" x14ac:dyDescent="0.25">
      <c r="A18" s="30" t="s">
        <v>150</v>
      </c>
      <c r="B18" s="96">
        <f>B20/(B10/100)</f>
        <v>3.4526183940083471E-2</v>
      </c>
    </row>
    <row r="20" spans="1:8" ht="26.4" x14ac:dyDescent="0.25">
      <c r="A20" s="82" t="s">
        <v>198</v>
      </c>
      <c r="B20" s="83">
        <f>1398965.02+3506.18</f>
        <v>1402471.2</v>
      </c>
    </row>
    <row r="22" spans="1:8" ht="26.4" x14ac:dyDescent="0.25">
      <c r="A22" s="30" t="s">
        <v>149</v>
      </c>
      <c r="B22" s="96">
        <f>B25/(B11/100)</f>
        <v>8.969733184809324E-2</v>
      </c>
    </row>
    <row r="25" spans="1:8" ht="26.4" x14ac:dyDescent="0.25">
      <c r="A25" s="82" t="s">
        <v>199</v>
      </c>
      <c r="B25" s="83">
        <v>350617.8</v>
      </c>
      <c r="D25" s="38">
        <f>+B25/B20</f>
        <v>0.25</v>
      </c>
      <c r="H25" s="28">
        <f>+B25+B20</f>
        <v>1753089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1"/>
  <sheetViews>
    <sheetView topLeftCell="A4" workbookViewId="0">
      <selection activeCell="J11" sqref="J11"/>
    </sheetView>
  </sheetViews>
  <sheetFormatPr defaultRowHeight="13.2" x14ac:dyDescent="0.25"/>
  <cols>
    <col min="1" max="1" width="27.88671875" customWidth="1"/>
    <col min="2" max="2" width="19.5546875" bestFit="1" customWidth="1"/>
    <col min="5" max="7" width="10.109375" bestFit="1" customWidth="1"/>
    <col min="9" max="9" width="17.5546875" customWidth="1"/>
  </cols>
  <sheetData>
    <row r="3" spans="1:7" ht="14.4" x14ac:dyDescent="0.3">
      <c r="C3" s="25" t="s">
        <v>94</v>
      </c>
    </row>
    <row r="5" spans="1:7" ht="36" x14ac:dyDescent="0.35">
      <c r="A5" s="85" t="s">
        <v>95</v>
      </c>
    </row>
    <row r="6" spans="1:7" x14ac:dyDescent="0.25">
      <c r="A6" s="30"/>
      <c r="B6" s="28"/>
    </row>
    <row r="7" spans="1:7" ht="26.4" x14ac:dyDescent="0.25">
      <c r="A7" s="30" t="s">
        <v>96</v>
      </c>
      <c r="B7" s="29">
        <v>0.05</v>
      </c>
    </row>
    <row r="8" spans="1:7" x14ac:dyDescent="0.25">
      <c r="A8" s="30"/>
    </row>
    <row r="9" spans="1:7" ht="26.4" x14ac:dyDescent="0.25">
      <c r="A9" s="30" t="s">
        <v>158</v>
      </c>
      <c r="B9" s="28">
        <f>+'2016 Prop Prem Est'!B10</f>
        <v>4062051000</v>
      </c>
      <c r="G9" s="37"/>
    </row>
    <row r="10" spans="1:7" ht="26.4" x14ac:dyDescent="0.25">
      <c r="A10" s="30" t="s">
        <v>159</v>
      </c>
      <c r="B10" s="28">
        <f>+'2016 Prop Prem Est'!B11</f>
        <v>390889888</v>
      </c>
      <c r="G10" s="37"/>
    </row>
    <row r="12" spans="1:7" ht="26.4" x14ac:dyDescent="0.25">
      <c r="A12" s="30" t="s">
        <v>97</v>
      </c>
      <c r="B12" s="28">
        <f>+B9*(1+B7)</f>
        <v>4265153550</v>
      </c>
    </row>
    <row r="13" spans="1:7" ht="26.4" x14ac:dyDescent="0.25">
      <c r="A13" s="30" t="s">
        <v>157</v>
      </c>
      <c r="B13" s="28">
        <f>+B10*(1+B7)</f>
        <v>410434382.40000004</v>
      </c>
    </row>
    <row r="15" spans="1:7" ht="18" x14ac:dyDescent="0.35">
      <c r="A15" s="85" t="s">
        <v>98</v>
      </c>
    </row>
    <row r="17" spans="1:6" ht="26.4" x14ac:dyDescent="0.25">
      <c r="A17" s="30" t="s">
        <v>201</v>
      </c>
      <c r="B17">
        <f>+'2016 Prop Prem Est'!B18</f>
        <v>3.4526183940083471E-2</v>
      </c>
    </row>
    <row r="19" spans="1:6" ht="26.4" x14ac:dyDescent="0.25">
      <c r="A19" s="30" t="s">
        <v>99</v>
      </c>
      <c r="B19" s="29">
        <v>-0.05</v>
      </c>
    </row>
    <row r="21" spans="1:6" ht="26.4" x14ac:dyDescent="0.25">
      <c r="A21" s="30" t="s">
        <v>160</v>
      </c>
      <c r="B21">
        <f>+B17*(1+B19)</f>
        <v>3.2799874743079299E-2</v>
      </c>
    </row>
    <row r="23" spans="1:6" ht="39.6" x14ac:dyDescent="0.25">
      <c r="A23" s="82" t="s">
        <v>161</v>
      </c>
      <c r="B23" s="83">
        <f>(+B12/100)*B21</f>
        <v>1398965.0220000001</v>
      </c>
      <c r="F23" s="28"/>
    </row>
    <row r="25" spans="1:6" ht="26.4" x14ac:dyDescent="0.25">
      <c r="A25" s="30" t="s">
        <v>168</v>
      </c>
      <c r="B25">
        <f>+'2016 Prop Prem Est'!B22</f>
        <v>8.969733184809324E-2</v>
      </c>
    </row>
    <row r="27" spans="1:6" ht="26.4" x14ac:dyDescent="0.25">
      <c r="A27" s="30" t="s">
        <v>99</v>
      </c>
      <c r="B27" s="29">
        <v>-0.05</v>
      </c>
    </row>
    <row r="29" spans="1:6" ht="26.4" x14ac:dyDescent="0.25">
      <c r="A29" s="30" t="s">
        <v>169</v>
      </c>
      <c r="B29">
        <f>+B25*(1+B27)</f>
        <v>8.5212465255688569E-2</v>
      </c>
      <c r="E29" s="33"/>
    </row>
    <row r="31" spans="1:6" ht="39.6" x14ac:dyDescent="0.25">
      <c r="A31" s="82" t="s">
        <v>170</v>
      </c>
      <c r="B31" s="83">
        <f>(+B13/100)*B29</f>
        <v>349741.25549999997</v>
      </c>
      <c r="E31" s="28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G33"/>
  <sheetViews>
    <sheetView topLeftCell="A13" workbookViewId="0">
      <selection activeCell="J11" sqref="J11"/>
    </sheetView>
  </sheetViews>
  <sheetFormatPr defaultRowHeight="13.2" x14ac:dyDescent="0.25"/>
  <cols>
    <col min="1" max="1" width="28.6640625" customWidth="1"/>
    <col min="2" max="2" width="19.109375" customWidth="1"/>
  </cols>
  <sheetData>
    <row r="5" spans="1:7" ht="14.4" x14ac:dyDescent="0.3">
      <c r="C5" s="25" t="s">
        <v>100</v>
      </c>
    </row>
    <row r="7" spans="1:7" ht="14.4" x14ac:dyDescent="0.3">
      <c r="A7" s="25" t="s">
        <v>102</v>
      </c>
    </row>
    <row r="8" spans="1:7" x14ac:dyDescent="0.25">
      <c r="A8" s="30"/>
      <c r="B8" s="28"/>
    </row>
    <row r="9" spans="1:7" ht="42.75" customHeight="1" x14ac:dyDescent="0.25">
      <c r="A9" s="30" t="s">
        <v>101</v>
      </c>
      <c r="B9" s="29">
        <v>0.05</v>
      </c>
    </row>
    <row r="10" spans="1:7" x14ac:dyDescent="0.25">
      <c r="A10" s="30"/>
    </row>
    <row r="11" spans="1:7" x14ac:dyDescent="0.25">
      <c r="A11" t="s">
        <v>103</v>
      </c>
      <c r="B11" s="28">
        <f>+'2017 Prop Prem Est'!B12</f>
        <v>4265153550</v>
      </c>
      <c r="G11" s="37"/>
    </row>
    <row r="12" spans="1:7" ht="26.4" x14ac:dyDescent="0.25">
      <c r="A12" s="30" t="s">
        <v>164</v>
      </c>
      <c r="B12" s="28">
        <f>+'2017 Prop Prem Est'!B13</f>
        <v>410434382.40000004</v>
      </c>
      <c r="G12" s="37"/>
    </row>
    <row r="14" spans="1:7" ht="31.5" customHeight="1" x14ac:dyDescent="0.25">
      <c r="A14" s="30" t="s">
        <v>104</v>
      </c>
      <c r="B14" s="28">
        <f>+B11*(1+B9)</f>
        <v>4478411227.5</v>
      </c>
    </row>
    <row r="15" spans="1:7" ht="26.4" x14ac:dyDescent="0.25">
      <c r="A15" s="30" t="s">
        <v>163</v>
      </c>
      <c r="B15" s="28">
        <f>+B12*(1+B9)</f>
        <v>430956101.52000004</v>
      </c>
    </row>
    <row r="17" spans="1:2" ht="14.4" x14ac:dyDescent="0.3">
      <c r="A17" s="25" t="s">
        <v>105</v>
      </c>
    </row>
    <row r="19" spans="1:2" ht="35.25" customHeight="1" x14ac:dyDescent="0.25">
      <c r="A19" s="30" t="s">
        <v>165</v>
      </c>
      <c r="B19">
        <f>+'2017 Prop Prem Est'!B21</f>
        <v>3.2799874743079299E-2</v>
      </c>
    </row>
    <row r="20" spans="1:2" ht="22.5" customHeight="1" x14ac:dyDescent="0.25"/>
    <row r="21" spans="1:2" ht="45.75" customHeight="1" x14ac:dyDescent="0.25">
      <c r="A21" s="30" t="s">
        <v>106</v>
      </c>
      <c r="B21" s="29">
        <v>0.02</v>
      </c>
    </row>
    <row r="23" spans="1:2" ht="24" customHeight="1" x14ac:dyDescent="0.25">
      <c r="A23" s="30" t="s">
        <v>166</v>
      </c>
      <c r="B23">
        <f>+B19*(1+B21)</f>
        <v>3.3455872237940887E-2</v>
      </c>
    </row>
    <row r="25" spans="1:2" ht="51.75" customHeight="1" x14ac:dyDescent="0.25">
      <c r="A25" s="82" t="s">
        <v>167</v>
      </c>
      <c r="B25" s="83">
        <f>(+B14/100)*B23</f>
        <v>1498291.538562</v>
      </c>
    </row>
    <row r="27" spans="1:2" ht="26.4" x14ac:dyDescent="0.25">
      <c r="A27" s="30" t="s">
        <v>165</v>
      </c>
      <c r="B27">
        <f>+'2017 Prop Prem Est'!B29</f>
        <v>8.5212465255688569E-2</v>
      </c>
    </row>
    <row r="29" spans="1:2" ht="26.4" x14ac:dyDescent="0.25">
      <c r="A29" s="30" t="s">
        <v>106</v>
      </c>
      <c r="B29" s="29">
        <v>0.02</v>
      </c>
    </row>
    <row r="31" spans="1:2" ht="26.4" x14ac:dyDescent="0.25">
      <c r="A31" s="30" t="s">
        <v>166</v>
      </c>
      <c r="B31">
        <f>+B27*(1+B29)</f>
        <v>8.6916714560802341E-2</v>
      </c>
    </row>
    <row r="33" spans="1:2" ht="39.6" x14ac:dyDescent="0.25">
      <c r="A33" s="82" t="s">
        <v>167</v>
      </c>
      <c r="B33" s="83">
        <f>(+B15/100)*B31</f>
        <v>374572.88464050001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3"/>
  <sheetViews>
    <sheetView topLeftCell="A13" workbookViewId="0">
      <selection activeCell="J11" sqref="J11"/>
    </sheetView>
  </sheetViews>
  <sheetFormatPr defaultRowHeight="13.2" x14ac:dyDescent="0.25"/>
  <cols>
    <col min="1" max="1" width="28.6640625" customWidth="1"/>
    <col min="2" max="2" width="19.109375" customWidth="1"/>
  </cols>
  <sheetData>
    <row r="5" spans="1:7" ht="14.4" x14ac:dyDescent="0.3">
      <c r="C5" s="25" t="s">
        <v>202</v>
      </c>
    </row>
    <row r="7" spans="1:7" ht="14.4" x14ac:dyDescent="0.3">
      <c r="A7" s="25" t="s">
        <v>203</v>
      </c>
    </row>
    <row r="8" spans="1:7" x14ac:dyDescent="0.25">
      <c r="A8" s="30"/>
      <c r="B8" s="28"/>
    </row>
    <row r="9" spans="1:7" ht="42.75" customHeight="1" x14ac:dyDescent="0.25">
      <c r="A9" s="30" t="s">
        <v>204</v>
      </c>
      <c r="B9" s="29">
        <v>0.05</v>
      </c>
    </row>
    <row r="10" spans="1:7" x14ac:dyDescent="0.25">
      <c r="A10" s="30"/>
    </row>
    <row r="11" spans="1:7" x14ac:dyDescent="0.25">
      <c r="A11" t="s">
        <v>205</v>
      </c>
      <c r="B11" s="28">
        <f>+'2018 Prop Prem Est'!B14</f>
        <v>4478411227.5</v>
      </c>
      <c r="G11" s="37"/>
    </row>
    <row r="12" spans="1:7" ht="26.4" x14ac:dyDescent="0.25">
      <c r="A12" s="30" t="s">
        <v>206</v>
      </c>
      <c r="B12" s="28">
        <f>+'2018 Prop Prem Est'!B15</f>
        <v>430956101.52000004</v>
      </c>
      <c r="G12" s="37"/>
    </row>
    <row r="14" spans="1:7" ht="31.5" customHeight="1" x14ac:dyDescent="0.25">
      <c r="A14" s="30" t="s">
        <v>207</v>
      </c>
      <c r="B14" s="28">
        <f>+B11*(1+B9)</f>
        <v>4702331788.875</v>
      </c>
    </row>
    <row r="15" spans="1:7" ht="26.4" x14ac:dyDescent="0.25">
      <c r="A15" s="30" t="s">
        <v>208</v>
      </c>
      <c r="B15" s="28">
        <f>+B12*(1+B9)</f>
        <v>452503906.59600008</v>
      </c>
    </row>
    <row r="17" spans="1:2" ht="14.4" x14ac:dyDescent="0.3">
      <c r="A17" s="25" t="s">
        <v>209</v>
      </c>
    </row>
    <row r="19" spans="1:2" ht="35.25" customHeight="1" x14ac:dyDescent="0.25">
      <c r="A19" s="30" t="s">
        <v>210</v>
      </c>
      <c r="B19">
        <f>+'2018 Prop Prem Est'!B23</f>
        <v>3.3455872237940887E-2</v>
      </c>
    </row>
    <row r="20" spans="1:2" ht="22.5" customHeight="1" x14ac:dyDescent="0.25"/>
    <row r="21" spans="1:2" ht="45.75" customHeight="1" x14ac:dyDescent="0.25">
      <c r="A21" s="30" t="s">
        <v>211</v>
      </c>
      <c r="B21" s="29">
        <v>0.02</v>
      </c>
    </row>
    <row r="23" spans="1:2" ht="24" customHeight="1" x14ac:dyDescent="0.25">
      <c r="A23" s="30" t="s">
        <v>213</v>
      </c>
      <c r="B23">
        <f>+B19*(1+B21)</f>
        <v>3.4124989682699704E-2</v>
      </c>
    </row>
    <row r="25" spans="1:2" ht="51.75" customHeight="1" x14ac:dyDescent="0.25">
      <c r="A25" s="82" t="s">
        <v>212</v>
      </c>
      <c r="B25" s="83">
        <f>(+B14/100)*B23</f>
        <v>1604670.2377999022</v>
      </c>
    </row>
    <row r="27" spans="1:2" ht="26.4" x14ac:dyDescent="0.25">
      <c r="A27" s="30" t="s">
        <v>210</v>
      </c>
      <c r="B27">
        <f>+'2018 Prop Prem Est'!B31</f>
        <v>8.6916714560802341E-2</v>
      </c>
    </row>
    <row r="29" spans="1:2" ht="26.4" x14ac:dyDescent="0.25">
      <c r="A29" s="30" t="s">
        <v>211</v>
      </c>
      <c r="B29" s="29">
        <v>0.02</v>
      </c>
    </row>
    <row r="31" spans="1:2" ht="26.4" x14ac:dyDescent="0.25">
      <c r="A31" s="30" t="s">
        <v>213</v>
      </c>
      <c r="B31">
        <f>+B27*(1+B29)</f>
        <v>8.8655048852018387E-2</v>
      </c>
    </row>
    <row r="33" spans="1:2" ht="39.6" x14ac:dyDescent="0.25">
      <c r="A33" s="82" t="s">
        <v>212</v>
      </c>
      <c r="B33" s="83">
        <f>(+B15/100)*B31</f>
        <v>401167.55944997555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A17" sqref="A17"/>
    </sheetView>
  </sheetViews>
  <sheetFormatPr defaultColWidth="8" defaultRowHeight="14.4" x14ac:dyDescent="0.3"/>
  <cols>
    <col min="1" max="1" width="33.6640625" style="12" customWidth="1"/>
    <col min="2" max="2" width="3.44140625" style="12" customWidth="1"/>
    <col min="3" max="3" width="9.6640625" style="12" customWidth="1"/>
    <col min="4" max="4" width="17.88671875" style="12" customWidth="1"/>
    <col min="5" max="5" width="2.109375" style="12" customWidth="1"/>
    <col min="6" max="6" width="12.109375" style="12" customWidth="1"/>
    <col min="7" max="254" width="8" style="12"/>
    <col min="255" max="255" width="26.5546875" style="12" customWidth="1"/>
    <col min="256" max="256" width="14.44140625" style="12" bestFit="1" customWidth="1"/>
    <col min="257" max="257" width="16.44140625" style="12" bestFit="1" customWidth="1"/>
    <col min="258" max="258" width="11.6640625" style="12" customWidth="1"/>
    <col min="259" max="510" width="8" style="12"/>
    <col min="511" max="511" width="26.5546875" style="12" customWidth="1"/>
    <col min="512" max="512" width="14.44140625" style="12" bestFit="1" customWidth="1"/>
    <col min="513" max="513" width="16.44140625" style="12" bestFit="1" customWidth="1"/>
    <col min="514" max="514" width="11.6640625" style="12" customWidth="1"/>
    <col min="515" max="766" width="8" style="12"/>
    <col min="767" max="767" width="26.5546875" style="12" customWidth="1"/>
    <col min="768" max="768" width="14.44140625" style="12" bestFit="1" customWidth="1"/>
    <col min="769" max="769" width="16.44140625" style="12" bestFit="1" customWidth="1"/>
    <col min="770" max="770" width="11.6640625" style="12" customWidth="1"/>
    <col min="771" max="1022" width="8" style="12"/>
    <col min="1023" max="1023" width="26.5546875" style="12" customWidth="1"/>
    <col min="1024" max="1024" width="14.44140625" style="12" bestFit="1" customWidth="1"/>
    <col min="1025" max="1025" width="16.44140625" style="12" bestFit="1" customWidth="1"/>
    <col min="1026" max="1026" width="11.6640625" style="12" customWidth="1"/>
    <col min="1027" max="1278" width="8" style="12"/>
    <col min="1279" max="1279" width="26.5546875" style="12" customWidth="1"/>
    <col min="1280" max="1280" width="14.44140625" style="12" bestFit="1" customWidth="1"/>
    <col min="1281" max="1281" width="16.44140625" style="12" bestFit="1" customWidth="1"/>
    <col min="1282" max="1282" width="11.6640625" style="12" customWidth="1"/>
    <col min="1283" max="1534" width="8" style="12"/>
    <col min="1535" max="1535" width="26.5546875" style="12" customWidth="1"/>
    <col min="1536" max="1536" width="14.44140625" style="12" bestFit="1" customWidth="1"/>
    <col min="1537" max="1537" width="16.44140625" style="12" bestFit="1" customWidth="1"/>
    <col min="1538" max="1538" width="11.6640625" style="12" customWidth="1"/>
    <col min="1539" max="1790" width="8" style="12"/>
    <col min="1791" max="1791" width="26.5546875" style="12" customWidth="1"/>
    <col min="1792" max="1792" width="14.44140625" style="12" bestFit="1" customWidth="1"/>
    <col min="1793" max="1793" width="16.44140625" style="12" bestFit="1" customWidth="1"/>
    <col min="1794" max="1794" width="11.6640625" style="12" customWidth="1"/>
    <col min="1795" max="2046" width="8" style="12"/>
    <col min="2047" max="2047" width="26.5546875" style="12" customWidth="1"/>
    <col min="2048" max="2048" width="14.44140625" style="12" bestFit="1" customWidth="1"/>
    <col min="2049" max="2049" width="16.44140625" style="12" bestFit="1" customWidth="1"/>
    <col min="2050" max="2050" width="11.6640625" style="12" customWidth="1"/>
    <col min="2051" max="2302" width="8" style="12"/>
    <col min="2303" max="2303" width="26.5546875" style="12" customWidth="1"/>
    <col min="2304" max="2304" width="14.44140625" style="12" bestFit="1" customWidth="1"/>
    <col min="2305" max="2305" width="16.44140625" style="12" bestFit="1" customWidth="1"/>
    <col min="2306" max="2306" width="11.6640625" style="12" customWidth="1"/>
    <col min="2307" max="2558" width="8" style="12"/>
    <col min="2559" max="2559" width="26.5546875" style="12" customWidth="1"/>
    <col min="2560" max="2560" width="14.44140625" style="12" bestFit="1" customWidth="1"/>
    <col min="2561" max="2561" width="16.44140625" style="12" bestFit="1" customWidth="1"/>
    <col min="2562" max="2562" width="11.6640625" style="12" customWidth="1"/>
    <col min="2563" max="2814" width="8" style="12"/>
    <col min="2815" max="2815" width="26.5546875" style="12" customWidth="1"/>
    <col min="2816" max="2816" width="14.44140625" style="12" bestFit="1" customWidth="1"/>
    <col min="2817" max="2817" width="16.44140625" style="12" bestFit="1" customWidth="1"/>
    <col min="2818" max="2818" width="11.6640625" style="12" customWidth="1"/>
    <col min="2819" max="3070" width="8" style="12"/>
    <col min="3071" max="3071" width="26.5546875" style="12" customWidth="1"/>
    <col min="3072" max="3072" width="14.44140625" style="12" bestFit="1" customWidth="1"/>
    <col min="3073" max="3073" width="16.44140625" style="12" bestFit="1" customWidth="1"/>
    <col min="3074" max="3074" width="11.6640625" style="12" customWidth="1"/>
    <col min="3075" max="3326" width="8" style="12"/>
    <col min="3327" max="3327" width="26.5546875" style="12" customWidth="1"/>
    <col min="3328" max="3328" width="14.44140625" style="12" bestFit="1" customWidth="1"/>
    <col min="3329" max="3329" width="16.44140625" style="12" bestFit="1" customWidth="1"/>
    <col min="3330" max="3330" width="11.6640625" style="12" customWidth="1"/>
    <col min="3331" max="3582" width="8" style="12"/>
    <col min="3583" max="3583" width="26.5546875" style="12" customWidth="1"/>
    <col min="3584" max="3584" width="14.44140625" style="12" bestFit="1" customWidth="1"/>
    <col min="3585" max="3585" width="16.44140625" style="12" bestFit="1" customWidth="1"/>
    <col min="3586" max="3586" width="11.6640625" style="12" customWidth="1"/>
    <col min="3587" max="3838" width="8" style="12"/>
    <col min="3839" max="3839" width="26.5546875" style="12" customWidth="1"/>
    <col min="3840" max="3840" width="14.44140625" style="12" bestFit="1" customWidth="1"/>
    <col min="3841" max="3841" width="16.44140625" style="12" bestFit="1" customWidth="1"/>
    <col min="3842" max="3842" width="11.6640625" style="12" customWidth="1"/>
    <col min="3843" max="4094" width="8" style="12"/>
    <col min="4095" max="4095" width="26.5546875" style="12" customWidth="1"/>
    <col min="4096" max="4096" width="14.44140625" style="12" bestFit="1" customWidth="1"/>
    <col min="4097" max="4097" width="16.44140625" style="12" bestFit="1" customWidth="1"/>
    <col min="4098" max="4098" width="11.6640625" style="12" customWidth="1"/>
    <col min="4099" max="4350" width="8" style="12"/>
    <col min="4351" max="4351" width="26.5546875" style="12" customWidth="1"/>
    <col min="4352" max="4352" width="14.44140625" style="12" bestFit="1" customWidth="1"/>
    <col min="4353" max="4353" width="16.44140625" style="12" bestFit="1" customWidth="1"/>
    <col min="4354" max="4354" width="11.6640625" style="12" customWidth="1"/>
    <col min="4355" max="4606" width="8" style="12"/>
    <col min="4607" max="4607" width="26.5546875" style="12" customWidth="1"/>
    <col min="4608" max="4608" width="14.44140625" style="12" bestFit="1" customWidth="1"/>
    <col min="4609" max="4609" width="16.44140625" style="12" bestFit="1" customWidth="1"/>
    <col min="4610" max="4610" width="11.6640625" style="12" customWidth="1"/>
    <col min="4611" max="4862" width="8" style="12"/>
    <col min="4863" max="4863" width="26.5546875" style="12" customWidth="1"/>
    <col min="4864" max="4864" width="14.44140625" style="12" bestFit="1" customWidth="1"/>
    <col min="4865" max="4865" width="16.44140625" style="12" bestFit="1" customWidth="1"/>
    <col min="4866" max="4866" width="11.6640625" style="12" customWidth="1"/>
    <col min="4867" max="5118" width="8" style="12"/>
    <col min="5119" max="5119" width="26.5546875" style="12" customWidth="1"/>
    <col min="5120" max="5120" width="14.44140625" style="12" bestFit="1" customWidth="1"/>
    <col min="5121" max="5121" width="16.44140625" style="12" bestFit="1" customWidth="1"/>
    <col min="5122" max="5122" width="11.6640625" style="12" customWidth="1"/>
    <col min="5123" max="5374" width="8" style="12"/>
    <col min="5375" max="5375" width="26.5546875" style="12" customWidth="1"/>
    <col min="5376" max="5376" width="14.44140625" style="12" bestFit="1" customWidth="1"/>
    <col min="5377" max="5377" width="16.44140625" style="12" bestFit="1" customWidth="1"/>
    <col min="5378" max="5378" width="11.6640625" style="12" customWidth="1"/>
    <col min="5379" max="5630" width="8" style="12"/>
    <col min="5631" max="5631" width="26.5546875" style="12" customWidth="1"/>
    <col min="5632" max="5632" width="14.44140625" style="12" bestFit="1" customWidth="1"/>
    <col min="5633" max="5633" width="16.44140625" style="12" bestFit="1" customWidth="1"/>
    <col min="5634" max="5634" width="11.6640625" style="12" customWidth="1"/>
    <col min="5635" max="5886" width="8" style="12"/>
    <col min="5887" max="5887" width="26.5546875" style="12" customWidth="1"/>
    <col min="5888" max="5888" width="14.44140625" style="12" bestFit="1" customWidth="1"/>
    <col min="5889" max="5889" width="16.44140625" style="12" bestFit="1" customWidth="1"/>
    <col min="5890" max="5890" width="11.6640625" style="12" customWidth="1"/>
    <col min="5891" max="6142" width="8" style="12"/>
    <col min="6143" max="6143" width="26.5546875" style="12" customWidth="1"/>
    <col min="6144" max="6144" width="14.44140625" style="12" bestFit="1" customWidth="1"/>
    <col min="6145" max="6145" width="16.44140625" style="12" bestFit="1" customWidth="1"/>
    <col min="6146" max="6146" width="11.6640625" style="12" customWidth="1"/>
    <col min="6147" max="6398" width="8" style="12"/>
    <col min="6399" max="6399" width="26.5546875" style="12" customWidth="1"/>
    <col min="6400" max="6400" width="14.44140625" style="12" bestFit="1" customWidth="1"/>
    <col min="6401" max="6401" width="16.44140625" style="12" bestFit="1" customWidth="1"/>
    <col min="6402" max="6402" width="11.6640625" style="12" customWidth="1"/>
    <col min="6403" max="6654" width="8" style="12"/>
    <col min="6655" max="6655" width="26.5546875" style="12" customWidth="1"/>
    <col min="6656" max="6656" width="14.44140625" style="12" bestFit="1" customWidth="1"/>
    <col min="6657" max="6657" width="16.44140625" style="12" bestFit="1" customWidth="1"/>
    <col min="6658" max="6658" width="11.6640625" style="12" customWidth="1"/>
    <col min="6659" max="6910" width="8" style="12"/>
    <col min="6911" max="6911" width="26.5546875" style="12" customWidth="1"/>
    <col min="6912" max="6912" width="14.44140625" style="12" bestFit="1" customWidth="1"/>
    <col min="6913" max="6913" width="16.44140625" style="12" bestFit="1" customWidth="1"/>
    <col min="6914" max="6914" width="11.6640625" style="12" customWidth="1"/>
    <col min="6915" max="7166" width="8" style="12"/>
    <col min="7167" max="7167" width="26.5546875" style="12" customWidth="1"/>
    <col min="7168" max="7168" width="14.44140625" style="12" bestFit="1" customWidth="1"/>
    <col min="7169" max="7169" width="16.44140625" style="12" bestFit="1" customWidth="1"/>
    <col min="7170" max="7170" width="11.6640625" style="12" customWidth="1"/>
    <col min="7171" max="7422" width="8" style="12"/>
    <col min="7423" max="7423" width="26.5546875" style="12" customWidth="1"/>
    <col min="7424" max="7424" width="14.44140625" style="12" bestFit="1" customWidth="1"/>
    <col min="7425" max="7425" width="16.44140625" style="12" bestFit="1" customWidth="1"/>
    <col min="7426" max="7426" width="11.6640625" style="12" customWidth="1"/>
    <col min="7427" max="7678" width="8" style="12"/>
    <col min="7679" max="7679" width="26.5546875" style="12" customWidth="1"/>
    <col min="7680" max="7680" width="14.44140625" style="12" bestFit="1" customWidth="1"/>
    <col min="7681" max="7681" width="16.44140625" style="12" bestFit="1" customWidth="1"/>
    <col min="7682" max="7682" width="11.6640625" style="12" customWidth="1"/>
    <col min="7683" max="7934" width="8" style="12"/>
    <col min="7935" max="7935" width="26.5546875" style="12" customWidth="1"/>
    <col min="7936" max="7936" width="14.44140625" style="12" bestFit="1" customWidth="1"/>
    <col min="7937" max="7937" width="16.44140625" style="12" bestFit="1" customWidth="1"/>
    <col min="7938" max="7938" width="11.6640625" style="12" customWidth="1"/>
    <col min="7939" max="8190" width="8" style="12"/>
    <col min="8191" max="8191" width="26.5546875" style="12" customWidth="1"/>
    <col min="8192" max="8192" width="14.44140625" style="12" bestFit="1" customWidth="1"/>
    <col min="8193" max="8193" width="16.44140625" style="12" bestFit="1" customWidth="1"/>
    <col min="8194" max="8194" width="11.6640625" style="12" customWidth="1"/>
    <col min="8195" max="8446" width="8" style="12"/>
    <col min="8447" max="8447" width="26.5546875" style="12" customWidth="1"/>
    <col min="8448" max="8448" width="14.44140625" style="12" bestFit="1" customWidth="1"/>
    <col min="8449" max="8449" width="16.44140625" style="12" bestFit="1" customWidth="1"/>
    <col min="8450" max="8450" width="11.6640625" style="12" customWidth="1"/>
    <col min="8451" max="8702" width="8" style="12"/>
    <col min="8703" max="8703" width="26.5546875" style="12" customWidth="1"/>
    <col min="8704" max="8704" width="14.44140625" style="12" bestFit="1" customWidth="1"/>
    <col min="8705" max="8705" width="16.44140625" style="12" bestFit="1" customWidth="1"/>
    <col min="8706" max="8706" width="11.6640625" style="12" customWidth="1"/>
    <col min="8707" max="8958" width="8" style="12"/>
    <col min="8959" max="8959" width="26.5546875" style="12" customWidth="1"/>
    <col min="8960" max="8960" width="14.44140625" style="12" bestFit="1" customWidth="1"/>
    <col min="8961" max="8961" width="16.44140625" style="12" bestFit="1" customWidth="1"/>
    <col min="8962" max="8962" width="11.6640625" style="12" customWidth="1"/>
    <col min="8963" max="9214" width="8" style="12"/>
    <col min="9215" max="9215" width="26.5546875" style="12" customWidth="1"/>
    <col min="9216" max="9216" width="14.44140625" style="12" bestFit="1" customWidth="1"/>
    <col min="9217" max="9217" width="16.44140625" style="12" bestFit="1" customWidth="1"/>
    <col min="9218" max="9218" width="11.6640625" style="12" customWidth="1"/>
    <col min="9219" max="9470" width="8" style="12"/>
    <col min="9471" max="9471" width="26.5546875" style="12" customWidth="1"/>
    <col min="9472" max="9472" width="14.44140625" style="12" bestFit="1" customWidth="1"/>
    <col min="9473" max="9473" width="16.44140625" style="12" bestFit="1" customWidth="1"/>
    <col min="9474" max="9474" width="11.6640625" style="12" customWidth="1"/>
    <col min="9475" max="9726" width="8" style="12"/>
    <col min="9727" max="9727" width="26.5546875" style="12" customWidth="1"/>
    <col min="9728" max="9728" width="14.44140625" style="12" bestFit="1" customWidth="1"/>
    <col min="9729" max="9729" width="16.44140625" style="12" bestFit="1" customWidth="1"/>
    <col min="9730" max="9730" width="11.6640625" style="12" customWidth="1"/>
    <col min="9731" max="9982" width="8" style="12"/>
    <col min="9983" max="9983" width="26.5546875" style="12" customWidth="1"/>
    <col min="9984" max="9984" width="14.44140625" style="12" bestFit="1" customWidth="1"/>
    <col min="9985" max="9985" width="16.44140625" style="12" bestFit="1" customWidth="1"/>
    <col min="9986" max="9986" width="11.6640625" style="12" customWidth="1"/>
    <col min="9987" max="10238" width="8" style="12"/>
    <col min="10239" max="10239" width="26.5546875" style="12" customWidth="1"/>
    <col min="10240" max="10240" width="14.44140625" style="12" bestFit="1" customWidth="1"/>
    <col min="10241" max="10241" width="16.44140625" style="12" bestFit="1" customWidth="1"/>
    <col min="10242" max="10242" width="11.6640625" style="12" customWidth="1"/>
    <col min="10243" max="10494" width="8" style="12"/>
    <col min="10495" max="10495" width="26.5546875" style="12" customWidth="1"/>
    <col min="10496" max="10496" width="14.44140625" style="12" bestFit="1" customWidth="1"/>
    <col min="10497" max="10497" width="16.44140625" style="12" bestFit="1" customWidth="1"/>
    <col min="10498" max="10498" width="11.6640625" style="12" customWidth="1"/>
    <col min="10499" max="10750" width="8" style="12"/>
    <col min="10751" max="10751" width="26.5546875" style="12" customWidth="1"/>
    <col min="10752" max="10752" width="14.44140625" style="12" bestFit="1" customWidth="1"/>
    <col min="10753" max="10753" width="16.44140625" style="12" bestFit="1" customWidth="1"/>
    <col min="10754" max="10754" width="11.6640625" style="12" customWidth="1"/>
    <col min="10755" max="11006" width="8" style="12"/>
    <col min="11007" max="11007" width="26.5546875" style="12" customWidth="1"/>
    <col min="11008" max="11008" width="14.44140625" style="12" bestFit="1" customWidth="1"/>
    <col min="11009" max="11009" width="16.44140625" style="12" bestFit="1" customWidth="1"/>
    <col min="11010" max="11010" width="11.6640625" style="12" customWidth="1"/>
    <col min="11011" max="11262" width="8" style="12"/>
    <col min="11263" max="11263" width="26.5546875" style="12" customWidth="1"/>
    <col min="11264" max="11264" width="14.44140625" style="12" bestFit="1" customWidth="1"/>
    <col min="11265" max="11265" width="16.44140625" style="12" bestFit="1" customWidth="1"/>
    <col min="11266" max="11266" width="11.6640625" style="12" customWidth="1"/>
    <col min="11267" max="11518" width="8" style="12"/>
    <col min="11519" max="11519" width="26.5546875" style="12" customWidth="1"/>
    <col min="11520" max="11520" width="14.44140625" style="12" bestFit="1" customWidth="1"/>
    <col min="11521" max="11521" width="16.44140625" style="12" bestFit="1" customWidth="1"/>
    <col min="11522" max="11522" width="11.6640625" style="12" customWidth="1"/>
    <col min="11523" max="11774" width="8" style="12"/>
    <col min="11775" max="11775" width="26.5546875" style="12" customWidth="1"/>
    <col min="11776" max="11776" width="14.44140625" style="12" bestFit="1" customWidth="1"/>
    <col min="11777" max="11777" width="16.44140625" style="12" bestFit="1" customWidth="1"/>
    <col min="11778" max="11778" width="11.6640625" style="12" customWidth="1"/>
    <col min="11779" max="12030" width="8" style="12"/>
    <col min="12031" max="12031" width="26.5546875" style="12" customWidth="1"/>
    <col min="12032" max="12032" width="14.44140625" style="12" bestFit="1" customWidth="1"/>
    <col min="12033" max="12033" width="16.44140625" style="12" bestFit="1" customWidth="1"/>
    <col min="12034" max="12034" width="11.6640625" style="12" customWidth="1"/>
    <col min="12035" max="12286" width="8" style="12"/>
    <col min="12287" max="12287" width="26.5546875" style="12" customWidth="1"/>
    <col min="12288" max="12288" width="14.44140625" style="12" bestFit="1" customWidth="1"/>
    <col min="12289" max="12289" width="16.44140625" style="12" bestFit="1" customWidth="1"/>
    <col min="12290" max="12290" width="11.6640625" style="12" customWidth="1"/>
    <col min="12291" max="12542" width="8" style="12"/>
    <col min="12543" max="12543" width="26.5546875" style="12" customWidth="1"/>
    <col min="12544" max="12544" width="14.44140625" style="12" bestFit="1" customWidth="1"/>
    <col min="12545" max="12545" width="16.44140625" style="12" bestFit="1" customWidth="1"/>
    <col min="12546" max="12546" width="11.6640625" style="12" customWidth="1"/>
    <col min="12547" max="12798" width="8" style="12"/>
    <col min="12799" max="12799" width="26.5546875" style="12" customWidth="1"/>
    <col min="12800" max="12800" width="14.44140625" style="12" bestFit="1" customWidth="1"/>
    <col min="12801" max="12801" width="16.44140625" style="12" bestFit="1" customWidth="1"/>
    <col min="12802" max="12802" width="11.6640625" style="12" customWidth="1"/>
    <col min="12803" max="13054" width="8" style="12"/>
    <col min="13055" max="13055" width="26.5546875" style="12" customWidth="1"/>
    <col min="13056" max="13056" width="14.44140625" style="12" bestFit="1" customWidth="1"/>
    <col min="13057" max="13057" width="16.44140625" style="12" bestFit="1" customWidth="1"/>
    <col min="13058" max="13058" width="11.6640625" style="12" customWidth="1"/>
    <col min="13059" max="13310" width="8" style="12"/>
    <col min="13311" max="13311" width="26.5546875" style="12" customWidth="1"/>
    <col min="13312" max="13312" width="14.44140625" style="12" bestFit="1" customWidth="1"/>
    <col min="13313" max="13313" width="16.44140625" style="12" bestFit="1" customWidth="1"/>
    <col min="13314" max="13314" width="11.6640625" style="12" customWidth="1"/>
    <col min="13315" max="13566" width="8" style="12"/>
    <col min="13567" max="13567" width="26.5546875" style="12" customWidth="1"/>
    <col min="13568" max="13568" width="14.44140625" style="12" bestFit="1" customWidth="1"/>
    <col min="13569" max="13569" width="16.44140625" style="12" bestFit="1" customWidth="1"/>
    <col min="13570" max="13570" width="11.6640625" style="12" customWidth="1"/>
    <col min="13571" max="13822" width="8" style="12"/>
    <col min="13823" max="13823" width="26.5546875" style="12" customWidth="1"/>
    <col min="13824" max="13824" width="14.44140625" style="12" bestFit="1" customWidth="1"/>
    <col min="13825" max="13825" width="16.44140625" style="12" bestFit="1" customWidth="1"/>
    <col min="13826" max="13826" width="11.6640625" style="12" customWidth="1"/>
    <col min="13827" max="14078" width="8" style="12"/>
    <col min="14079" max="14079" width="26.5546875" style="12" customWidth="1"/>
    <col min="14080" max="14080" width="14.44140625" style="12" bestFit="1" customWidth="1"/>
    <col min="14081" max="14081" width="16.44140625" style="12" bestFit="1" customWidth="1"/>
    <col min="14082" max="14082" width="11.6640625" style="12" customWidth="1"/>
    <col min="14083" max="14334" width="8" style="12"/>
    <col min="14335" max="14335" width="26.5546875" style="12" customWidth="1"/>
    <col min="14336" max="14336" width="14.44140625" style="12" bestFit="1" customWidth="1"/>
    <col min="14337" max="14337" width="16.44140625" style="12" bestFit="1" customWidth="1"/>
    <col min="14338" max="14338" width="11.6640625" style="12" customWidth="1"/>
    <col min="14339" max="14590" width="8" style="12"/>
    <col min="14591" max="14591" width="26.5546875" style="12" customWidth="1"/>
    <col min="14592" max="14592" width="14.44140625" style="12" bestFit="1" customWidth="1"/>
    <col min="14593" max="14593" width="16.44140625" style="12" bestFit="1" customWidth="1"/>
    <col min="14594" max="14594" width="11.6640625" style="12" customWidth="1"/>
    <col min="14595" max="14846" width="8" style="12"/>
    <col min="14847" max="14847" width="26.5546875" style="12" customWidth="1"/>
    <col min="14848" max="14848" width="14.44140625" style="12" bestFit="1" customWidth="1"/>
    <col min="14849" max="14849" width="16.44140625" style="12" bestFit="1" customWidth="1"/>
    <col min="14850" max="14850" width="11.6640625" style="12" customWidth="1"/>
    <col min="14851" max="15102" width="8" style="12"/>
    <col min="15103" max="15103" width="26.5546875" style="12" customWidth="1"/>
    <col min="15104" max="15104" width="14.44140625" style="12" bestFit="1" customWidth="1"/>
    <col min="15105" max="15105" width="16.44140625" style="12" bestFit="1" customWidth="1"/>
    <col min="15106" max="15106" width="11.6640625" style="12" customWidth="1"/>
    <col min="15107" max="15358" width="8" style="12"/>
    <col min="15359" max="15359" width="26.5546875" style="12" customWidth="1"/>
    <col min="15360" max="15360" width="14.44140625" style="12" bestFit="1" customWidth="1"/>
    <col min="15361" max="15361" width="16.44140625" style="12" bestFit="1" customWidth="1"/>
    <col min="15362" max="15362" width="11.6640625" style="12" customWidth="1"/>
    <col min="15363" max="15614" width="8" style="12"/>
    <col min="15615" max="15615" width="26.5546875" style="12" customWidth="1"/>
    <col min="15616" max="15616" width="14.44140625" style="12" bestFit="1" customWidth="1"/>
    <col min="15617" max="15617" width="16.44140625" style="12" bestFit="1" customWidth="1"/>
    <col min="15618" max="15618" width="11.6640625" style="12" customWidth="1"/>
    <col min="15619" max="15870" width="8" style="12"/>
    <col min="15871" max="15871" width="26.5546875" style="12" customWidth="1"/>
    <col min="15872" max="15872" width="14.44140625" style="12" bestFit="1" customWidth="1"/>
    <col min="15873" max="15873" width="16.44140625" style="12" bestFit="1" customWidth="1"/>
    <col min="15874" max="15874" width="11.6640625" style="12" customWidth="1"/>
    <col min="15875" max="16126" width="8" style="12"/>
    <col min="16127" max="16127" width="26.5546875" style="12" customWidth="1"/>
    <col min="16128" max="16128" width="14.44140625" style="12" bestFit="1" customWidth="1"/>
    <col min="16129" max="16129" width="16.44140625" style="12" bestFit="1" customWidth="1"/>
    <col min="16130" max="16130" width="11.6640625" style="12" customWidth="1"/>
    <col min="16131" max="16384" width="8" style="12"/>
  </cols>
  <sheetData>
    <row r="1" spans="1:14" s="4" customFormat="1" x14ac:dyDescent="0.3">
      <c r="A1" s="113" t="s">
        <v>2</v>
      </c>
      <c r="B1" s="113"/>
      <c r="C1" s="113"/>
      <c r="D1" s="113"/>
      <c r="E1" s="113"/>
      <c r="F1" s="113"/>
      <c r="G1" s="21"/>
      <c r="H1" s="21"/>
      <c r="I1" s="21"/>
      <c r="J1" s="21"/>
      <c r="K1" s="21"/>
      <c r="L1" s="21"/>
      <c r="M1" s="21"/>
      <c r="N1" s="21"/>
    </row>
    <row r="2" spans="1:14" s="4" customFormat="1" x14ac:dyDescent="0.3">
      <c r="A2" s="113" t="s">
        <v>8</v>
      </c>
      <c r="B2" s="113"/>
      <c r="C2" s="113"/>
      <c r="D2" s="113"/>
      <c r="E2" s="113"/>
      <c r="F2" s="113"/>
      <c r="G2" s="21"/>
      <c r="H2" s="21"/>
      <c r="I2" s="21"/>
      <c r="J2" s="21"/>
      <c r="K2" s="21"/>
      <c r="L2" s="21"/>
      <c r="M2" s="21"/>
      <c r="N2" s="21"/>
    </row>
    <row r="3" spans="1:14" s="4" customFormat="1" x14ac:dyDescent="0.3">
      <c r="A3" s="113" t="s">
        <v>9</v>
      </c>
      <c r="B3" s="113"/>
      <c r="C3" s="113"/>
      <c r="D3" s="113"/>
      <c r="E3" s="113"/>
      <c r="F3" s="113"/>
      <c r="G3" s="21"/>
      <c r="H3" s="21"/>
      <c r="I3" s="21"/>
      <c r="J3" s="21"/>
      <c r="K3" s="21"/>
      <c r="L3" s="21"/>
      <c r="M3" s="21"/>
      <c r="N3" s="21"/>
    </row>
    <row r="4" spans="1:14" s="4" customFormat="1" x14ac:dyDescent="0.3">
      <c r="A4" s="113" t="s">
        <v>250</v>
      </c>
      <c r="B4" s="113"/>
      <c r="C4" s="113"/>
      <c r="D4" s="113"/>
      <c r="E4" s="113"/>
      <c r="F4" s="113"/>
      <c r="G4" s="21"/>
      <c r="H4" s="21"/>
      <c r="I4" s="21"/>
      <c r="J4" s="21"/>
      <c r="K4" s="21"/>
      <c r="L4" s="21"/>
      <c r="M4" s="21"/>
      <c r="N4" s="21"/>
    </row>
    <row r="5" spans="1:14" s="4" customFormat="1" x14ac:dyDescent="0.3">
      <c r="A5" s="5"/>
      <c r="B5" s="5"/>
    </row>
    <row r="6" spans="1:14" s="4" customFormat="1" x14ac:dyDescent="0.3">
      <c r="A6" s="5" t="s">
        <v>3</v>
      </c>
      <c r="B6" s="6"/>
      <c r="C6" s="6"/>
      <c r="D6" s="7" t="s">
        <v>4</v>
      </c>
    </row>
    <row r="7" spans="1:14" s="4" customFormat="1" x14ac:dyDescent="0.3">
      <c r="A7" s="5" t="s">
        <v>7</v>
      </c>
      <c r="B7" s="8"/>
      <c r="C7" s="9"/>
      <c r="D7" s="10">
        <f>'2018 D&amp;O Est'!G78</f>
        <v>-64384.55819999997</v>
      </c>
    </row>
    <row r="8" spans="1:14" s="4" customFormat="1" x14ac:dyDescent="0.3">
      <c r="A8" s="5"/>
      <c r="B8" s="8"/>
      <c r="C8" s="9"/>
      <c r="D8" s="10"/>
    </row>
    <row r="9" spans="1:14" s="4" customFormat="1" x14ac:dyDescent="0.3">
      <c r="A9" s="5"/>
      <c r="B9" s="5"/>
    </row>
    <row r="10" spans="1:14" x14ac:dyDescent="0.3">
      <c r="A10" s="13" t="s">
        <v>6</v>
      </c>
      <c r="B10" s="13"/>
      <c r="F10" s="2"/>
      <c r="G10" s="1"/>
    </row>
    <row r="11" spans="1:14" x14ac:dyDescent="0.3">
      <c r="A11" s="11">
        <v>0.70135000000000003</v>
      </c>
      <c r="B11" s="11"/>
      <c r="C11" s="12" t="s">
        <v>232</v>
      </c>
      <c r="F11" s="3"/>
      <c r="G11" s="1"/>
    </row>
    <row r="12" spans="1:14" ht="15" thickBot="1" x14ac:dyDescent="0.35">
      <c r="A12" s="11">
        <v>0.68594999999999995</v>
      </c>
      <c r="B12" s="11"/>
      <c r="C12" s="12" t="s">
        <v>233</v>
      </c>
      <c r="D12" s="14">
        <f>ROUND((D7)*$A$11*A12,0)</f>
        <v>-30975</v>
      </c>
    </row>
    <row r="13" spans="1:14" ht="6.75" customHeight="1" thickTop="1" x14ac:dyDescent="0.3"/>
    <row r="14" spans="1:14" x14ac:dyDescent="0.3">
      <c r="A14" s="13" t="s">
        <v>5</v>
      </c>
      <c r="B14" s="13"/>
    </row>
    <row r="15" spans="1:14" x14ac:dyDescent="0.3">
      <c r="A15" s="15">
        <v>0.20549000000000001</v>
      </c>
      <c r="B15" s="11"/>
      <c r="C15" s="12" t="s">
        <v>232</v>
      </c>
    </row>
    <row r="16" spans="1:14" ht="15" thickBot="1" x14ac:dyDescent="0.35">
      <c r="A16" s="11">
        <v>0.72272000000000003</v>
      </c>
      <c r="B16" s="11"/>
      <c r="C16" s="12" t="s">
        <v>233</v>
      </c>
      <c r="D16" s="14">
        <f>ROUND((D7)*$A$15*A16,0)</f>
        <v>-9562</v>
      </c>
    </row>
    <row r="17" spans="1:6" ht="15" thickTop="1" x14ac:dyDescent="0.3"/>
    <row r="18" spans="1:6" s="16" customFormat="1" x14ac:dyDescent="0.3">
      <c r="A18" s="17"/>
      <c r="B18" s="17"/>
    </row>
    <row r="19" spans="1:6" s="16" customFormat="1" x14ac:dyDescent="0.3">
      <c r="A19" s="17"/>
      <c r="B19" s="17"/>
      <c r="D19" s="18"/>
    </row>
    <row r="20" spans="1:6" s="16" customFormat="1" x14ac:dyDescent="0.3">
      <c r="A20" s="17"/>
      <c r="B20" s="17"/>
      <c r="D20" s="22" t="s">
        <v>10</v>
      </c>
      <c r="E20" s="23"/>
      <c r="F20" s="23"/>
    </row>
    <row r="21" spans="1:6" x14ac:dyDescent="0.3">
      <c r="C21" s="12" t="s">
        <v>0</v>
      </c>
      <c r="D21" s="20">
        <f>D12*F21</f>
        <v>-21682.5</v>
      </c>
      <c r="F21" s="19">
        <v>0.7</v>
      </c>
    </row>
    <row r="22" spans="1:6" x14ac:dyDescent="0.3">
      <c r="C22" s="12" t="s">
        <v>1</v>
      </c>
      <c r="D22" s="20">
        <f>D12*F22</f>
        <v>-9292.5</v>
      </c>
      <c r="F22" s="19">
        <v>0.3</v>
      </c>
    </row>
    <row r="23" spans="1:6" x14ac:dyDescent="0.3">
      <c r="D23" s="24">
        <f>SUM(D21:D22)</f>
        <v>-30975</v>
      </c>
    </row>
  </sheetData>
  <mergeCells count="4">
    <mergeCell ref="A1:F1"/>
    <mergeCell ref="A2:F2"/>
    <mergeCell ref="A3:F3"/>
    <mergeCell ref="A4:F4"/>
  </mergeCells>
  <pageMargins left="1.1399999999999999" right="0.45" top="1" bottom="1" header="0.5" footer="0.5"/>
  <pageSetup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72"/>
  <sheetViews>
    <sheetView topLeftCell="E7" workbookViewId="0">
      <selection activeCell="J25" sqref="J25"/>
    </sheetView>
  </sheetViews>
  <sheetFormatPr defaultRowHeight="13.2" x14ac:dyDescent="0.25"/>
  <cols>
    <col min="1" max="1" width="29.6640625" customWidth="1"/>
    <col min="2" max="2" width="14" customWidth="1"/>
    <col min="3" max="8" width="14.6640625" customWidth="1"/>
    <col min="9" max="9" width="13.6640625" customWidth="1"/>
    <col min="10" max="10" width="14.44140625" customWidth="1"/>
    <col min="13" max="13" width="35.88671875" bestFit="1" customWidth="1"/>
    <col min="14" max="14" width="10.109375" bestFit="1" customWidth="1"/>
    <col min="15" max="15" width="11.6640625" customWidth="1"/>
    <col min="16" max="16" width="11.5546875" customWidth="1"/>
    <col min="17" max="17" width="11.44140625" customWidth="1"/>
    <col min="18" max="18" width="10.33203125" customWidth="1"/>
    <col min="19" max="19" width="10.88671875" customWidth="1"/>
    <col min="20" max="20" width="10.109375" bestFit="1" customWidth="1"/>
    <col min="21" max="21" width="10.33203125" customWidth="1"/>
    <col min="22" max="22" width="11" customWidth="1"/>
    <col min="24" max="24" width="10.109375" bestFit="1" customWidth="1"/>
  </cols>
  <sheetData>
    <row r="1" spans="13:19" ht="14.4" x14ac:dyDescent="0.3">
      <c r="N1" s="114" t="s">
        <v>54</v>
      </c>
      <c r="O1" s="114"/>
      <c r="P1" s="114"/>
      <c r="Q1" s="114"/>
    </row>
    <row r="3" spans="13:19" ht="43.2" x14ac:dyDescent="0.3">
      <c r="M3" s="25" t="s">
        <v>22</v>
      </c>
      <c r="N3" s="27" t="s">
        <v>23</v>
      </c>
      <c r="O3" s="27" t="s">
        <v>53</v>
      </c>
      <c r="P3" s="27" t="s">
        <v>55</v>
      </c>
      <c r="Q3" s="27" t="s">
        <v>24</v>
      </c>
      <c r="R3" s="27" t="s">
        <v>26</v>
      </c>
    </row>
    <row r="4" spans="13:19" x14ac:dyDescent="0.25">
      <c r="M4" t="s">
        <v>15</v>
      </c>
      <c r="N4" s="28">
        <v>1337514</v>
      </c>
      <c r="O4" s="33">
        <f>(+P4-N4)/N4</f>
        <v>9.999970093770981E-2</v>
      </c>
      <c r="P4" s="39">
        <v>1471265</v>
      </c>
      <c r="Q4">
        <v>0.995</v>
      </c>
      <c r="R4" s="28">
        <f t="shared" ref="R4:R11" si="0">+P4*Q4</f>
        <v>1463908.675</v>
      </c>
      <c r="S4" s="42"/>
    </row>
    <row r="5" spans="13:19" x14ac:dyDescent="0.25">
      <c r="M5" t="s">
        <v>51</v>
      </c>
      <c r="N5" s="28">
        <v>-27280</v>
      </c>
      <c r="O5" s="33">
        <f t="shared" ref="O5:O11" si="1">(+P5-N5)/N5</f>
        <v>-1</v>
      </c>
      <c r="P5" s="39">
        <v>0</v>
      </c>
      <c r="Q5">
        <v>0.995</v>
      </c>
      <c r="R5" s="28">
        <f t="shared" si="0"/>
        <v>0</v>
      </c>
      <c r="S5" s="42"/>
    </row>
    <row r="6" spans="13:19" x14ac:dyDescent="0.25">
      <c r="M6" t="s">
        <v>52</v>
      </c>
      <c r="N6" s="28">
        <v>95739</v>
      </c>
      <c r="O6" s="33">
        <f t="shared" si="1"/>
        <v>0.10000104450641849</v>
      </c>
      <c r="P6" s="39">
        <v>105313</v>
      </c>
      <c r="Q6">
        <v>0.995</v>
      </c>
      <c r="R6" s="28">
        <f t="shared" si="0"/>
        <v>104786.435</v>
      </c>
      <c r="S6" s="42"/>
    </row>
    <row r="7" spans="13:19" x14ac:dyDescent="0.25">
      <c r="M7" t="s">
        <v>16</v>
      </c>
      <c r="N7" s="28">
        <f>1405.97+28119.46</f>
        <v>29525.43</v>
      </c>
      <c r="O7" s="33">
        <f t="shared" si="1"/>
        <v>0.12133845298781422</v>
      </c>
      <c r="P7" s="39">
        <v>33108</v>
      </c>
      <c r="Q7">
        <v>0.995</v>
      </c>
      <c r="R7" s="28">
        <f t="shared" si="0"/>
        <v>32942.46</v>
      </c>
      <c r="S7" s="42"/>
    </row>
    <row r="8" spans="13:19" x14ac:dyDescent="0.25">
      <c r="M8" t="s">
        <v>17</v>
      </c>
      <c r="N8" s="34">
        <v>631000</v>
      </c>
      <c r="O8" s="33">
        <f t="shared" si="1"/>
        <v>3.5000000000000003E-2</v>
      </c>
      <c r="P8" s="39">
        <v>653085</v>
      </c>
      <c r="Q8">
        <v>1</v>
      </c>
      <c r="R8" s="28">
        <f t="shared" si="0"/>
        <v>653085</v>
      </c>
      <c r="S8" s="42"/>
    </row>
    <row r="9" spans="13:19" x14ac:dyDescent="0.25">
      <c r="M9" t="s">
        <v>18</v>
      </c>
      <c r="N9" s="28">
        <v>13251</v>
      </c>
      <c r="O9" s="33">
        <f t="shared" si="1"/>
        <v>3.5016225190551656E-2</v>
      </c>
      <c r="P9" s="39">
        <v>13715</v>
      </c>
      <c r="Q9">
        <v>1</v>
      </c>
      <c r="R9" s="28">
        <f t="shared" si="0"/>
        <v>13715</v>
      </c>
      <c r="S9" s="42"/>
    </row>
    <row r="10" spans="13:19" x14ac:dyDescent="0.25">
      <c r="M10" t="s">
        <v>19</v>
      </c>
      <c r="N10" s="28">
        <v>162153</v>
      </c>
      <c r="O10" s="33">
        <f t="shared" si="1"/>
        <v>2.941049502630232E-2</v>
      </c>
      <c r="P10" s="39">
        <v>166922</v>
      </c>
      <c r="Q10">
        <v>1</v>
      </c>
      <c r="R10" s="28">
        <f t="shared" si="0"/>
        <v>166922</v>
      </c>
      <c r="S10" s="42"/>
    </row>
    <row r="11" spans="13:19" x14ac:dyDescent="0.25">
      <c r="M11" t="s">
        <v>20</v>
      </c>
      <c r="N11" s="28">
        <v>7847</v>
      </c>
      <c r="O11" s="33">
        <f t="shared" si="1"/>
        <v>2.9438001784121322E-2</v>
      </c>
      <c r="P11" s="39">
        <v>8078</v>
      </c>
      <c r="Q11">
        <v>1</v>
      </c>
      <c r="R11" s="28">
        <f t="shared" si="0"/>
        <v>8078</v>
      </c>
      <c r="S11" s="42"/>
    </row>
    <row r="12" spans="13:19" ht="14.4" x14ac:dyDescent="0.3">
      <c r="N12" s="28"/>
      <c r="Q12" s="25" t="s">
        <v>56</v>
      </c>
      <c r="S12" s="31">
        <f>SUM(R4:R11)</f>
        <v>2443437.5700000003</v>
      </c>
    </row>
    <row r="13" spans="13:19" x14ac:dyDescent="0.25">
      <c r="N13" s="28"/>
      <c r="Q13" t="s">
        <v>180</v>
      </c>
      <c r="S13" s="28">
        <v>90012</v>
      </c>
    </row>
    <row r="14" spans="13:19" x14ac:dyDescent="0.25">
      <c r="N14" s="28"/>
    </row>
    <row r="15" spans="13:19" ht="13.8" thickBot="1" x14ac:dyDescent="0.3">
      <c r="N15" s="28"/>
      <c r="Q15" t="s">
        <v>181</v>
      </c>
      <c r="S15" s="87">
        <f>+S12-S13</f>
        <v>2353425.5700000003</v>
      </c>
    </row>
    <row r="16" spans="13:19" ht="13.8" thickTop="1" x14ac:dyDescent="0.25"/>
    <row r="20" spans="1:22" ht="14.4" x14ac:dyDescent="0.3">
      <c r="A20" s="74"/>
      <c r="B20" s="115" t="s">
        <v>123</v>
      </c>
      <c r="C20" s="115"/>
      <c r="D20" s="115"/>
      <c r="E20" s="115"/>
      <c r="F20" s="115"/>
      <c r="G20" s="115"/>
      <c r="H20" s="115"/>
      <c r="M20" s="74"/>
      <c r="N20" s="115" t="s">
        <v>123</v>
      </c>
      <c r="O20" s="115"/>
      <c r="P20" s="115"/>
      <c r="Q20" s="115"/>
      <c r="R20" s="115"/>
      <c r="S20" s="115"/>
      <c r="T20" s="115"/>
      <c r="U20" s="88" t="s">
        <v>184</v>
      </c>
    </row>
    <row r="22" spans="1:22" ht="57.6" x14ac:dyDescent="0.3">
      <c r="A22" s="75" t="s">
        <v>22</v>
      </c>
      <c r="B22" s="76" t="s">
        <v>130</v>
      </c>
      <c r="C22" s="76" t="s">
        <v>129</v>
      </c>
      <c r="D22" s="76" t="s">
        <v>124</v>
      </c>
      <c r="E22" s="76" t="s">
        <v>125</v>
      </c>
      <c r="F22" s="76" t="s">
        <v>126</v>
      </c>
      <c r="G22" s="76" t="s">
        <v>127</v>
      </c>
      <c r="H22" s="76" t="s">
        <v>128</v>
      </c>
      <c r="M22" s="75" t="s">
        <v>22</v>
      </c>
      <c r="N22" s="76" t="s">
        <v>130</v>
      </c>
      <c r="O22" s="76" t="s">
        <v>129</v>
      </c>
      <c r="P22" s="76" t="s">
        <v>124</v>
      </c>
      <c r="Q22" s="76" t="s">
        <v>125</v>
      </c>
      <c r="R22" s="76" t="s">
        <v>126</v>
      </c>
      <c r="S22" s="76" t="s">
        <v>127</v>
      </c>
      <c r="T22" s="76" t="s">
        <v>128</v>
      </c>
    </row>
    <row r="23" spans="1:22" x14ac:dyDescent="0.25">
      <c r="A23" s="74" t="s">
        <v>15</v>
      </c>
      <c r="B23" s="79">
        <v>1997948</v>
      </c>
      <c r="C23" s="78">
        <v>0.16600000000000001</v>
      </c>
      <c r="D23" s="77">
        <f>+B23*C23</f>
        <v>331659.36800000002</v>
      </c>
      <c r="E23" s="78">
        <f>0.834*0.005</f>
        <v>4.1700000000000001E-3</v>
      </c>
      <c r="F23" s="77">
        <f>+B23*E23</f>
        <v>8331.4431600000007</v>
      </c>
      <c r="G23" s="78">
        <f>0.834*0.995</f>
        <v>0.82982999999999996</v>
      </c>
      <c r="H23" s="77">
        <f>+G23*B23</f>
        <v>1657957.18884</v>
      </c>
      <c r="M23" s="74" t="s">
        <v>15</v>
      </c>
      <c r="N23" s="79">
        <v>1997948</v>
      </c>
      <c r="O23" s="78">
        <v>0.16600000000000001</v>
      </c>
      <c r="P23" s="77">
        <f t="shared" ref="P23:P28" si="2">+N23*O23</f>
        <v>331659.36800000002</v>
      </c>
      <c r="Q23" s="78">
        <f>0.834*0.005</f>
        <v>4.1700000000000001E-3</v>
      </c>
      <c r="R23" s="77">
        <f t="shared" ref="R23:R28" si="3">+N23*Q23</f>
        <v>8331.4431600000007</v>
      </c>
      <c r="S23" s="78">
        <f>0.834*0.995</f>
        <v>0.82982999999999996</v>
      </c>
      <c r="T23" s="77">
        <f t="shared" ref="T23:T28" si="4">+S23*N23</f>
        <v>1657957.18884</v>
      </c>
    </row>
    <row r="24" spans="1:22" x14ac:dyDescent="0.25">
      <c r="A24" s="74" t="s">
        <v>51</v>
      </c>
      <c r="B24" s="79">
        <v>0</v>
      </c>
      <c r="C24" s="78">
        <v>0</v>
      </c>
      <c r="D24" s="77">
        <f>+B24*C24</f>
        <v>0</v>
      </c>
      <c r="E24" s="78">
        <f>0.834*0.005</f>
        <v>4.1700000000000001E-3</v>
      </c>
      <c r="F24" s="77">
        <f>+B24*E24</f>
        <v>0</v>
      </c>
      <c r="G24" s="78">
        <f>0.834*0.995</f>
        <v>0.82982999999999996</v>
      </c>
      <c r="H24" s="77">
        <f>+G24*B24</f>
        <v>0</v>
      </c>
      <c r="M24" s="74" t="s">
        <v>51</v>
      </c>
      <c r="N24" s="79">
        <v>0</v>
      </c>
      <c r="O24" s="78">
        <v>0</v>
      </c>
      <c r="P24" s="77">
        <f t="shared" si="2"/>
        <v>0</v>
      </c>
      <c r="Q24" s="78">
        <v>0</v>
      </c>
      <c r="R24" s="77">
        <f t="shared" si="3"/>
        <v>0</v>
      </c>
      <c r="S24" s="78">
        <v>1</v>
      </c>
      <c r="T24" s="77">
        <f t="shared" si="4"/>
        <v>0</v>
      </c>
    </row>
    <row r="25" spans="1:22" x14ac:dyDescent="0.25">
      <c r="A25" s="74" t="s">
        <v>16</v>
      </c>
      <c r="B25" s="79">
        <f>39958.96+1997.95</f>
        <v>41956.909999999996</v>
      </c>
      <c r="C25" s="78">
        <v>0.16600000000000001</v>
      </c>
      <c r="D25" s="77">
        <f>+B25*C25</f>
        <v>6964.8470600000001</v>
      </c>
      <c r="E25" s="78">
        <f>0.834*0.005</f>
        <v>4.1700000000000001E-3</v>
      </c>
      <c r="F25" s="77">
        <f>+B25*E25</f>
        <v>174.9603147</v>
      </c>
      <c r="G25" s="78">
        <f>0.834*0.995</f>
        <v>0.82982999999999996</v>
      </c>
      <c r="H25" s="77">
        <f>+G25*B25</f>
        <v>34817.102625299995</v>
      </c>
      <c r="M25" s="74" t="s">
        <v>16</v>
      </c>
      <c r="N25" s="79">
        <f>39958.96+1997.95</f>
        <v>41956.909999999996</v>
      </c>
      <c r="O25" s="78">
        <v>0.16600000000000001</v>
      </c>
      <c r="P25" s="77">
        <f t="shared" si="2"/>
        <v>6964.8470600000001</v>
      </c>
      <c r="Q25" s="78">
        <f>0.834*0.005</f>
        <v>4.1700000000000001E-3</v>
      </c>
      <c r="R25" s="77">
        <f t="shared" si="3"/>
        <v>174.9603147</v>
      </c>
      <c r="S25" s="78">
        <f>0.834*0.995</f>
        <v>0.82982999999999996</v>
      </c>
      <c r="T25" s="77">
        <f t="shared" si="4"/>
        <v>34817.102625299995</v>
      </c>
    </row>
    <row r="26" spans="1:22" x14ac:dyDescent="0.25">
      <c r="A26" s="74" t="s">
        <v>17</v>
      </c>
      <c r="B26" s="79">
        <v>751048</v>
      </c>
      <c r="C26" s="78">
        <v>9.6000000000000002E-2</v>
      </c>
      <c r="D26" s="77">
        <f t="shared" ref="D26:D28" si="5">+B26*C26</f>
        <v>72100.608000000007</v>
      </c>
      <c r="E26" s="78">
        <v>0</v>
      </c>
      <c r="F26" s="77">
        <f t="shared" ref="F26:F28" si="6">+B26*E26</f>
        <v>0</v>
      </c>
      <c r="G26" s="78">
        <v>0.90400000000000003</v>
      </c>
      <c r="H26" s="77">
        <f t="shared" ref="H26:H28" si="7">+G26*B26</f>
        <v>678947.39199999999</v>
      </c>
      <c r="M26" s="74" t="s">
        <v>17</v>
      </c>
      <c r="N26" s="79">
        <v>751048</v>
      </c>
      <c r="O26" s="78">
        <v>9.6000000000000002E-2</v>
      </c>
      <c r="P26" s="77">
        <f t="shared" si="2"/>
        <v>72100.608000000007</v>
      </c>
      <c r="Q26" s="78">
        <v>0</v>
      </c>
      <c r="R26" s="77">
        <f t="shared" si="3"/>
        <v>0</v>
      </c>
      <c r="S26" s="78">
        <v>0.90400000000000003</v>
      </c>
      <c r="T26" s="77">
        <f t="shared" si="4"/>
        <v>678947.39199999999</v>
      </c>
      <c r="V26" s="38"/>
    </row>
    <row r="27" spans="1:22" x14ac:dyDescent="0.25">
      <c r="A27" s="74" t="s">
        <v>18</v>
      </c>
      <c r="B27" s="79">
        <f>15020.96+751.05</f>
        <v>15772.009999999998</v>
      </c>
      <c r="C27" s="78">
        <v>9.6000000000000002E-2</v>
      </c>
      <c r="D27" s="77">
        <f t="shared" si="5"/>
        <v>1514.1129599999999</v>
      </c>
      <c r="E27" s="78">
        <v>0</v>
      </c>
      <c r="F27" s="77">
        <f t="shared" si="6"/>
        <v>0</v>
      </c>
      <c r="G27" s="78">
        <v>0.90400000000000003</v>
      </c>
      <c r="H27" s="77">
        <f t="shared" si="7"/>
        <v>14257.89704</v>
      </c>
      <c r="M27" s="74" t="s">
        <v>18</v>
      </c>
      <c r="N27" s="79">
        <f>15020.96+751.05</f>
        <v>15772.009999999998</v>
      </c>
      <c r="O27" s="78">
        <v>9.6000000000000002E-2</v>
      </c>
      <c r="P27" s="77">
        <f t="shared" si="2"/>
        <v>1514.1129599999999</v>
      </c>
      <c r="Q27" s="78">
        <v>0</v>
      </c>
      <c r="R27" s="77">
        <f t="shared" si="3"/>
        <v>0</v>
      </c>
      <c r="S27" s="78">
        <v>0.90400000000000003</v>
      </c>
      <c r="T27" s="77">
        <f t="shared" si="4"/>
        <v>14257.89704</v>
      </c>
    </row>
    <row r="28" spans="1:22" x14ac:dyDescent="0.25">
      <c r="A28" s="74" t="s">
        <v>19</v>
      </c>
      <c r="B28" s="79">
        <v>180250</v>
      </c>
      <c r="C28" s="78">
        <v>1.5299999999999999E-2</v>
      </c>
      <c r="D28" s="77">
        <f t="shared" si="5"/>
        <v>2757.8249999999998</v>
      </c>
      <c r="E28" s="78">
        <v>0</v>
      </c>
      <c r="F28" s="77">
        <f t="shared" si="6"/>
        <v>0</v>
      </c>
      <c r="G28" s="78">
        <v>0.98470000000000002</v>
      </c>
      <c r="H28" s="77">
        <f t="shared" si="7"/>
        <v>177492.17500000002</v>
      </c>
      <c r="M28" s="90" t="s">
        <v>185</v>
      </c>
      <c r="N28" s="91">
        <v>-90511</v>
      </c>
      <c r="O28" s="92">
        <v>0</v>
      </c>
      <c r="P28" s="93">
        <f t="shared" si="2"/>
        <v>0</v>
      </c>
      <c r="Q28" s="92">
        <v>0</v>
      </c>
      <c r="R28" s="93">
        <f t="shared" si="3"/>
        <v>0</v>
      </c>
      <c r="S28" s="92">
        <v>1</v>
      </c>
      <c r="T28" s="93">
        <f t="shared" si="4"/>
        <v>-90511</v>
      </c>
      <c r="V28" s="28"/>
    </row>
    <row r="29" spans="1:22" ht="13.8" thickBot="1" x14ac:dyDescent="0.3">
      <c r="A29" s="74"/>
      <c r="B29" s="77"/>
      <c r="C29" s="74"/>
      <c r="D29" s="80">
        <f>SUM(D23:D28)</f>
        <v>414996.76102000003</v>
      </c>
      <c r="E29" s="74"/>
      <c r="F29" s="80">
        <f>SUM(F23:F28)</f>
        <v>8506.4034747000005</v>
      </c>
      <c r="G29" s="74"/>
      <c r="H29" s="80">
        <f>SUM(H23:H28)</f>
        <v>2563471.7555053001</v>
      </c>
      <c r="M29" s="74" t="s">
        <v>19</v>
      </c>
      <c r="N29" s="79">
        <v>180250</v>
      </c>
      <c r="O29" s="78">
        <v>1.5299999999999999E-2</v>
      </c>
      <c r="P29" s="77">
        <f t="shared" ref="P29" si="8">+N29*O29</f>
        <v>2757.8249999999998</v>
      </c>
      <c r="Q29" s="78">
        <v>0</v>
      </c>
      <c r="R29" s="77">
        <f t="shared" ref="R29" si="9">+N29*Q29</f>
        <v>0</v>
      </c>
      <c r="S29" s="78">
        <v>0.98470000000000002</v>
      </c>
      <c r="T29" s="77">
        <f t="shared" ref="T29" si="10">+S29*N29</f>
        <v>177492.17500000002</v>
      </c>
    </row>
    <row r="30" spans="1:22" ht="14.4" thickTop="1" thickBot="1" x14ac:dyDescent="0.3">
      <c r="A30" s="74"/>
      <c r="B30" s="77"/>
      <c r="C30" s="74"/>
      <c r="D30" s="74"/>
      <c r="E30" s="74"/>
      <c r="F30" s="74"/>
      <c r="G30" s="74"/>
      <c r="H30" s="74"/>
      <c r="M30" s="74"/>
      <c r="N30" s="77">
        <f>SUM(N23:N29)</f>
        <v>2896463.92</v>
      </c>
      <c r="O30" s="74"/>
      <c r="P30" s="80">
        <f>SUM(P23:P29)</f>
        <v>414996.76102000003</v>
      </c>
      <c r="Q30" s="74"/>
      <c r="R30" s="80">
        <f>SUM(R23:R29)</f>
        <v>8506.4034747000005</v>
      </c>
      <c r="S30" s="74"/>
      <c r="T30" s="102">
        <f>SUM(T23:T29)</f>
        <v>2472960.7555053001</v>
      </c>
    </row>
    <row r="31" spans="1:22" ht="15" thickTop="1" x14ac:dyDescent="0.3">
      <c r="A31" s="73"/>
      <c r="B31" s="77"/>
      <c r="C31" s="73"/>
      <c r="D31" s="73"/>
      <c r="E31" s="73"/>
      <c r="F31" s="73"/>
      <c r="G31" s="73"/>
      <c r="H31" s="73"/>
    </row>
    <row r="32" spans="1:22" ht="14.4" x14ac:dyDescent="0.3">
      <c r="A32" s="74"/>
      <c r="B32" s="115" t="s">
        <v>111</v>
      </c>
      <c r="C32" s="115"/>
      <c r="D32" s="115"/>
      <c r="E32" s="115"/>
      <c r="F32" s="115"/>
      <c r="G32" s="115"/>
      <c r="H32" s="115"/>
    </row>
    <row r="33" spans="1:25" ht="14.4" x14ac:dyDescent="0.3">
      <c r="A33" s="73"/>
      <c r="B33" s="73"/>
      <c r="C33" s="73"/>
      <c r="D33" s="73"/>
      <c r="E33" s="73"/>
      <c r="F33" s="73"/>
      <c r="G33" s="73"/>
      <c r="H33" s="73"/>
      <c r="M33" s="74"/>
      <c r="N33" s="115" t="s">
        <v>222</v>
      </c>
      <c r="O33" s="115"/>
      <c r="P33" s="115"/>
      <c r="Q33" s="115"/>
      <c r="R33" s="115"/>
      <c r="S33" s="115"/>
      <c r="T33" s="115"/>
      <c r="X33" s="88" t="s">
        <v>223</v>
      </c>
    </row>
    <row r="34" spans="1:25" ht="43.2" x14ac:dyDescent="0.3">
      <c r="A34" s="75" t="s">
        <v>22</v>
      </c>
      <c r="B34" s="76" t="s">
        <v>132</v>
      </c>
      <c r="C34" s="76" t="s">
        <v>131</v>
      </c>
      <c r="D34" s="81" t="s">
        <v>133</v>
      </c>
      <c r="E34" s="81" t="s">
        <v>134</v>
      </c>
      <c r="F34" s="76" t="s">
        <v>124</v>
      </c>
      <c r="G34" s="76" t="s">
        <v>125</v>
      </c>
      <c r="H34" s="76" t="s">
        <v>126</v>
      </c>
      <c r="I34" s="76" t="s">
        <v>127</v>
      </c>
      <c r="J34" s="76" t="s">
        <v>128</v>
      </c>
      <c r="M34" s="73"/>
      <c r="N34" s="73"/>
      <c r="O34" s="73"/>
      <c r="P34" s="73"/>
      <c r="Q34" s="73"/>
      <c r="R34" s="73"/>
      <c r="S34" s="73"/>
      <c r="T34" s="73"/>
    </row>
    <row r="35" spans="1:25" ht="66.599999999999994" x14ac:dyDescent="0.3">
      <c r="A35" s="74" t="s">
        <v>15</v>
      </c>
      <c r="B35" s="86">
        <f>+B23</f>
        <v>1997948</v>
      </c>
      <c r="C35" s="78">
        <v>0.05</v>
      </c>
      <c r="D35" s="79">
        <f>+B35*(1+C35)</f>
        <v>2097845.4</v>
      </c>
      <c r="E35" s="78">
        <v>0.16600000000000001</v>
      </c>
      <c r="F35" s="77">
        <f>+D35*E35</f>
        <v>348242.33640000003</v>
      </c>
      <c r="G35" s="78">
        <f>0.834*0.005</f>
        <v>4.1700000000000001E-3</v>
      </c>
      <c r="H35" s="77">
        <f>+D35*G35</f>
        <v>8748.0153179999998</v>
      </c>
      <c r="I35" s="78">
        <f>0.834*0.995</f>
        <v>0.82982999999999996</v>
      </c>
      <c r="J35" s="77">
        <f>+I35*D35</f>
        <v>1740855.0482819998</v>
      </c>
      <c r="M35" s="75" t="s">
        <v>22</v>
      </c>
      <c r="N35" s="76" t="s">
        <v>132</v>
      </c>
      <c r="O35" s="76" t="s">
        <v>131</v>
      </c>
      <c r="P35" s="81" t="s">
        <v>225</v>
      </c>
      <c r="Q35" s="81" t="s">
        <v>134</v>
      </c>
      <c r="R35" s="76" t="s">
        <v>124</v>
      </c>
      <c r="S35" s="76" t="s">
        <v>125</v>
      </c>
      <c r="T35" s="76" t="s">
        <v>126</v>
      </c>
      <c r="U35" s="76" t="s">
        <v>127</v>
      </c>
      <c r="V35" s="76" t="s">
        <v>128</v>
      </c>
    </row>
    <row r="36" spans="1:25" x14ac:dyDescent="0.25">
      <c r="A36" s="74" t="s">
        <v>51</v>
      </c>
      <c r="B36" s="86">
        <f t="shared" ref="B36:B40" si="11">+B24</f>
        <v>0</v>
      </c>
      <c r="C36" s="78">
        <v>0</v>
      </c>
      <c r="D36" s="79">
        <f t="shared" ref="D36:D40" si="12">+B36*(1+C36)</f>
        <v>0</v>
      </c>
      <c r="E36" s="78">
        <v>0</v>
      </c>
      <c r="F36" s="77">
        <f t="shared" ref="F36:F40" si="13">+D36*E36</f>
        <v>0</v>
      </c>
      <c r="G36" s="78">
        <f>0.834*0.005</f>
        <v>4.1700000000000001E-3</v>
      </c>
      <c r="H36" s="77">
        <f t="shared" ref="H36:H40" si="14">+D36*G36</f>
        <v>0</v>
      </c>
      <c r="I36" s="78">
        <f>0.834*0.995</f>
        <v>0.82982999999999996</v>
      </c>
      <c r="J36" s="77">
        <f t="shared" ref="J36:J40" si="15">+I36*D36</f>
        <v>0</v>
      </c>
      <c r="M36" s="74" t="s">
        <v>15</v>
      </c>
      <c r="N36" s="86">
        <f t="shared" ref="N36:N37" si="16">+N23</f>
        <v>1997948</v>
      </c>
      <c r="O36" s="78">
        <f>(+P36-N36)/N36</f>
        <v>2.3839459285226641E-2</v>
      </c>
      <c r="P36" s="79">
        <v>2045578</v>
      </c>
      <c r="Q36" s="78">
        <v>0.16600000000000001</v>
      </c>
      <c r="R36" s="77">
        <f>+P36*Q36</f>
        <v>339565.94800000003</v>
      </c>
      <c r="S36" s="78">
        <f>0.834*0.005</f>
        <v>4.1700000000000001E-3</v>
      </c>
      <c r="T36" s="77">
        <f>+P36*S36</f>
        <v>8530.0602600000002</v>
      </c>
      <c r="U36" s="78">
        <f>0.834*0.995</f>
        <v>0.82982999999999996</v>
      </c>
      <c r="V36" s="77">
        <f t="shared" ref="V36:V37" si="17">+U36*P36</f>
        <v>1697481.99174</v>
      </c>
    </row>
    <row r="37" spans="1:25" x14ac:dyDescent="0.25">
      <c r="A37" s="74" t="s">
        <v>16</v>
      </c>
      <c r="B37" s="86">
        <f t="shared" si="11"/>
        <v>41956.909999999996</v>
      </c>
      <c r="C37" s="78">
        <v>0.05</v>
      </c>
      <c r="D37" s="79">
        <f t="shared" si="12"/>
        <v>44054.755499999999</v>
      </c>
      <c r="E37" s="78">
        <v>0.16600000000000001</v>
      </c>
      <c r="F37" s="77">
        <f t="shared" si="13"/>
        <v>7313.0894130000006</v>
      </c>
      <c r="G37" s="78">
        <f>0.834*0.005</f>
        <v>4.1700000000000001E-3</v>
      </c>
      <c r="H37" s="77">
        <f t="shared" si="14"/>
        <v>183.70833043499999</v>
      </c>
      <c r="I37" s="78">
        <f>0.834*0.995</f>
        <v>0.82982999999999996</v>
      </c>
      <c r="J37" s="77">
        <f t="shared" si="15"/>
        <v>36557.957756564996</v>
      </c>
      <c r="M37" s="74" t="s">
        <v>51</v>
      </c>
      <c r="N37" s="86">
        <f t="shared" si="16"/>
        <v>0</v>
      </c>
      <c r="O37" s="78" t="e">
        <f t="shared" ref="O37:O42" si="18">(+P37-N37)/N37</f>
        <v>#DIV/0!</v>
      </c>
      <c r="P37" s="79">
        <v>0</v>
      </c>
      <c r="Q37" s="78">
        <f>0.166/5</f>
        <v>3.32E-2</v>
      </c>
      <c r="R37" s="77">
        <f>+N37*Q37</f>
        <v>0</v>
      </c>
      <c r="S37" s="78">
        <v>4.1999999999999997E-3</v>
      </c>
      <c r="T37" s="77">
        <f>+S37*N37</f>
        <v>0</v>
      </c>
      <c r="U37" s="78">
        <f>(1-Q37-S37)</f>
        <v>0.96260000000000001</v>
      </c>
      <c r="V37" s="77">
        <f t="shared" si="17"/>
        <v>0</v>
      </c>
    </row>
    <row r="38" spans="1:25" x14ac:dyDescent="0.25">
      <c r="A38" s="74" t="s">
        <v>17</v>
      </c>
      <c r="B38" s="86">
        <f t="shared" si="11"/>
        <v>751048</v>
      </c>
      <c r="C38" s="78">
        <v>0.05</v>
      </c>
      <c r="D38" s="79">
        <f t="shared" si="12"/>
        <v>788600.4</v>
      </c>
      <c r="E38" s="78">
        <v>9.6000000000000002E-2</v>
      </c>
      <c r="F38" s="77">
        <f t="shared" si="13"/>
        <v>75705.638400000011</v>
      </c>
      <c r="G38" s="78">
        <v>0</v>
      </c>
      <c r="H38" s="77">
        <f t="shared" si="14"/>
        <v>0</v>
      </c>
      <c r="I38" s="78">
        <v>0.90400000000000003</v>
      </c>
      <c r="J38" s="77">
        <f t="shared" si="15"/>
        <v>712894.76160000009</v>
      </c>
      <c r="M38" s="74" t="s">
        <v>16</v>
      </c>
      <c r="N38" s="86">
        <f>+N25</f>
        <v>41956.909999999996</v>
      </c>
      <c r="O38" s="78">
        <f t="shared" si="18"/>
        <v>2.3839458148848504E-2</v>
      </c>
      <c r="P38" s="79">
        <f>40911.56+2045.58</f>
        <v>42957.14</v>
      </c>
      <c r="Q38" s="78">
        <v>0.16600000000000001</v>
      </c>
      <c r="R38" s="77">
        <f>+P38*Q38</f>
        <v>7130.8852400000005</v>
      </c>
      <c r="S38" s="78">
        <f>0.834*0.005</f>
        <v>4.1700000000000001E-3</v>
      </c>
      <c r="T38" s="77">
        <f>+P38*S38</f>
        <v>179.1312738</v>
      </c>
      <c r="U38" s="78">
        <f>0.834*0.995</f>
        <v>0.82982999999999996</v>
      </c>
      <c r="V38" s="77">
        <f>+U38*P38</f>
        <v>35647.123486199998</v>
      </c>
    </row>
    <row r="39" spans="1:25" x14ac:dyDescent="0.25">
      <c r="A39" s="74" t="s">
        <v>18</v>
      </c>
      <c r="B39" s="86">
        <f t="shared" si="11"/>
        <v>15772.009999999998</v>
      </c>
      <c r="C39" s="78">
        <v>0.05</v>
      </c>
      <c r="D39" s="79">
        <f t="shared" si="12"/>
        <v>16560.610499999999</v>
      </c>
      <c r="E39" s="78">
        <v>9.6000000000000002E-2</v>
      </c>
      <c r="F39" s="77">
        <f t="shared" si="13"/>
        <v>1589.8186079999998</v>
      </c>
      <c r="G39" s="78">
        <v>0</v>
      </c>
      <c r="H39" s="77">
        <f t="shared" si="14"/>
        <v>0</v>
      </c>
      <c r="I39" s="78">
        <v>0.90400000000000003</v>
      </c>
      <c r="J39" s="77">
        <f t="shared" si="15"/>
        <v>14970.791891999999</v>
      </c>
      <c r="M39" s="74" t="s">
        <v>17</v>
      </c>
      <c r="N39" s="86">
        <f>+N26</f>
        <v>751048</v>
      </c>
      <c r="O39" s="78">
        <f t="shared" si="18"/>
        <v>1.9998721786090901E-2</v>
      </c>
      <c r="P39" s="79">
        <v>766068</v>
      </c>
      <c r="Q39" s="78">
        <v>9.6000000000000002E-2</v>
      </c>
      <c r="R39" s="77">
        <f>+P39*Q39</f>
        <v>73542.528000000006</v>
      </c>
      <c r="S39" s="78">
        <v>0</v>
      </c>
      <c r="T39" s="77">
        <f>+P39*S39</f>
        <v>0</v>
      </c>
      <c r="U39" s="78">
        <v>0.90400000000000003</v>
      </c>
      <c r="V39" s="77">
        <f>+U39*P39</f>
        <v>692525.47200000007</v>
      </c>
    </row>
    <row r="40" spans="1:25" x14ac:dyDescent="0.25">
      <c r="A40" s="74" t="s">
        <v>19</v>
      </c>
      <c r="B40" s="86">
        <f t="shared" si="11"/>
        <v>180250</v>
      </c>
      <c r="C40" s="78">
        <v>0.05</v>
      </c>
      <c r="D40" s="79">
        <f t="shared" si="12"/>
        <v>189262.5</v>
      </c>
      <c r="E40" s="78">
        <v>1.5299999999999999E-2</v>
      </c>
      <c r="F40" s="77">
        <f t="shared" si="13"/>
        <v>2895.7162499999999</v>
      </c>
      <c r="G40" s="78">
        <v>0</v>
      </c>
      <c r="H40" s="77">
        <f t="shared" si="14"/>
        <v>0</v>
      </c>
      <c r="I40" s="78">
        <v>0.98470000000000002</v>
      </c>
      <c r="J40" s="77">
        <f t="shared" si="15"/>
        <v>186366.78375</v>
      </c>
      <c r="M40" s="74" t="s">
        <v>18</v>
      </c>
      <c r="N40" s="86">
        <f>+N27</f>
        <v>15772.009999999998</v>
      </c>
      <c r="O40" s="78">
        <f t="shared" si="18"/>
        <v>1.9998719250114722E-2</v>
      </c>
      <c r="P40" s="79">
        <f>15321.36+766.07</f>
        <v>16087.43</v>
      </c>
      <c r="Q40" s="78">
        <v>9.6000000000000002E-2</v>
      </c>
      <c r="R40" s="77">
        <f>+P40*Q40</f>
        <v>1544.39328</v>
      </c>
      <c r="S40" s="78">
        <v>0</v>
      </c>
      <c r="T40" s="77">
        <f>+P40*S40</f>
        <v>0</v>
      </c>
      <c r="U40" s="78">
        <v>0.90400000000000003</v>
      </c>
      <c r="V40" s="77">
        <f>+U40*P40</f>
        <v>14543.03672</v>
      </c>
      <c r="X40" s="28">
        <f>+V43+88773</f>
        <v>2619412.8351461999</v>
      </c>
    </row>
    <row r="41" spans="1:25" ht="13.8" thickBot="1" x14ac:dyDescent="0.3">
      <c r="A41" s="74"/>
      <c r="B41" s="77"/>
      <c r="C41" s="74"/>
      <c r="F41" s="80">
        <f>SUM(F35:F40)</f>
        <v>435746.599071</v>
      </c>
      <c r="G41" s="74"/>
      <c r="H41" s="80">
        <f>SUM(H35:H40)</f>
        <v>8931.7236484349996</v>
      </c>
      <c r="I41" s="74"/>
      <c r="J41" s="80">
        <f>SUM(J35:J40)</f>
        <v>2691645.343280565</v>
      </c>
      <c r="M41" s="89" t="s">
        <v>185</v>
      </c>
      <c r="N41" s="86">
        <f>+N28</f>
        <v>-90511</v>
      </c>
      <c r="O41" s="78">
        <v>0</v>
      </c>
      <c r="P41" s="100">
        <v>-90511</v>
      </c>
      <c r="Q41" s="95">
        <f>0.096/5</f>
        <v>1.9200000000000002E-2</v>
      </c>
      <c r="R41" s="77">
        <f>+P41*Q41</f>
        <v>-1737.8112000000001</v>
      </c>
      <c r="S41" s="78">
        <v>0</v>
      </c>
      <c r="T41" s="77">
        <f>+P41*S41</f>
        <v>0</v>
      </c>
      <c r="U41" s="78">
        <f>(1-Q41-S41)</f>
        <v>0.98080000000000001</v>
      </c>
      <c r="V41" s="77">
        <f>+U41*P41</f>
        <v>-88773.188800000004</v>
      </c>
    </row>
    <row r="42" spans="1:25" ht="13.8" thickTop="1" x14ac:dyDescent="0.25">
      <c r="M42" s="74" t="s">
        <v>224</v>
      </c>
      <c r="N42" s="86">
        <f>+N29</f>
        <v>180250</v>
      </c>
      <c r="O42" s="78">
        <f t="shared" si="18"/>
        <v>9.7087378640776691E-3</v>
      </c>
      <c r="P42" s="79">
        <v>182000</v>
      </c>
      <c r="Q42" s="78">
        <v>1.5299999999999999E-2</v>
      </c>
      <c r="R42" s="77">
        <f>+P42*Q42</f>
        <v>2784.6</v>
      </c>
      <c r="S42" s="78">
        <v>0</v>
      </c>
      <c r="T42" s="77">
        <f>+P42*S42</f>
        <v>0</v>
      </c>
      <c r="U42" s="78">
        <v>0.98470000000000002</v>
      </c>
      <c r="V42" s="77">
        <f>+U42*P42</f>
        <v>179215.4</v>
      </c>
    </row>
    <row r="43" spans="1:25" ht="13.8" thickBot="1" x14ac:dyDescent="0.3">
      <c r="M43" s="74"/>
      <c r="N43" s="77"/>
      <c r="O43" s="74"/>
      <c r="R43" s="80">
        <f>SUM(R36:R42)</f>
        <v>422830.54332</v>
      </c>
      <c r="S43" s="74"/>
      <c r="T43" s="80">
        <f>SUM(T36:T42)</f>
        <v>8709.1915337999999</v>
      </c>
      <c r="U43" s="74"/>
      <c r="V43" s="80">
        <f>SUM(V36:V42)</f>
        <v>2530639.8351461999</v>
      </c>
      <c r="X43" s="28"/>
    </row>
    <row r="44" spans="1:25" ht="15" thickTop="1" x14ac:dyDescent="0.3">
      <c r="A44" s="74"/>
      <c r="B44" s="115" t="s">
        <v>112</v>
      </c>
      <c r="C44" s="115"/>
      <c r="D44" s="115"/>
      <c r="E44" s="115"/>
      <c r="F44" s="115"/>
      <c r="G44" s="115"/>
      <c r="H44" s="115"/>
      <c r="Y44" s="28"/>
    </row>
    <row r="45" spans="1:25" ht="14.4" x14ac:dyDescent="0.3">
      <c r="A45" s="73"/>
      <c r="B45" s="73"/>
      <c r="C45" s="73"/>
      <c r="D45" s="73"/>
      <c r="E45" s="73"/>
      <c r="F45" s="73"/>
      <c r="G45" s="73"/>
      <c r="H45" s="73"/>
    </row>
    <row r="46" spans="1:25" ht="43.2" x14ac:dyDescent="0.3">
      <c r="A46" s="75" t="s">
        <v>22</v>
      </c>
      <c r="B46" s="76" t="s">
        <v>113</v>
      </c>
      <c r="C46" s="76" t="s">
        <v>135</v>
      </c>
      <c r="D46" s="81" t="s">
        <v>136</v>
      </c>
      <c r="E46" s="81" t="s">
        <v>134</v>
      </c>
      <c r="F46" s="76" t="s">
        <v>124</v>
      </c>
      <c r="G46" s="76" t="s">
        <v>125</v>
      </c>
      <c r="H46" s="76" t="s">
        <v>126</v>
      </c>
      <c r="I46" s="76" t="s">
        <v>127</v>
      </c>
      <c r="J46" s="76" t="s">
        <v>128</v>
      </c>
    </row>
    <row r="47" spans="1:25" ht="14.4" x14ac:dyDescent="0.3">
      <c r="A47" s="74" t="s">
        <v>15</v>
      </c>
      <c r="B47" s="77">
        <f>+D35</f>
        <v>2097845.4</v>
      </c>
      <c r="C47" s="78">
        <v>0.05</v>
      </c>
      <c r="D47" s="77">
        <f>+B47*(1+C47)</f>
        <v>2202737.67</v>
      </c>
      <c r="E47" s="78">
        <v>0.16600000000000001</v>
      </c>
      <c r="F47" s="77">
        <f>+D47*E47</f>
        <v>365654.45322000002</v>
      </c>
      <c r="G47" s="78">
        <f>0.834*0.005</f>
        <v>4.1700000000000001E-3</v>
      </c>
      <c r="H47" s="77">
        <f>+D47*G47</f>
        <v>9185.4160838999996</v>
      </c>
      <c r="I47" s="78">
        <f>0.834*0.995</f>
        <v>0.82982999999999996</v>
      </c>
      <c r="J47" s="77">
        <f>+I47*D47</f>
        <v>1827897.8006960999</v>
      </c>
      <c r="M47" s="74"/>
      <c r="N47" s="115" t="s">
        <v>112</v>
      </c>
      <c r="O47" s="115"/>
      <c r="P47" s="115"/>
      <c r="Q47" s="115"/>
      <c r="R47" s="115"/>
      <c r="S47" s="115"/>
      <c r="T47" s="115"/>
      <c r="X47" s="88" t="s">
        <v>223</v>
      </c>
    </row>
    <row r="48" spans="1:25" ht="14.4" x14ac:dyDescent="0.3">
      <c r="A48" s="74" t="s">
        <v>51</v>
      </c>
      <c r="B48" s="77">
        <f t="shared" ref="B48:B52" si="19">+D36</f>
        <v>0</v>
      </c>
      <c r="C48" s="78">
        <v>0</v>
      </c>
      <c r="D48" s="77">
        <f t="shared" ref="D48:D52" si="20">+B48*(1+C48)</f>
        <v>0</v>
      </c>
      <c r="E48" s="78">
        <v>0</v>
      </c>
      <c r="F48" s="77">
        <f t="shared" ref="F48:F52" si="21">+D48*E48</f>
        <v>0</v>
      </c>
      <c r="G48" s="78">
        <f>0.834*0.005</f>
        <v>4.1700000000000001E-3</v>
      </c>
      <c r="H48" s="77">
        <f t="shared" ref="H48:H52" si="22">+D48*G48</f>
        <v>0</v>
      </c>
      <c r="I48" s="78">
        <f>0.834*0.995</f>
        <v>0.82982999999999996</v>
      </c>
      <c r="J48" s="77">
        <f t="shared" ref="J48:J52" si="23">+I48*D48</f>
        <v>0</v>
      </c>
      <c r="M48" s="73"/>
      <c r="N48" s="73"/>
      <c r="O48" s="73"/>
      <c r="P48" s="73"/>
      <c r="Q48" s="73"/>
      <c r="R48" s="73"/>
      <c r="S48" s="73"/>
      <c r="T48" s="73"/>
    </row>
    <row r="49" spans="1:24" ht="57.6" x14ac:dyDescent="0.3">
      <c r="A49" s="74" t="s">
        <v>16</v>
      </c>
      <c r="B49" s="77">
        <f t="shared" si="19"/>
        <v>44054.755499999999</v>
      </c>
      <c r="C49" s="78">
        <v>0.05</v>
      </c>
      <c r="D49" s="77">
        <f t="shared" si="20"/>
        <v>46257.493275000001</v>
      </c>
      <c r="E49" s="78">
        <v>0.16600000000000001</v>
      </c>
      <c r="F49" s="77">
        <f t="shared" si="21"/>
        <v>7678.7438836500005</v>
      </c>
      <c r="G49" s="78">
        <f>0.834*0.005</f>
        <v>4.1700000000000001E-3</v>
      </c>
      <c r="H49" s="77">
        <f t="shared" si="22"/>
        <v>192.89374695675002</v>
      </c>
      <c r="I49" s="78">
        <f>0.834*0.995</f>
        <v>0.82982999999999996</v>
      </c>
      <c r="J49" s="77">
        <f t="shared" si="23"/>
        <v>38385.855644393247</v>
      </c>
      <c r="M49" s="75" t="s">
        <v>22</v>
      </c>
      <c r="N49" s="81" t="s">
        <v>133</v>
      </c>
      <c r="O49" s="76" t="s">
        <v>135</v>
      </c>
      <c r="P49" s="81" t="s">
        <v>136</v>
      </c>
      <c r="Q49" s="81" t="s">
        <v>134</v>
      </c>
      <c r="R49" s="76" t="s">
        <v>124</v>
      </c>
      <c r="S49" s="76" t="s">
        <v>125</v>
      </c>
      <c r="T49" s="76" t="s">
        <v>126</v>
      </c>
      <c r="U49" s="76" t="s">
        <v>127</v>
      </c>
      <c r="V49" s="76" t="s">
        <v>128</v>
      </c>
    </row>
    <row r="50" spans="1:24" x14ac:dyDescent="0.25">
      <c r="A50" s="74" t="s">
        <v>17</v>
      </c>
      <c r="B50" s="77">
        <f t="shared" si="19"/>
        <v>788600.4</v>
      </c>
      <c r="C50" s="78">
        <v>0.05</v>
      </c>
      <c r="D50" s="77">
        <f t="shared" si="20"/>
        <v>828030.42</v>
      </c>
      <c r="E50" s="78">
        <v>9.6000000000000002E-2</v>
      </c>
      <c r="F50" s="77">
        <f t="shared" si="21"/>
        <v>79490.920320000005</v>
      </c>
      <c r="G50" s="78">
        <v>0</v>
      </c>
      <c r="H50" s="77">
        <f t="shared" si="22"/>
        <v>0</v>
      </c>
      <c r="I50" s="78">
        <v>0.90400000000000003</v>
      </c>
      <c r="J50" s="77">
        <f t="shared" si="23"/>
        <v>748539.49968000001</v>
      </c>
      <c r="M50" s="74" t="s">
        <v>15</v>
      </c>
      <c r="N50" s="86">
        <f t="shared" ref="N50:N51" si="24">+P36</f>
        <v>2045578</v>
      </c>
      <c r="O50" s="78">
        <v>0.05</v>
      </c>
      <c r="P50" s="79">
        <f t="shared" ref="P50:P51" si="25">+N50*(1+O50)</f>
        <v>2147856.9</v>
      </c>
      <c r="Q50" s="78">
        <v>0.16600000000000001</v>
      </c>
      <c r="R50" s="77">
        <f>+P50*Q50</f>
        <v>356544.24540000001</v>
      </c>
      <c r="S50" s="78">
        <f>0.834*0.005</f>
        <v>4.1700000000000001E-3</v>
      </c>
      <c r="T50" s="77">
        <f>+P50*S50</f>
        <v>8956.5632729999998</v>
      </c>
      <c r="U50" s="78">
        <f>0.834*0.995</f>
        <v>0.82982999999999996</v>
      </c>
      <c r="V50" s="77">
        <f t="shared" ref="V50:V51" si="26">+U50*P50</f>
        <v>1782356.0913269999</v>
      </c>
    </row>
    <row r="51" spans="1:24" x14ac:dyDescent="0.25">
      <c r="A51" s="74" t="s">
        <v>18</v>
      </c>
      <c r="B51" s="77">
        <f t="shared" si="19"/>
        <v>16560.610499999999</v>
      </c>
      <c r="C51" s="78">
        <v>0.05</v>
      </c>
      <c r="D51" s="77">
        <f t="shared" si="20"/>
        <v>17388.641025000001</v>
      </c>
      <c r="E51" s="78">
        <v>9.6000000000000002E-2</v>
      </c>
      <c r="F51" s="77">
        <f t="shared" si="21"/>
        <v>1669.3095384000001</v>
      </c>
      <c r="G51" s="78">
        <v>0</v>
      </c>
      <c r="H51" s="77">
        <f t="shared" si="22"/>
        <v>0</v>
      </c>
      <c r="I51" s="78">
        <v>0.90400000000000003</v>
      </c>
      <c r="J51" s="77">
        <f t="shared" si="23"/>
        <v>15719.331486600002</v>
      </c>
      <c r="M51" s="74" t="s">
        <v>51</v>
      </c>
      <c r="N51" s="86">
        <f t="shared" si="24"/>
        <v>0</v>
      </c>
      <c r="O51" s="78">
        <v>0</v>
      </c>
      <c r="P51" s="79">
        <f t="shared" si="25"/>
        <v>0</v>
      </c>
      <c r="Q51" s="78">
        <f>0.166*(2/5)</f>
        <v>6.6400000000000001E-2</v>
      </c>
      <c r="R51" s="77">
        <f>+N51*Q51</f>
        <v>0</v>
      </c>
      <c r="S51" s="78">
        <v>4.1999999999999997E-3</v>
      </c>
      <c r="T51" s="77">
        <f>+S51*N51</f>
        <v>0</v>
      </c>
      <c r="U51" s="78">
        <f>(1-Q51-S51)</f>
        <v>0.9294</v>
      </c>
      <c r="V51" s="77">
        <f t="shared" si="26"/>
        <v>0</v>
      </c>
    </row>
    <row r="52" spans="1:24" x14ac:dyDescent="0.25">
      <c r="A52" s="74" t="s">
        <v>19</v>
      </c>
      <c r="B52" s="77">
        <f t="shared" si="19"/>
        <v>189262.5</v>
      </c>
      <c r="C52" s="78">
        <v>0.05</v>
      </c>
      <c r="D52" s="77">
        <f t="shared" si="20"/>
        <v>198725.625</v>
      </c>
      <c r="E52" s="78">
        <v>1.5299999999999999E-2</v>
      </c>
      <c r="F52" s="77">
        <f t="shared" si="21"/>
        <v>3040.5020624999997</v>
      </c>
      <c r="G52" s="78">
        <v>0</v>
      </c>
      <c r="H52" s="77">
        <f t="shared" si="22"/>
        <v>0</v>
      </c>
      <c r="I52" s="78">
        <v>0.98470000000000002</v>
      </c>
      <c r="J52" s="77">
        <f t="shared" si="23"/>
        <v>195685.12293750001</v>
      </c>
      <c r="M52" s="74" t="s">
        <v>16</v>
      </c>
      <c r="N52" s="86">
        <f>+P38</f>
        <v>42957.14</v>
      </c>
      <c r="O52" s="78">
        <v>0.05</v>
      </c>
      <c r="P52" s="79">
        <f>+N52*(1+O52)</f>
        <v>45104.997000000003</v>
      </c>
      <c r="Q52" s="78">
        <v>0.16600000000000001</v>
      </c>
      <c r="R52" s="77">
        <f>+P52*Q52</f>
        <v>7487.4295020000009</v>
      </c>
      <c r="S52" s="78">
        <f>0.834*0.005</f>
        <v>4.1700000000000001E-3</v>
      </c>
      <c r="T52" s="77">
        <f>+P52*S52</f>
        <v>188.08783749000003</v>
      </c>
      <c r="U52" s="78">
        <f>0.834*0.995</f>
        <v>0.82982999999999996</v>
      </c>
      <c r="V52" s="77">
        <f>+U52*P52</f>
        <v>37429.479660509998</v>
      </c>
    </row>
    <row r="53" spans="1:24" ht="13.8" thickBot="1" x14ac:dyDescent="0.3">
      <c r="A53" s="74"/>
      <c r="B53" s="77"/>
      <c r="C53" s="74"/>
      <c r="F53" s="80">
        <f>SUM(F47:F52)</f>
        <v>457533.92902454996</v>
      </c>
      <c r="G53" s="74"/>
      <c r="H53" s="80">
        <f>SUM(H47:H52)</f>
        <v>9378.3098308567496</v>
      </c>
      <c r="I53" s="74"/>
      <c r="J53" s="80">
        <f>SUM(J47:J52)</f>
        <v>2826227.6104445932</v>
      </c>
      <c r="M53" s="74" t="s">
        <v>17</v>
      </c>
      <c r="N53" s="86">
        <f>+P39</f>
        <v>766068</v>
      </c>
      <c r="O53" s="78">
        <v>0.05</v>
      </c>
      <c r="P53" s="79">
        <f>+N53*(1+O53)</f>
        <v>804371.4</v>
      </c>
      <c r="Q53" s="78">
        <v>9.6000000000000002E-2</v>
      </c>
      <c r="R53" s="77">
        <f>+P53*Q53</f>
        <v>77219.654399999999</v>
      </c>
      <c r="S53" s="78">
        <v>0</v>
      </c>
      <c r="T53" s="77">
        <f>+P53*S53</f>
        <v>0</v>
      </c>
      <c r="U53" s="78">
        <v>0.90400000000000003</v>
      </c>
      <c r="V53" s="77">
        <f>+U53*P53</f>
        <v>727151.74560000002</v>
      </c>
    </row>
    <row r="54" spans="1:24" ht="13.8" thickTop="1" x14ac:dyDescent="0.25">
      <c r="M54" s="74" t="s">
        <v>18</v>
      </c>
      <c r="N54" s="86">
        <f>+P40</f>
        <v>16087.43</v>
      </c>
      <c r="O54" s="78">
        <v>0.05</v>
      </c>
      <c r="P54" s="79">
        <f>+N54*(1+O54)</f>
        <v>16891.801500000001</v>
      </c>
      <c r="Q54" s="78">
        <v>9.6000000000000002E-2</v>
      </c>
      <c r="R54" s="77">
        <f>+P54*Q54</f>
        <v>1621.6129440000002</v>
      </c>
      <c r="S54" s="78">
        <v>0</v>
      </c>
      <c r="T54" s="77">
        <f>+P54*S54</f>
        <v>0</v>
      </c>
      <c r="U54" s="78">
        <v>0.90400000000000003</v>
      </c>
      <c r="V54" s="77">
        <f>+U54*P54</f>
        <v>15270.188556000001</v>
      </c>
    </row>
    <row r="55" spans="1:24" x14ac:dyDescent="0.25">
      <c r="M55" s="89" t="s">
        <v>185</v>
      </c>
      <c r="N55" s="86">
        <f>+P41</f>
        <v>-90511</v>
      </c>
      <c r="O55" s="78">
        <v>0</v>
      </c>
      <c r="P55" s="79">
        <f>+N55*(1+O55)</f>
        <v>-90511</v>
      </c>
      <c r="Q55" s="95">
        <f>0.096*(2/5)</f>
        <v>3.8400000000000004E-2</v>
      </c>
      <c r="R55" s="77">
        <f>+P55*Q55</f>
        <v>-3475.6224000000002</v>
      </c>
      <c r="S55" s="78">
        <v>0</v>
      </c>
      <c r="T55" s="77">
        <f>+P55*S55</f>
        <v>0</v>
      </c>
      <c r="U55" s="78">
        <f>(1-Q55-S55)</f>
        <v>0.96160000000000001</v>
      </c>
      <c r="V55" s="77">
        <f>+U55*P55</f>
        <v>-87035.377600000007</v>
      </c>
    </row>
    <row r="56" spans="1:24" x14ac:dyDescent="0.25">
      <c r="M56" s="74" t="s">
        <v>19</v>
      </c>
      <c r="N56" s="86">
        <f>+P42</f>
        <v>182000</v>
      </c>
      <c r="O56" s="78">
        <v>0.05</v>
      </c>
      <c r="P56" s="79">
        <f>+N56*(1+O56)</f>
        <v>191100</v>
      </c>
      <c r="Q56" s="78">
        <v>1.5299999999999999E-2</v>
      </c>
      <c r="R56" s="77">
        <f>+P56*Q56</f>
        <v>2923.83</v>
      </c>
      <c r="S56" s="78">
        <v>0</v>
      </c>
      <c r="T56" s="77">
        <f>+P56*S56</f>
        <v>0</v>
      </c>
      <c r="U56" s="78">
        <v>0.98470000000000002</v>
      </c>
      <c r="V56" s="77">
        <f>+U56*P56</f>
        <v>188176.17</v>
      </c>
    </row>
    <row r="57" spans="1:24" ht="13.8" thickBot="1" x14ac:dyDescent="0.3">
      <c r="M57" s="74"/>
      <c r="N57" s="77"/>
      <c r="O57" s="74"/>
      <c r="R57" s="80">
        <f>SUM(R50:R56)</f>
        <v>442321.14984600001</v>
      </c>
      <c r="S57" s="74"/>
      <c r="T57" s="80">
        <f>SUM(T50:T56)</f>
        <v>9144.6511104900001</v>
      </c>
      <c r="U57" s="74"/>
      <c r="V57" s="80">
        <f>SUM(V50:V56)</f>
        <v>2663348.2975435099</v>
      </c>
    </row>
    <row r="58" spans="1:24" ht="13.8" thickTop="1" x14ac:dyDescent="0.25"/>
    <row r="61" spans="1:24" ht="14.4" x14ac:dyDescent="0.3">
      <c r="M61" s="74"/>
      <c r="N61" s="115" t="s">
        <v>186</v>
      </c>
      <c r="O61" s="115"/>
      <c r="P61" s="115"/>
      <c r="Q61" s="115"/>
      <c r="R61" s="115"/>
      <c r="S61" s="115"/>
      <c r="T61" s="115"/>
      <c r="X61" s="88" t="s">
        <v>223</v>
      </c>
    </row>
    <row r="62" spans="1:24" ht="14.4" x14ac:dyDescent="0.3">
      <c r="M62" s="73"/>
      <c r="N62" s="73"/>
      <c r="O62" s="73"/>
      <c r="P62" s="73"/>
      <c r="Q62" s="73"/>
      <c r="R62" s="73"/>
      <c r="S62" s="73"/>
      <c r="T62" s="73"/>
    </row>
    <row r="63" spans="1:24" ht="57.6" x14ac:dyDescent="0.3">
      <c r="M63" s="75" t="s">
        <v>22</v>
      </c>
      <c r="N63" s="81" t="s">
        <v>136</v>
      </c>
      <c r="O63" s="76" t="s">
        <v>135</v>
      </c>
      <c r="P63" s="81" t="s">
        <v>187</v>
      </c>
      <c r="Q63" s="81" t="s">
        <v>134</v>
      </c>
      <c r="R63" s="76" t="s">
        <v>124</v>
      </c>
      <c r="S63" s="76" t="s">
        <v>125</v>
      </c>
      <c r="T63" s="76" t="s">
        <v>126</v>
      </c>
      <c r="U63" s="76" t="s">
        <v>127</v>
      </c>
      <c r="V63" s="76" t="s">
        <v>128</v>
      </c>
    </row>
    <row r="64" spans="1:24" x14ac:dyDescent="0.25">
      <c r="M64" s="74" t="s">
        <v>15</v>
      </c>
      <c r="N64" s="86">
        <f t="shared" ref="N64:N65" si="27">+P50</f>
        <v>2147856.9</v>
      </c>
      <c r="O64" s="78">
        <v>0.05</v>
      </c>
      <c r="P64" s="79">
        <f t="shared" ref="P64:P65" si="28">+N64*(1+O64)</f>
        <v>2255249.7450000001</v>
      </c>
      <c r="Q64" s="78">
        <v>0.16600000000000001</v>
      </c>
      <c r="R64" s="77">
        <f>+P64*Q64</f>
        <v>374371.45767000003</v>
      </c>
      <c r="S64" s="78">
        <f>0.834*0.005</f>
        <v>4.1700000000000001E-3</v>
      </c>
      <c r="T64" s="77">
        <f>+P64*S64</f>
        <v>9404.3914366500012</v>
      </c>
      <c r="U64" s="78">
        <f>0.834*0.995</f>
        <v>0.82982999999999996</v>
      </c>
      <c r="V64" s="77">
        <f t="shared" ref="V64:V65" si="29">+U64*P64</f>
        <v>1871473.89589335</v>
      </c>
    </row>
    <row r="65" spans="13:22" x14ac:dyDescent="0.25">
      <c r="M65" s="74" t="s">
        <v>51</v>
      </c>
      <c r="N65" s="86">
        <f t="shared" si="27"/>
        <v>0</v>
      </c>
      <c r="O65" s="78">
        <v>0</v>
      </c>
      <c r="P65" s="79">
        <f t="shared" si="28"/>
        <v>0</v>
      </c>
      <c r="Q65" s="78">
        <f>0.166*(3/5)</f>
        <v>9.9600000000000008E-2</v>
      </c>
      <c r="R65" s="77">
        <f>+N65*Q65</f>
        <v>0</v>
      </c>
      <c r="S65" s="78">
        <v>4.1999999999999997E-3</v>
      </c>
      <c r="T65" s="77">
        <f>+S65*N65</f>
        <v>0</v>
      </c>
      <c r="U65" s="78">
        <f>(1-Q65-S65)</f>
        <v>0.8962</v>
      </c>
      <c r="V65" s="77">
        <f t="shared" si="29"/>
        <v>0</v>
      </c>
    </row>
    <row r="66" spans="13:22" x14ac:dyDescent="0.25">
      <c r="M66" s="74" t="s">
        <v>16</v>
      </c>
      <c r="N66" s="86">
        <f>+P52</f>
        <v>45104.997000000003</v>
      </c>
      <c r="O66" s="78">
        <v>0.05</v>
      </c>
      <c r="P66" s="79">
        <f>+N66*(1+O66)</f>
        <v>47360.246850000003</v>
      </c>
      <c r="Q66" s="78">
        <v>0.16600000000000001</v>
      </c>
      <c r="R66" s="77">
        <f>+P66*Q66</f>
        <v>7861.8009771000006</v>
      </c>
      <c r="S66" s="78">
        <f>0.834*0.005</f>
        <v>4.1700000000000001E-3</v>
      </c>
      <c r="T66" s="77">
        <f>+P66*S66</f>
        <v>197.49222936450002</v>
      </c>
      <c r="U66" s="78">
        <f>0.834*0.995</f>
        <v>0.82982999999999996</v>
      </c>
      <c r="V66" s="77">
        <f>+U66*P66</f>
        <v>39300.953643535504</v>
      </c>
    </row>
    <row r="67" spans="13:22" x14ac:dyDescent="0.25">
      <c r="M67" s="74" t="s">
        <v>17</v>
      </c>
      <c r="N67" s="86">
        <f>+P53</f>
        <v>804371.4</v>
      </c>
      <c r="O67" s="78">
        <v>0.05</v>
      </c>
      <c r="P67" s="79">
        <f>+N67*(1+O67)</f>
        <v>844589.97000000009</v>
      </c>
      <c r="Q67" s="78">
        <v>9.6000000000000002E-2</v>
      </c>
      <c r="R67" s="77">
        <f>+P67*Q67</f>
        <v>81080.637120000014</v>
      </c>
      <c r="S67" s="78">
        <v>0</v>
      </c>
      <c r="T67" s="77">
        <f>+P67*S67</f>
        <v>0</v>
      </c>
      <c r="U67" s="78">
        <v>0.90400000000000003</v>
      </c>
      <c r="V67" s="77">
        <f>+U67*P67</f>
        <v>763509.33288000012</v>
      </c>
    </row>
    <row r="68" spans="13:22" x14ac:dyDescent="0.25">
      <c r="M68" s="74" t="s">
        <v>18</v>
      </c>
      <c r="N68" s="86">
        <f>+P54</f>
        <v>16891.801500000001</v>
      </c>
      <c r="O68" s="78">
        <v>0.05</v>
      </c>
      <c r="P68" s="79">
        <f>+N68*(1+O68)</f>
        <v>17736.391575000001</v>
      </c>
      <c r="Q68" s="78">
        <v>9.6000000000000002E-2</v>
      </c>
      <c r="R68" s="77">
        <f>+P68*Q68</f>
        <v>1702.6935912000001</v>
      </c>
      <c r="S68" s="78">
        <v>0</v>
      </c>
      <c r="T68" s="77">
        <f>+P68*S68</f>
        <v>0</v>
      </c>
      <c r="U68" s="78">
        <v>0.90400000000000003</v>
      </c>
      <c r="V68" s="77">
        <f>+U68*P68</f>
        <v>16033.697983800002</v>
      </c>
    </row>
    <row r="69" spans="13:22" x14ac:dyDescent="0.25">
      <c r="M69" s="89" t="s">
        <v>185</v>
      </c>
      <c r="N69" s="86">
        <f>+P55</f>
        <v>-90511</v>
      </c>
      <c r="O69" s="78">
        <v>0</v>
      </c>
      <c r="P69" s="79">
        <f>+N69*(1+O69)</f>
        <v>-90511</v>
      </c>
      <c r="Q69" s="95">
        <f>0.096*(3/5)</f>
        <v>5.7599999999999998E-2</v>
      </c>
      <c r="R69" s="77">
        <f>+P69*Q69</f>
        <v>-5213.4336000000003</v>
      </c>
      <c r="S69" s="78">
        <v>0</v>
      </c>
      <c r="T69" s="77">
        <f>+P69*S69</f>
        <v>0</v>
      </c>
      <c r="U69" s="78">
        <f>(1-Q69-S69)</f>
        <v>0.94240000000000002</v>
      </c>
      <c r="V69" s="77">
        <f>+U69*P69</f>
        <v>-85297.566399999996</v>
      </c>
    </row>
    <row r="70" spans="13:22" x14ac:dyDescent="0.25">
      <c r="M70" s="74" t="s">
        <v>19</v>
      </c>
      <c r="N70" s="86">
        <f>+P56</f>
        <v>191100</v>
      </c>
      <c r="O70" s="78">
        <v>0.05</v>
      </c>
      <c r="P70" s="79">
        <f>+N70*(1+O70)</f>
        <v>200655</v>
      </c>
      <c r="Q70" s="78">
        <v>1.5299999999999999E-2</v>
      </c>
      <c r="R70" s="77">
        <f>+P70*Q70</f>
        <v>3070.0214999999998</v>
      </c>
      <c r="S70" s="78">
        <v>0</v>
      </c>
      <c r="T70" s="77">
        <f>+P70*S70</f>
        <v>0</v>
      </c>
      <c r="U70" s="78">
        <v>0.98470000000000002</v>
      </c>
      <c r="V70" s="77">
        <f>+U70*P70</f>
        <v>197584.9785</v>
      </c>
    </row>
    <row r="71" spans="13:22" ht="13.8" thickBot="1" x14ac:dyDescent="0.3">
      <c r="M71" s="74"/>
      <c r="N71" s="77"/>
      <c r="O71" s="74"/>
      <c r="R71" s="80">
        <f>SUM(R64:R70)</f>
        <v>462873.17725830001</v>
      </c>
      <c r="S71" s="74"/>
      <c r="T71" s="80">
        <f>SUM(T64:T70)</f>
        <v>9601.8836660145007</v>
      </c>
      <c r="U71" s="74"/>
      <c r="V71" s="80">
        <f>SUM(V64:V70)</f>
        <v>2802605.2925006859</v>
      </c>
    </row>
    <row r="72" spans="13:22" ht="13.8" thickTop="1" x14ac:dyDescent="0.25"/>
  </sheetData>
  <mergeCells count="8">
    <mergeCell ref="N1:Q1"/>
    <mergeCell ref="N47:T47"/>
    <mergeCell ref="N61:T61"/>
    <mergeCell ref="B20:H20"/>
    <mergeCell ref="B32:H32"/>
    <mergeCell ref="B44:H44"/>
    <mergeCell ref="N20:T20"/>
    <mergeCell ref="N33:T3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M27"/>
  <sheetViews>
    <sheetView workbookViewId="0">
      <selection activeCell="J25" sqref="J25"/>
    </sheetView>
  </sheetViews>
  <sheetFormatPr defaultRowHeight="13.2" x14ac:dyDescent="0.25"/>
  <cols>
    <col min="1" max="1" width="35.88671875" bestFit="1" customWidth="1"/>
    <col min="2" max="2" width="18.6640625" customWidth="1"/>
    <col min="3" max="3" width="17.109375" customWidth="1"/>
    <col min="4" max="4" width="15.88671875" customWidth="1"/>
    <col min="5" max="5" width="13" customWidth="1"/>
    <col min="6" max="6" width="11.44140625" customWidth="1"/>
    <col min="7" max="7" width="10.109375" bestFit="1" customWidth="1"/>
    <col min="9" max="9" width="21" bestFit="1" customWidth="1"/>
    <col min="10" max="10" width="17.109375" customWidth="1"/>
    <col min="11" max="11" width="10.109375" bestFit="1" customWidth="1"/>
    <col min="13" max="13" width="10.109375" bestFit="1" customWidth="1"/>
  </cols>
  <sheetData>
    <row r="4" spans="1:13" ht="14.4" x14ac:dyDescent="0.3">
      <c r="B4" s="114" t="s">
        <v>54</v>
      </c>
      <c r="C4" s="114"/>
      <c r="D4" s="114"/>
      <c r="E4" s="114"/>
    </row>
    <row r="6" spans="1:13" ht="43.2" x14ac:dyDescent="0.3">
      <c r="A6" s="25" t="s">
        <v>22</v>
      </c>
      <c r="B6" s="27" t="s">
        <v>23</v>
      </c>
      <c r="C6" s="27" t="s">
        <v>53</v>
      </c>
      <c r="D6" s="27" t="s">
        <v>55</v>
      </c>
      <c r="E6" s="27" t="s">
        <v>24</v>
      </c>
      <c r="F6" s="27" t="s">
        <v>26</v>
      </c>
      <c r="K6" s="28"/>
    </row>
    <row r="7" spans="1:13" x14ac:dyDescent="0.25">
      <c r="A7" t="s">
        <v>15</v>
      </c>
      <c r="B7" s="28">
        <v>1337514</v>
      </c>
      <c r="C7" s="33">
        <f>(+D7-B7)/B7</f>
        <v>9.999970093770981E-2</v>
      </c>
      <c r="D7" s="39">
        <v>1471265</v>
      </c>
      <c r="E7">
        <v>0.995</v>
      </c>
      <c r="F7" s="28">
        <f t="shared" ref="F7:F14" si="0">+D7*E7</f>
        <v>1463908.675</v>
      </c>
      <c r="G7" s="42"/>
    </row>
    <row r="8" spans="1:13" x14ac:dyDescent="0.25">
      <c r="A8" t="s">
        <v>51</v>
      </c>
      <c r="B8" s="28">
        <v>-27280</v>
      </c>
      <c r="C8" s="33">
        <f t="shared" ref="C8:C14" si="1">(+D8-B8)/B8</f>
        <v>-1</v>
      </c>
      <c r="D8" s="39">
        <v>0</v>
      </c>
      <c r="E8">
        <v>0.995</v>
      </c>
      <c r="F8" s="28">
        <f t="shared" si="0"/>
        <v>0</v>
      </c>
      <c r="G8" s="42"/>
    </row>
    <row r="9" spans="1:13" x14ac:dyDescent="0.25">
      <c r="A9" t="s">
        <v>52</v>
      </c>
      <c r="B9" s="28">
        <v>95739</v>
      </c>
      <c r="C9" s="33">
        <f t="shared" si="1"/>
        <v>0.10000104450641849</v>
      </c>
      <c r="D9" s="39">
        <v>105313</v>
      </c>
      <c r="E9">
        <v>0.995</v>
      </c>
      <c r="F9" s="28">
        <f t="shared" si="0"/>
        <v>104786.435</v>
      </c>
      <c r="G9" s="42"/>
    </row>
    <row r="10" spans="1:13" x14ac:dyDescent="0.25">
      <c r="A10" t="s">
        <v>16</v>
      </c>
      <c r="B10" s="28">
        <f>1405.97+28119.46</f>
        <v>29525.43</v>
      </c>
      <c r="C10" s="33">
        <f t="shared" si="1"/>
        <v>0.12133845298781422</v>
      </c>
      <c r="D10" s="39">
        <v>33108</v>
      </c>
      <c r="E10">
        <v>0.995</v>
      </c>
      <c r="F10" s="28">
        <f t="shared" si="0"/>
        <v>32942.46</v>
      </c>
      <c r="G10" s="42"/>
    </row>
    <row r="11" spans="1:13" x14ac:dyDescent="0.25">
      <c r="A11" t="s">
        <v>17</v>
      </c>
      <c r="B11" s="34">
        <v>631000</v>
      </c>
      <c r="C11" s="33">
        <f t="shared" si="1"/>
        <v>3.5000000000000003E-2</v>
      </c>
      <c r="D11" s="39">
        <v>653085</v>
      </c>
      <c r="E11">
        <v>1</v>
      </c>
      <c r="F11" s="28">
        <f t="shared" si="0"/>
        <v>653085</v>
      </c>
      <c r="G11" s="42"/>
    </row>
    <row r="12" spans="1:13" x14ac:dyDescent="0.25">
      <c r="A12" t="s">
        <v>18</v>
      </c>
      <c r="B12" s="28">
        <v>13251</v>
      </c>
      <c r="C12" s="33">
        <f t="shared" si="1"/>
        <v>3.5016225190551656E-2</v>
      </c>
      <c r="D12" s="39">
        <v>13715</v>
      </c>
      <c r="E12">
        <v>1</v>
      </c>
      <c r="F12" s="28">
        <f t="shared" si="0"/>
        <v>13715</v>
      </c>
      <c r="G12" s="42"/>
      <c r="M12" s="38"/>
    </row>
    <row r="13" spans="1:13" x14ac:dyDescent="0.25">
      <c r="A13" t="s">
        <v>19</v>
      </c>
      <c r="B13" s="28">
        <v>162153</v>
      </c>
      <c r="C13" s="33">
        <f t="shared" si="1"/>
        <v>2.941049502630232E-2</v>
      </c>
      <c r="D13" s="39">
        <v>166922</v>
      </c>
      <c r="E13">
        <v>1</v>
      </c>
      <c r="F13" s="28">
        <f t="shared" si="0"/>
        <v>166922</v>
      </c>
      <c r="G13" s="42"/>
    </row>
    <row r="14" spans="1:13" x14ac:dyDescent="0.25">
      <c r="A14" t="s">
        <v>20</v>
      </c>
      <c r="B14" s="28">
        <v>7847</v>
      </c>
      <c r="C14" s="33">
        <f t="shared" si="1"/>
        <v>2.9438001784121322E-2</v>
      </c>
      <c r="D14" s="39">
        <v>8078</v>
      </c>
      <c r="E14">
        <v>1</v>
      </c>
      <c r="F14" s="28">
        <f t="shared" si="0"/>
        <v>8078</v>
      </c>
      <c r="G14" s="42"/>
      <c r="I14" s="41"/>
      <c r="J14" s="41"/>
    </row>
    <row r="15" spans="1:13" ht="14.4" x14ac:dyDescent="0.3">
      <c r="B15" s="28"/>
      <c r="E15" s="25" t="s">
        <v>56</v>
      </c>
      <c r="G15" s="31">
        <f>SUM(F7:F14)</f>
        <v>2443437.5700000003</v>
      </c>
      <c r="I15" s="31"/>
    </row>
    <row r="16" spans="1:13" x14ac:dyDescent="0.25">
      <c r="B16" s="28"/>
      <c r="E16" t="s">
        <v>180</v>
      </c>
      <c r="G16" s="28">
        <v>90012</v>
      </c>
    </row>
    <row r="17" spans="1:9" x14ac:dyDescent="0.25">
      <c r="B17" s="28"/>
    </row>
    <row r="18" spans="1:9" ht="13.8" thickBot="1" x14ac:dyDescent="0.3">
      <c r="B18" s="28"/>
      <c r="E18" t="s">
        <v>181</v>
      </c>
      <c r="G18" s="87">
        <f>+G15-G16</f>
        <v>2353425.5700000003</v>
      </c>
    </row>
    <row r="19" spans="1:9" ht="13.8" thickTop="1" x14ac:dyDescent="0.25">
      <c r="A19" s="40"/>
      <c r="B19" s="28"/>
    </row>
    <row r="20" spans="1:9" x14ac:dyDescent="0.25">
      <c r="B20" s="28"/>
    </row>
    <row r="21" spans="1:9" x14ac:dyDescent="0.25">
      <c r="B21" s="28"/>
    </row>
    <row r="23" spans="1:9" x14ac:dyDescent="0.25">
      <c r="B23" s="28"/>
    </row>
    <row r="27" spans="1:9" x14ac:dyDescent="0.25">
      <c r="I27" s="42"/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J25"/>
  <sheetViews>
    <sheetView workbookViewId="0">
      <selection activeCell="J25" sqref="J25"/>
    </sheetView>
  </sheetViews>
  <sheetFormatPr defaultRowHeight="13.2" x14ac:dyDescent="0.25"/>
  <cols>
    <col min="1" max="1" width="35.88671875" bestFit="1" customWidth="1"/>
    <col min="2" max="2" width="18.6640625" customWidth="1"/>
    <col min="3" max="3" width="13" customWidth="1"/>
    <col min="4" max="4" width="11.44140625" customWidth="1"/>
    <col min="5" max="5" width="12.44140625" customWidth="1"/>
    <col min="8" max="8" width="10.109375" bestFit="1" customWidth="1"/>
    <col min="10" max="10" width="10.109375" bestFit="1" customWidth="1"/>
  </cols>
  <sheetData>
    <row r="4" spans="1:10" ht="14.4" x14ac:dyDescent="0.3">
      <c r="B4" s="25" t="s">
        <v>21</v>
      </c>
    </row>
    <row r="7" spans="1:10" ht="43.2" x14ac:dyDescent="0.3">
      <c r="A7" s="25" t="s">
        <v>22</v>
      </c>
      <c r="B7" s="25" t="s">
        <v>23</v>
      </c>
      <c r="C7" s="27" t="s">
        <v>24</v>
      </c>
      <c r="D7" s="27" t="s">
        <v>25</v>
      </c>
      <c r="E7" s="32" t="s">
        <v>14</v>
      </c>
    </row>
    <row r="8" spans="1:10" x14ac:dyDescent="0.25">
      <c r="A8" t="s">
        <v>15</v>
      </c>
      <c r="B8" s="28">
        <v>1337514</v>
      </c>
      <c r="C8" s="33">
        <v>0.995</v>
      </c>
      <c r="D8" s="28">
        <f t="shared" ref="D8:D15" si="0">+C8*B8</f>
        <v>1330826.43</v>
      </c>
      <c r="H8" s="28"/>
      <c r="J8" s="28"/>
    </row>
    <row r="9" spans="1:10" x14ac:dyDescent="0.25">
      <c r="A9" t="s">
        <v>51</v>
      </c>
      <c r="B9" s="28">
        <v>-27280</v>
      </c>
      <c r="C9" s="33">
        <v>0.995</v>
      </c>
      <c r="D9" s="28">
        <f t="shared" si="0"/>
        <v>-27143.599999999999</v>
      </c>
    </row>
    <row r="10" spans="1:10" x14ac:dyDescent="0.25">
      <c r="A10" t="s">
        <v>52</v>
      </c>
      <c r="B10" s="28">
        <v>95739</v>
      </c>
      <c r="C10" s="33">
        <v>0.995</v>
      </c>
      <c r="D10" s="28">
        <f t="shared" si="0"/>
        <v>95260.304999999993</v>
      </c>
    </row>
    <row r="11" spans="1:10" x14ac:dyDescent="0.25">
      <c r="A11" t="s">
        <v>16</v>
      </c>
      <c r="B11" s="28">
        <v>29525.43</v>
      </c>
      <c r="C11" s="33">
        <v>0.995</v>
      </c>
      <c r="D11" s="28">
        <f t="shared" si="0"/>
        <v>29377.80285</v>
      </c>
    </row>
    <row r="12" spans="1:10" x14ac:dyDescent="0.25">
      <c r="A12" t="s">
        <v>17</v>
      </c>
      <c r="B12" s="34">
        <v>631000</v>
      </c>
      <c r="C12" s="33">
        <v>1</v>
      </c>
      <c r="D12" s="28">
        <f t="shared" si="0"/>
        <v>631000</v>
      </c>
    </row>
    <row r="13" spans="1:10" x14ac:dyDescent="0.25">
      <c r="A13" t="s">
        <v>18</v>
      </c>
      <c r="B13" s="28">
        <v>13251</v>
      </c>
      <c r="C13" s="33">
        <v>1</v>
      </c>
      <c r="D13" s="28">
        <f t="shared" si="0"/>
        <v>13251</v>
      </c>
    </row>
    <row r="14" spans="1:10" x14ac:dyDescent="0.25">
      <c r="A14" t="s">
        <v>19</v>
      </c>
      <c r="B14" s="28">
        <v>162153</v>
      </c>
      <c r="C14" s="33">
        <v>1</v>
      </c>
      <c r="D14" s="28">
        <f t="shared" si="0"/>
        <v>162153</v>
      </c>
    </row>
    <row r="15" spans="1:10" x14ac:dyDescent="0.25">
      <c r="A15" t="s">
        <v>20</v>
      </c>
      <c r="B15" s="28">
        <v>7847</v>
      </c>
      <c r="C15" s="33">
        <v>1</v>
      </c>
      <c r="D15" s="28">
        <f t="shared" si="0"/>
        <v>7847</v>
      </c>
      <c r="E15" s="30"/>
    </row>
    <row r="16" spans="1:10" x14ac:dyDescent="0.25">
      <c r="B16" s="28"/>
      <c r="C16" s="33"/>
      <c r="D16" s="28"/>
      <c r="E16" s="30"/>
    </row>
    <row r="17" spans="2:5" ht="14.4" x14ac:dyDescent="0.3">
      <c r="B17" s="28"/>
      <c r="C17" s="25" t="s">
        <v>50</v>
      </c>
      <c r="E17" s="31">
        <f>SUM(D8:D15)</f>
        <v>2242571.9378499999</v>
      </c>
    </row>
    <row r="18" spans="2:5" x14ac:dyDescent="0.25">
      <c r="B18" s="28"/>
    </row>
    <row r="19" spans="2:5" x14ac:dyDescent="0.25">
      <c r="B19" s="28"/>
    </row>
    <row r="20" spans="2:5" x14ac:dyDescent="0.25">
      <c r="B20" s="28"/>
    </row>
    <row r="21" spans="2:5" x14ac:dyDescent="0.25">
      <c r="B21" s="28"/>
    </row>
    <row r="22" spans="2:5" x14ac:dyDescent="0.25">
      <c r="B22" s="28"/>
    </row>
    <row r="23" spans="2:5" x14ac:dyDescent="0.25">
      <c r="B23" s="28"/>
    </row>
    <row r="25" spans="2:5" x14ac:dyDescent="0.25">
      <c r="B25" s="2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H78"/>
  <sheetViews>
    <sheetView zoomScale="80" zoomScaleNormal="80" workbookViewId="0">
      <selection activeCell="G20" sqref="G20"/>
    </sheetView>
  </sheetViews>
  <sheetFormatPr defaultRowHeight="13.2" x14ac:dyDescent="0.25"/>
  <cols>
    <col min="1" max="1" width="38.5546875" customWidth="1"/>
    <col min="2" max="2" width="16.33203125" customWidth="1"/>
    <col min="3" max="3" width="18.88671875" customWidth="1"/>
    <col min="4" max="4" width="11" customWidth="1"/>
    <col min="5" max="5" width="10.109375" customWidth="1"/>
    <col min="6" max="6" width="12.6640625" customWidth="1"/>
    <col min="7" max="7" width="12.109375" customWidth="1"/>
    <col min="8" max="8" width="11" customWidth="1"/>
    <col min="9" max="9" width="10.6640625" customWidth="1"/>
    <col min="10" max="10" width="10.44140625" customWidth="1"/>
    <col min="11" max="11" width="9.109375" customWidth="1"/>
    <col min="12" max="12" width="10" customWidth="1"/>
    <col min="13" max="13" width="14.88671875" customWidth="1"/>
    <col min="14" max="15" width="9.109375" customWidth="1"/>
    <col min="16" max="16" width="35.5546875" customWidth="1"/>
    <col min="17" max="17" width="20.109375" customWidth="1"/>
    <col min="19" max="19" width="12.5546875" customWidth="1"/>
    <col min="21" max="21" width="11.109375" customWidth="1"/>
    <col min="22" max="22" width="43.44140625" customWidth="1"/>
    <col min="24" max="24" width="10.88671875" bestFit="1" customWidth="1"/>
  </cols>
  <sheetData>
    <row r="3" spans="1:8" ht="14.4" x14ac:dyDescent="0.3">
      <c r="A3" s="64"/>
      <c r="B3" s="67" t="s">
        <v>248</v>
      </c>
      <c r="C3" s="67"/>
      <c r="D3" s="67"/>
      <c r="E3" s="67"/>
      <c r="F3" s="67"/>
      <c r="G3" s="64"/>
    </row>
    <row r="4" spans="1:8" ht="14.4" x14ac:dyDescent="0.3">
      <c r="A4" s="63"/>
    </row>
    <row r="5" spans="1:8" ht="14.4" x14ac:dyDescent="0.3">
      <c r="A5" s="63"/>
      <c r="D5" s="88"/>
    </row>
    <row r="6" spans="1:8" ht="57.6" x14ac:dyDescent="0.3">
      <c r="A6" s="65" t="s">
        <v>11</v>
      </c>
      <c r="B6" s="66" t="s">
        <v>237</v>
      </c>
      <c r="C6" s="66" t="s">
        <v>234</v>
      </c>
      <c r="D6" s="66" t="s">
        <v>249</v>
      </c>
      <c r="E6" s="66" t="s">
        <v>242</v>
      </c>
      <c r="F6" s="66" t="s">
        <v>13</v>
      </c>
      <c r="G6" s="66" t="s">
        <v>235</v>
      </c>
      <c r="H6" s="67"/>
    </row>
    <row r="7" spans="1:8" ht="14.4" x14ac:dyDescent="0.3">
      <c r="A7" s="64" t="s">
        <v>15</v>
      </c>
      <c r="B7" s="68">
        <v>615000</v>
      </c>
      <c r="C7" s="69">
        <v>8.1300813008130079E-2</v>
      </c>
      <c r="D7" s="68">
        <v>665000</v>
      </c>
      <c r="E7" s="69">
        <v>0.94</v>
      </c>
      <c r="F7" s="68">
        <v>625100</v>
      </c>
      <c r="G7" s="112">
        <v>39900</v>
      </c>
      <c r="H7" s="111"/>
    </row>
    <row r="8" spans="1:8" ht="14.4" x14ac:dyDescent="0.3">
      <c r="A8" s="64" t="s">
        <v>16</v>
      </c>
      <c r="B8" s="68">
        <v>6584.21</v>
      </c>
      <c r="C8" s="69">
        <v>5.9030620226268614E-2</v>
      </c>
      <c r="D8" s="68">
        <v>6972.88</v>
      </c>
      <c r="E8" s="69">
        <v>0.94</v>
      </c>
      <c r="F8" s="68">
        <v>6554.5072</v>
      </c>
      <c r="G8" s="112">
        <v>418.3728000000001</v>
      </c>
      <c r="H8" s="111"/>
    </row>
    <row r="9" spans="1:8" ht="14.4" x14ac:dyDescent="0.3">
      <c r="A9" s="64" t="s">
        <v>38</v>
      </c>
      <c r="B9" s="68">
        <v>-301466</v>
      </c>
      <c r="C9" s="69">
        <v>0.10446285816642673</v>
      </c>
      <c r="D9" s="99">
        <v>-332958</v>
      </c>
      <c r="E9" s="69">
        <v>0.96399999999999997</v>
      </c>
      <c r="F9" s="68">
        <v>-320971.51199999999</v>
      </c>
      <c r="G9" s="112">
        <v>-11986.488000000012</v>
      </c>
      <c r="H9" s="103"/>
    </row>
    <row r="10" spans="1:8" ht="14.4" x14ac:dyDescent="0.3">
      <c r="A10" s="64" t="s">
        <v>243</v>
      </c>
      <c r="B10" s="68">
        <v>263550</v>
      </c>
      <c r="C10" s="98">
        <v>0</v>
      </c>
      <c r="D10" s="68">
        <v>263550</v>
      </c>
      <c r="E10" s="69">
        <v>1</v>
      </c>
      <c r="F10" s="68">
        <v>263550</v>
      </c>
      <c r="G10" s="70"/>
    </row>
    <row r="11" spans="1:8" ht="14.4" x14ac:dyDescent="0.3">
      <c r="A11" s="64" t="s">
        <v>244</v>
      </c>
      <c r="B11" s="68">
        <v>5534.55</v>
      </c>
      <c r="C11" s="98">
        <v>0</v>
      </c>
      <c r="D11" s="68">
        <v>5534.55</v>
      </c>
      <c r="E11" s="69">
        <v>1</v>
      </c>
      <c r="F11" s="68">
        <v>5534.55</v>
      </c>
      <c r="G11" s="71"/>
    </row>
    <row r="12" spans="1:8" ht="14.4" x14ac:dyDescent="0.3">
      <c r="A12" s="64" t="s">
        <v>245</v>
      </c>
      <c r="B12" s="68">
        <v>80000</v>
      </c>
      <c r="C12" s="98">
        <v>0</v>
      </c>
      <c r="D12" s="68">
        <v>80000</v>
      </c>
      <c r="E12" s="69">
        <v>1</v>
      </c>
      <c r="F12" s="68">
        <v>80000</v>
      </c>
      <c r="G12" s="64"/>
    </row>
    <row r="13" spans="1:8" ht="14.4" x14ac:dyDescent="0.3">
      <c r="A13" s="64" t="s">
        <v>246</v>
      </c>
      <c r="B13" s="68">
        <v>60000</v>
      </c>
      <c r="C13" s="98">
        <v>0</v>
      </c>
      <c r="D13" s="68">
        <v>60000</v>
      </c>
      <c r="E13" s="69">
        <v>1</v>
      </c>
      <c r="F13" s="68">
        <v>60000</v>
      </c>
      <c r="G13" s="64"/>
    </row>
    <row r="14" spans="1:8" ht="14.4" x14ac:dyDescent="0.3">
      <c r="A14" s="64" t="s">
        <v>247</v>
      </c>
      <c r="B14" s="68">
        <v>52065</v>
      </c>
      <c r="C14" s="98">
        <v>0</v>
      </c>
      <c r="D14" s="68">
        <v>52065</v>
      </c>
      <c r="E14" s="69">
        <v>1</v>
      </c>
      <c r="F14" s="68">
        <v>52065</v>
      </c>
      <c r="G14" s="64"/>
    </row>
    <row r="15" spans="1:8" ht="14.4" x14ac:dyDescent="0.3">
      <c r="A15" s="64" t="s">
        <v>33</v>
      </c>
      <c r="B15" s="68">
        <v>75000</v>
      </c>
      <c r="C15" s="98">
        <v>0</v>
      </c>
      <c r="D15" s="68">
        <v>75000</v>
      </c>
      <c r="E15" s="69">
        <v>1</v>
      </c>
      <c r="F15" s="68">
        <v>75000</v>
      </c>
      <c r="G15" s="64"/>
    </row>
    <row r="16" spans="1:8" ht="14.4" x14ac:dyDescent="0.3">
      <c r="A16" s="64" t="s">
        <v>182</v>
      </c>
      <c r="B16" s="68">
        <v>52000</v>
      </c>
      <c r="C16" s="98">
        <v>0</v>
      </c>
      <c r="D16" s="68">
        <v>52000</v>
      </c>
      <c r="E16" s="69">
        <v>1</v>
      </c>
      <c r="F16" s="68">
        <v>52000</v>
      </c>
      <c r="G16" s="64"/>
    </row>
    <row r="17" spans="1:7" ht="14.4" x14ac:dyDescent="0.3">
      <c r="A17" s="64"/>
      <c r="B17" s="68"/>
      <c r="C17" s="69"/>
      <c r="D17" s="68"/>
      <c r="E17" s="69"/>
      <c r="F17" s="68"/>
      <c r="G17" s="64"/>
    </row>
    <row r="18" spans="1:7" ht="14.4" x14ac:dyDescent="0.3">
      <c r="A18" s="64"/>
      <c r="B18" s="64"/>
      <c r="C18" s="64"/>
      <c r="D18" s="72">
        <f>SUM(D7:D16)</f>
        <v>927164.43</v>
      </c>
      <c r="E18" s="68"/>
      <c r="F18" s="68">
        <f>SUM(F7:F17)</f>
        <v>898832.54520000005</v>
      </c>
      <c r="G18" s="64"/>
    </row>
    <row r="19" spans="1:7" ht="14.4" x14ac:dyDescent="0.3">
      <c r="A19" s="64"/>
      <c r="B19" s="64"/>
      <c r="C19" s="64"/>
      <c r="D19" s="72"/>
      <c r="E19" s="68"/>
      <c r="F19" s="68"/>
      <c r="G19" s="64"/>
    </row>
    <row r="20" spans="1:7" ht="15" thickBot="1" x14ac:dyDescent="0.35">
      <c r="A20" s="64"/>
      <c r="B20" s="67" t="s">
        <v>110</v>
      </c>
      <c r="C20" s="67"/>
      <c r="D20" s="67"/>
      <c r="E20" s="64"/>
      <c r="F20" s="64"/>
      <c r="G20" s="109">
        <f>SUM(F7:F16)</f>
        <v>898832.54520000005</v>
      </c>
    </row>
    <row r="21" spans="1:7" ht="13.8" thickTop="1" x14ac:dyDescent="0.25">
      <c r="G21" s="104"/>
    </row>
    <row r="22" spans="1:7" hidden="1" x14ac:dyDescent="0.25">
      <c r="G22" s="106"/>
    </row>
    <row r="23" spans="1:7" hidden="1" x14ac:dyDescent="0.25"/>
    <row r="24" spans="1:7" ht="14.4" hidden="1" x14ac:dyDescent="0.3">
      <c r="A24" s="64"/>
    </row>
    <row r="25" spans="1:7" ht="14.4" hidden="1" x14ac:dyDescent="0.3">
      <c r="A25" s="63"/>
    </row>
    <row r="26" spans="1:7" ht="14.4" hidden="1" x14ac:dyDescent="0.3">
      <c r="A26" s="63"/>
      <c r="D26" s="88" t="s">
        <v>239</v>
      </c>
    </row>
    <row r="27" spans="1:7" ht="43.2" hidden="1" x14ac:dyDescent="0.3">
      <c r="A27" s="65" t="s">
        <v>11</v>
      </c>
      <c r="B27" s="65" t="s">
        <v>11</v>
      </c>
      <c r="C27" s="66" t="s">
        <v>237</v>
      </c>
      <c r="D27" s="66" t="s">
        <v>109</v>
      </c>
      <c r="E27" s="66" t="s">
        <v>226</v>
      </c>
      <c r="F27" s="66" t="s">
        <v>238</v>
      </c>
      <c r="G27" s="66" t="s">
        <v>13</v>
      </c>
    </row>
    <row r="28" spans="1:7" ht="14.4" hidden="1" x14ac:dyDescent="0.3">
      <c r="A28" s="64" t="s">
        <v>15</v>
      </c>
      <c r="B28" s="64" t="s">
        <v>15</v>
      </c>
      <c r="C28" s="68">
        <f>+D7</f>
        <v>665000</v>
      </c>
      <c r="D28" s="69">
        <v>0.03</v>
      </c>
      <c r="E28" s="68">
        <f t="shared" ref="E28:E30" si="0">+C28*(1+D28)</f>
        <v>684950</v>
      </c>
      <c r="F28" s="69">
        <v>0.94</v>
      </c>
      <c r="G28" s="68">
        <f t="shared" ref="G28:G38" si="1">+E28*F28</f>
        <v>643853</v>
      </c>
    </row>
    <row r="29" spans="1:7" ht="14.4" hidden="1" x14ac:dyDescent="0.3">
      <c r="A29" s="64" t="s">
        <v>16</v>
      </c>
      <c r="B29" s="64" t="s">
        <v>16</v>
      </c>
      <c r="C29" s="68">
        <f>+D8</f>
        <v>6972.88</v>
      </c>
      <c r="D29" s="69">
        <v>0.03</v>
      </c>
      <c r="E29" s="68">
        <f t="shared" si="0"/>
        <v>7182.0664000000006</v>
      </c>
      <c r="F29" s="69">
        <v>0.94</v>
      </c>
      <c r="G29" s="68">
        <f t="shared" si="1"/>
        <v>6751.1424160000006</v>
      </c>
    </row>
    <row r="30" spans="1:7" ht="14.4" hidden="1" x14ac:dyDescent="0.3">
      <c r="A30" s="64" t="s">
        <v>38</v>
      </c>
      <c r="B30" s="64" t="s">
        <v>38</v>
      </c>
      <c r="C30" s="68">
        <f>+D9</f>
        <v>-332958</v>
      </c>
      <c r="D30" s="69">
        <v>0.05</v>
      </c>
      <c r="E30" s="68">
        <f t="shared" si="0"/>
        <v>-349605.9</v>
      </c>
      <c r="F30" s="69">
        <v>0.97599999999999998</v>
      </c>
      <c r="G30" s="68">
        <f t="shared" si="1"/>
        <v>-341215.35840000003</v>
      </c>
    </row>
    <row r="31" spans="1:7" ht="14.4" hidden="1" x14ac:dyDescent="0.3">
      <c r="A31" s="64" t="s">
        <v>28</v>
      </c>
      <c r="B31" s="64" t="s">
        <v>28</v>
      </c>
      <c r="C31" s="68">
        <f>+D10</f>
        <v>263550</v>
      </c>
      <c r="D31" s="69">
        <v>0.03</v>
      </c>
      <c r="E31" s="68">
        <f t="shared" ref="E31:E38" si="2">+C31*(1+D31)</f>
        <v>271456.5</v>
      </c>
      <c r="F31" s="69">
        <v>1</v>
      </c>
      <c r="G31" s="68">
        <f t="shared" si="1"/>
        <v>271456.5</v>
      </c>
    </row>
    <row r="32" spans="1:7" ht="14.4" hidden="1" x14ac:dyDescent="0.3">
      <c r="A32" s="64" t="s">
        <v>29</v>
      </c>
      <c r="B32" s="64" t="s">
        <v>29</v>
      </c>
      <c r="C32" s="68">
        <f>+D11</f>
        <v>5534.55</v>
      </c>
      <c r="D32" s="69">
        <v>0.03</v>
      </c>
      <c r="E32" s="68">
        <f t="shared" si="2"/>
        <v>5700.5865000000003</v>
      </c>
      <c r="F32" s="69">
        <v>1</v>
      </c>
      <c r="G32" s="68">
        <f t="shared" si="1"/>
        <v>5700.5865000000003</v>
      </c>
    </row>
    <row r="33" spans="1:7" ht="14.4" hidden="1" x14ac:dyDescent="0.3">
      <c r="A33" s="64" t="s">
        <v>30</v>
      </c>
      <c r="B33" s="64" t="s">
        <v>30</v>
      </c>
      <c r="C33" s="68" t="e">
        <f>+#REF!</f>
        <v>#REF!</v>
      </c>
      <c r="D33" s="69">
        <v>0.03</v>
      </c>
      <c r="E33" s="68" t="e">
        <f t="shared" si="2"/>
        <v>#REF!</v>
      </c>
      <c r="F33" s="69">
        <v>1</v>
      </c>
      <c r="G33" s="68" t="e">
        <f t="shared" si="1"/>
        <v>#REF!</v>
      </c>
    </row>
    <row r="34" spans="1:7" ht="14.4" hidden="1" x14ac:dyDescent="0.3">
      <c r="A34" s="64" t="s">
        <v>35</v>
      </c>
      <c r="B34" s="64" t="s">
        <v>35</v>
      </c>
      <c r="C34" s="68">
        <f t="shared" ref="C34:C38" si="3">+D12</f>
        <v>80000</v>
      </c>
      <c r="D34" s="69">
        <v>0.03</v>
      </c>
      <c r="E34" s="68">
        <f t="shared" si="2"/>
        <v>82400</v>
      </c>
      <c r="F34" s="69">
        <v>1</v>
      </c>
      <c r="G34" s="68">
        <f t="shared" si="1"/>
        <v>82400</v>
      </c>
    </row>
    <row r="35" spans="1:7" ht="14.4" hidden="1" x14ac:dyDescent="0.3">
      <c r="A35" s="64" t="s">
        <v>31</v>
      </c>
      <c r="B35" s="64" t="s">
        <v>31</v>
      </c>
      <c r="C35" s="68">
        <f t="shared" si="3"/>
        <v>60000</v>
      </c>
      <c r="D35" s="69">
        <v>0.03</v>
      </c>
      <c r="E35" s="68">
        <f t="shared" si="2"/>
        <v>61800</v>
      </c>
      <c r="F35" s="69">
        <v>1</v>
      </c>
      <c r="G35" s="68">
        <f t="shared" si="1"/>
        <v>61800</v>
      </c>
    </row>
    <row r="36" spans="1:7" ht="14.4" hidden="1" x14ac:dyDescent="0.3">
      <c r="A36" s="64" t="s">
        <v>183</v>
      </c>
      <c r="B36" s="64" t="s">
        <v>183</v>
      </c>
      <c r="C36" s="68">
        <f t="shared" si="3"/>
        <v>52065</v>
      </c>
      <c r="D36" s="69">
        <v>0.03</v>
      </c>
      <c r="E36" s="68">
        <f t="shared" si="2"/>
        <v>53626.950000000004</v>
      </c>
      <c r="F36" s="69">
        <v>1</v>
      </c>
      <c r="G36" s="68">
        <f t="shared" si="1"/>
        <v>53626.950000000004</v>
      </c>
    </row>
    <row r="37" spans="1:7" ht="14.4" hidden="1" x14ac:dyDescent="0.3">
      <c r="A37" s="64" t="s">
        <v>33</v>
      </c>
      <c r="B37" s="64" t="s">
        <v>33</v>
      </c>
      <c r="C37" s="68">
        <f t="shared" si="3"/>
        <v>75000</v>
      </c>
      <c r="D37" s="69">
        <v>0.03</v>
      </c>
      <c r="E37" s="68">
        <f t="shared" si="2"/>
        <v>77250</v>
      </c>
      <c r="F37" s="69">
        <v>1</v>
      </c>
      <c r="G37" s="68">
        <f t="shared" si="1"/>
        <v>77250</v>
      </c>
    </row>
    <row r="38" spans="1:7" ht="14.4" hidden="1" x14ac:dyDescent="0.3">
      <c r="A38" s="64" t="s">
        <v>182</v>
      </c>
      <c r="B38" s="64" t="s">
        <v>182</v>
      </c>
      <c r="C38" s="68">
        <f t="shared" si="3"/>
        <v>52000</v>
      </c>
      <c r="D38" s="69">
        <v>0.03</v>
      </c>
      <c r="E38" s="68">
        <f t="shared" si="2"/>
        <v>53560</v>
      </c>
      <c r="F38" s="69">
        <v>1</v>
      </c>
      <c r="G38" s="68">
        <f t="shared" si="1"/>
        <v>53560</v>
      </c>
    </row>
    <row r="39" spans="1:7" ht="14.4" hidden="1" x14ac:dyDescent="0.3">
      <c r="A39" s="64"/>
      <c r="B39" s="64"/>
      <c r="C39" s="68"/>
      <c r="D39" s="69"/>
      <c r="E39" s="68"/>
      <c r="F39" s="69"/>
      <c r="G39" s="68"/>
    </row>
    <row r="40" spans="1:7" ht="14.4" hidden="1" x14ac:dyDescent="0.3">
      <c r="A40" s="64"/>
      <c r="B40" s="64"/>
      <c r="C40" s="64"/>
      <c r="D40" s="64"/>
      <c r="E40" s="72" t="e">
        <f>SUM(E28:E38)</f>
        <v>#REF!</v>
      </c>
      <c r="F40" s="68"/>
      <c r="G40" s="68"/>
    </row>
    <row r="41" spans="1:7" ht="14.4" hidden="1" x14ac:dyDescent="0.3">
      <c r="A41" s="64"/>
      <c r="B41" s="64"/>
      <c r="C41" s="64"/>
      <c r="D41" s="64"/>
      <c r="E41" s="72"/>
      <c r="F41" s="68"/>
      <c r="G41" s="68"/>
    </row>
    <row r="42" spans="1:7" ht="14.4" hidden="1" x14ac:dyDescent="0.3">
      <c r="A42" s="64"/>
      <c r="B42" s="64"/>
      <c r="C42" s="67" t="s">
        <v>110</v>
      </c>
      <c r="D42" s="67"/>
      <c r="E42" s="67"/>
      <c r="F42" s="64"/>
      <c r="G42" s="64"/>
    </row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>
      <c r="D48" s="88" t="s">
        <v>239</v>
      </c>
    </row>
    <row r="49" spans="2:7" ht="43.2" hidden="1" x14ac:dyDescent="0.3">
      <c r="B49" s="65" t="s">
        <v>11</v>
      </c>
      <c r="C49" s="66" t="s">
        <v>240</v>
      </c>
      <c r="D49" s="66" t="s">
        <v>109</v>
      </c>
      <c r="E49" s="66" t="s">
        <v>241</v>
      </c>
      <c r="F49" s="66" t="s">
        <v>242</v>
      </c>
      <c r="G49" s="66" t="s">
        <v>13</v>
      </c>
    </row>
    <row r="50" spans="2:7" ht="14.4" hidden="1" x14ac:dyDescent="0.3">
      <c r="B50" s="64" t="s">
        <v>15</v>
      </c>
      <c r="C50" s="68">
        <f>+E28</f>
        <v>684950</v>
      </c>
      <c r="D50" s="69">
        <v>0.03</v>
      </c>
      <c r="E50" s="68">
        <f t="shared" ref="E50:E60" si="4">+C50*(1+D50)</f>
        <v>705498.5</v>
      </c>
      <c r="F50" s="69">
        <v>0.94</v>
      </c>
      <c r="G50" s="68">
        <f t="shared" ref="G50:G60" si="5">+E50*F50</f>
        <v>663168.59</v>
      </c>
    </row>
    <row r="51" spans="2:7" ht="14.4" hidden="1" x14ac:dyDescent="0.3">
      <c r="B51" s="64" t="s">
        <v>16</v>
      </c>
      <c r="C51" s="68">
        <f>+E29</f>
        <v>7182.0664000000006</v>
      </c>
      <c r="D51" s="69">
        <v>0.03</v>
      </c>
      <c r="E51" s="68">
        <f t="shared" si="4"/>
        <v>7397.5283920000011</v>
      </c>
      <c r="F51" s="69">
        <v>0.94</v>
      </c>
      <c r="G51" s="68">
        <f t="shared" si="5"/>
        <v>6953.6766884800008</v>
      </c>
    </row>
    <row r="52" spans="2:7" ht="14.4" hidden="1" x14ac:dyDescent="0.3">
      <c r="B52" s="64" t="s">
        <v>38</v>
      </c>
      <c r="C52" s="68">
        <f>+E30</f>
        <v>-349605.9</v>
      </c>
      <c r="D52" s="69">
        <v>0.05</v>
      </c>
      <c r="E52" s="68">
        <f t="shared" si="4"/>
        <v>-367086.19500000007</v>
      </c>
      <c r="F52" s="69">
        <v>0.96399999999999997</v>
      </c>
      <c r="G52" s="68">
        <f t="shared" si="5"/>
        <v>-353871.09198000003</v>
      </c>
    </row>
    <row r="53" spans="2:7" ht="14.4" hidden="1" x14ac:dyDescent="0.3">
      <c r="B53" s="64" t="s">
        <v>28</v>
      </c>
      <c r="C53" s="68">
        <f t="shared" ref="C53:C60" si="6">+E31</f>
        <v>271456.5</v>
      </c>
      <c r="D53" s="69">
        <v>0.03</v>
      </c>
      <c r="E53" s="68">
        <f t="shared" si="4"/>
        <v>279600.19500000001</v>
      </c>
      <c r="F53" s="69">
        <v>1</v>
      </c>
      <c r="G53" s="68">
        <f t="shared" si="5"/>
        <v>279600.19500000001</v>
      </c>
    </row>
    <row r="54" spans="2:7" ht="14.4" hidden="1" x14ac:dyDescent="0.3">
      <c r="B54" s="64" t="s">
        <v>29</v>
      </c>
      <c r="C54" s="68">
        <f t="shared" si="6"/>
        <v>5700.5865000000003</v>
      </c>
      <c r="D54" s="69">
        <v>0.03</v>
      </c>
      <c r="E54" s="68">
        <f t="shared" si="4"/>
        <v>5871.6040950000006</v>
      </c>
      <c r="F54" s="69">
        <v>1</v>
      </c>
      <c r="G54" s="68">
        <f t="shared" si="5"/>
        <v>5871.6040950000006</v>
      </c>
    </row>
    <row r="55" spans="2:7" ht="14.4" hidden="1" x14ac:dyDescent="0.3">
      <c r="B55" s="64" t="s">
        <v>30</v>
      </c>
      <c r="C55" s="68" t="e">
        <f t="shared" si="6"/>
        <v>#REF!</v>
      </c>
      <c r="D55" s="69">
        <v>0.03</v>
      </c>
      <c r="E55" s="68" t="e">
        <f t="shared" si="4"/>
        <v>#REF!</v>
      </c>
      <c r="F55" s="69">
        <v>1</v>
      </c>
      <c r="G55" s="68" t="e">
        <f t="shared" si="5"/>
        <v>#REF!</v>
      </c>
    </row>
    <row r="56" spans="2:7" ht="14.4" hidden="1" x14ac:dyDescent="0.3">
      <c r="B56" s="64" t="s">
        <v>35</v>
      </c>
      <c r="C56" s="68">
        <f t="shared" si="6"/>
        <v>82400</v>
      </c>
      <c r="D56" s="69">
        <v>0.03</v>
      </c>
      <c r="E56" s="68">
        <f t="shared" si="4"/>
        <v>84872</v>
      </c>
      <c r="F56" s="69">
        <v>1</v>
      </c>
      <c r="G56" s="68">
        <f t="shared" si="5"/>
        <v>84872</v>
      </c>
    </row>
    <row r="57" spans="2:7" ht="14.4" hidden="1" x14ac:dyDescent="0.3">
      <c r="B57" s="64" t="s">
        <v>31</v>
      </c>
      <c r="C57" s="68">
        <f t="shared" si="6"/>
        <v>61800</v>
      </c>
      <c r="D57" s="69">
        <v>0.03</v>
      </c>
      <c r="E57" s="68">
        <f t="shared" si="4"/>
        <v>63654</v>
      </c>
      <c r="F57" s="69">
        <v>1</v>
      </c>
      <c r="G57" s="68">
        <f t="shared" si="5"/>
        <v>63654</v>
      </c>
    </row>
    <row r="58" spans="2:7" ht="14.4" hidden="1" x14ac:dyDescent="0.3">
      <c r="B58" s="64" t="s">
        <v>183</v>
      </c>
      <c r="C58" s="68">
        <f t="shared" si="6"/>
        <v>53626.950000000004</v>
      </c>
      <c r="D58" s="69">
        <v>0.03</v>
      </c>
      <c r="E58" s="68">
        <f t="shared" si="4"/>
        <v>55235.758500000004</v>
      </c>
      <c r="F58" s="69">
        <v>1</v>
      </c>
      <c r="G58" s="68">
        <f t="shared" si="5"/>
        <v>55235.758500000004</v>
      </c>
    </row>
    <row r="59" spans="2:7" ht="14.4" hidden="1" x14ac:dyDescent="0.3">
      <c r="B59" s="64" t="s">
        <v>33</v>
      </c>
      <c r="C59" s="68">
        <f t="shared" si="6"/>
        <v>77250</v>
      </c>
      <c r="D59" s="69">
        <v>0.03</v>
      </c>
      <c r="E59" s="68">
        <f t="shared" si="4"/>
        <v>79567.5</v>
      </c>
      <c r="F59" s="69">
        <v>1</v>
      </c>
      <c r="G59" s="68">
        <f t="shared" si="5"/>
        <v>79567.5</v>
      </c>
    </row>
    <row r="60" spans="2:7" ht="14.4" hidden="1" x14ac:dyDescent="0.3">
      <c r="B60" s="64" t="s">
        <v>182</v>
      </c>
      <c r="C60" s="68">
        <f t="shared" si="6"/>
        <v>53560</v>
      </c>
      <c r="D60" s="69">
        <v>0.03</v>
      </c>
      <c r="E60" s="68">
        <f t="shared" si="4"/>
        <v>55166.8</v>
      </c>
      <c r="F60" s="69">
        <v>1</v>
      </c>
      <c r="G60" s="68">
        <f t="shared" si="5"/>
        <v>55166.8</v>
      </c>
    </row>
    <row r="61" spans="2:7" ht="14.4" hidden="1" x14ac:dyDescent="0.3">
      <c r="B61" s="64"/>
      <c r="C61" s="68"/>
      <c r="D61" s="69"/>
      <c r="E61" s="68"/>
      <c r="F61" s="69"/>
      <c r="G61" s="68"/>
    </row>
    <row r="62" spans="2:7" ht="14.4" hidden="1" x14ac:dyDescent="0.3">
      <c r="B62" s="64"/>
      <c r="C62" s="64"/>
      <c r="D62" s="64"/>
      <c r="E62" s="72" t="e">
        <f>SUM(E50:E60)</f>
        <v>#REF!</v>
      </c>
      <c r="F62" s="68"/>
      <c r="G62" s="68"/>
    </row>
    <row r="63" spans="2:7" ht="14.4" hidden="1" x14ac:dyDescent="0.3">
      <c r="B63" s="64"/>
      <c r="C63" s="64"/>
      <c r="D63" s="64"/>
      <c r="E63" s="72"/>
      <c r="F63" s="68"/>
      <c r="G63" s="68"/>
    </row>
    <row r="64" spans="2:7" ht="14.4" hidden="1" x14ac:dyDescent="0.3">
      <c r="B64" s="64"/>
      <c r="C64" s="67" t="s">
        <v>188</v>
      </c>
      <c r="D64" s="67"/>
      <c r="E64" s="67"/>
      <c r="F64" s="64"/>
      <c r="G64" s="64"/>
    </row>
    <row r="65" spans="3:7" hidden="1" x14ac:dyDescent="0.25"/>
    <row r="68" spans="3:7" x14ac:dyDescent="0.25">
      <c r="C68" t="s">
        <v>227</v>
      </c>
      <c r="G68" s="108"/>
    </row>
    <row r="69" spans="3:7" x14ac:dyDescent="0.25">
      <c r="G69" s="106"/>
    </row>
    <row r="70" spans="3:7" x14ac:dyDescent="0.25">
      <c r="C70" s="41" t="s">
        <v>236</v>
      </c>
      <c r="G70" s="107">
        <f>D18</f>
        <v>927164.43</v>
      </c>
    </row>
    <row r="71" spans="3:7" x14ac:dyDescent="0.25">
      <c r="G71" s="107"/>
    </row>
    <row r="72" spans="3:7" x14ac:dyDescent="0.25">
      <c r="C72" t="s">
        <v>228</v>
      </c>
      <c r="G72" s="107">
        <f>-G70*0.1</f>
        <v>-92716.443000000014</v>
      </c>
    </row>
    <row r="73" spans="3:7" x14ac:dyDescent="0.25">
      <c r="G73" s="107"/>
    </row>
    <row r="74" spans="3:7" x14ac:dyDescent="0.25">
      <c r="C74" t="s">
        <v>229</v>
      </c>
      <c r="G74" s="107">
        <f>SUM(G70:G72)</f>
        <v>834447.98700000008</v>
      </c>
    </row>
    <row r="75" spans="3:7" x14ac:dyDescent="0.25">
      <c r="G75" s="107"/>
    </row>
    <row r="76" spans="3:7" x14ac:dyDescent="0.25">
      <c r="C76" t="s">
        <v>230</v>
      </c>
      <c r="G76" s="107">
        <f>G20</f>
        <v>898832.54520000005</v>
      </c>
    </row>
    <row r="77" spans="3:7" x14ac:dyDescent="0.25">
      <c r="G77" s="107"/>
    </row>
    <row r="78" spans="3:7" x14ac:dyDescent="0.25">
      <c r="C78" t="s">
        <v>231</v>
      </c>
      <c r="G78" s="110">
        <f>G74-G76</f>
        <v>-64384.55819999997</v>
      </c>
    </row>
  </sheetData>
  <pageMargins left="0.7" right="0.7" top="0.75" bottom="0.75" header="0.3" footer="0.3"/>
  <pageSetup scale="77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H23"/>
  <sheetViews>
    <sheetView workbookViewId="0">
      <selection activeCell="J11" sqref="J11"/>
    </sheetView>
  </sheetViews>
  <sheetFormatPr defaultRowHeight="13.2" x14ac:dyDescent="0.25"/>
  <cols>
    <col min="1" max="1" width="38.5546875" customWidth="1"/>
    <col min="2" max="2" width="10.109375" bestFit="1" customWidth="1"/>
    <col min="3" max="6" width="10.109375" customWidth="1"/>
    <col min="7" max="7" width="17.109375" customWidth="1"/>
    <col min="8" max="8" width="10" customWidth="1"/>
  </cols>
  <sheetData>
    <row r="4" spans="1:8" ht="14.4" x14ac:dyDescent="0.3">
      <c r="B4" s="25" t="s">
        <v>49</v>
      </c>
      <c r="C4" s="25"/>
      <c r="D4" s="25"/>
      <c r="E4" s="25"/>
      <c r="F4" s="25"/>
    </row>
    <row r="7" spans="1:8" ht="57.6" x14ac:dyDescent="0.3">
      <c r="A7" s="26" t="s">
        <v>11</v>
      </c>
      <c r="B7" s="27" t="s">
        <v>37</v>
      </c>
      <c r="C7" s="27" t="s">
        <v>45</v>
      </c>
      <c r="D7" s="27" t="s">
        <v>46</v>
      </c>
      <c r="E7" s="27" t="s">
        <v>47</v>
      </c>
      <c r="F7" s="27" t="s">
        <v>13</v>
      </c>
      <c r="G7" s="25" t="s">
        <v>14</v>
      </c>
    </row>
    <row r="8" spans="1:8" x14ac:dyDescent="0.25">
      <c r="A8" t="s">
        <v>15</v>
      </c>
      <c r="B8" s="28">
        <v>700000</v>
      </c>
      <c r="C8" s="29">
        <f>(+D8-B8)/B8</f>
        <v>0</v>
      </c>
      <c r="D8" s="28">
        <v>700000</v>
      </c>
      <c r="E8" s="29">
        <v>0.9</v>
      </c>
      <c r="F8" s="28">
        <f>+E8*D8</f>
        <v>630000</v>
      </c>
      <c r="G8" s="43"/>
      <c r="H8" s="28"/>
    </row>
    <row r="9" spans="1:8" x14ac:dyDescent="0.25">
      <c r="A9" t="s">
        <v>16</v>
      </c>
      <c r="B9" s="28">
        <f>529.08+10581.56</f>
        <v>11110.64</v>
      </c>
      <c r="C9" s="29">
        <f>(+D9-B9)/B9</f>
        <v>0</v>
      </c>
      <c r="D9" s="28">
        <f>529.08+10581.56</f>
        <v>11110.64</v>
      </c>
      <c r="E9" s="29">
        <v>0.9</v>
      </c>
      <c r="F9" s="28">
        <f t="shared" ref="F9:F17" si="0">+E9*D9</f>
        <v>9999.5759999999991</v>
      </c>
      <c r="G9" s="42"/>
    </row>
    <row r="10" spans="1:8" x14ac:dyDescent="0.25">
      <c r="A10" t="s">
        <v>38</v>
      </c>
      <c r="B10" s="28">
        <v>-170922</v>
      </c>
      <c r="C10" s="29">
        <v>-0.46259099999999997</v>
      </c>
      <c r="D10" s="28">
        <v>-170922</v>
      </c>
      <c r="E10" s="29">
        <v>0.9</v>
      </c>
      <c r="F10" s="28">
        <f t="shared" si="0"/>
        <v>-153829.80000000002</v>
      </c>
      <c r="G10" s="42"/>
    </row>
    <row r="11" spans="1:8" x14ac:dyDescent="0.25">
      <c r="A11" t="s">
        <v>28</v>
      </c>
      <c r="B11" s="28">
        <v>222385</v>
      </c>
      <c r="C11" s="29">
        <f t="shared" ref="C11:C17" si="1">(+D11-B11)/B11</f>
        <v>0</v>
      </c>
      <c r="D11" s="28">
        <v>222385</v>
      </c>
      <c r="E11" s="29">
        <v>1</v>
      </c>
      <c r="F11" s="28">
        <f t="shared" si="0"/>
        <v>222385</v>
      </c>
      <c r="G11" s="43"/>
      <c r="H11" s="28"/>
    </row>
    <row r="12" spans="1:8" x14ac:dyDescent="0.25">
      <c r="A12" t="s">
        <v>29</v>
      </c>
      <c r="B12" s="28">
        <f>222.39+4447.7</f>
        <v>4670.09</v>
      </c>
      <c r="C12" s="29">
        <f t="shared" si="1"/>
        <v>0</v>
      </c>
      <c r="D12" s="28">
        <f>222.39+4447.7</f>
        <v>4670.09</v>
      </c>
      <c r="E12" s="29">
        <v>1</v>
      </c>
      <c r="F12" s="28">
        <f t="shared" si="0"/>
        <v>4670.09</v>
      </c>
      <c r="G12" s="42"/>
    </row>
    <row r="13" spans="1:8" x14ac:dyDescent="0.25">
      <c r="A13" t="s">
        <v>30</v>
      </c>
      <c r="B13" s="28">
        <v>141588</v>
      </c>
      <c r="C13" s="29">
        <f t="shared" si="1"/>
        <v>0</v>
      </c>
      <c r="D13" s="28">
        <v>141588</v>
      </c>
      <c r="E13" s="29">
        <v>1</v>
      </c>
      <c r="F13" s="28">
        <f t="shared" si="0"/>
        <v>141588</v>
      </c>
    </row>
    <row r="14" spans="1:8" x14ac:dyDescent="0.25">
      <c r="A14" t="s">
        <v>35</v>
      </c>
      <c r="B14" s="28">
        <v>99000</v>
      </c>
      <c r="C14" s="29">
        <f t="shared" si="1"/>
        <v>0</v>
      </c>
      <c r="D14" s="28">
        <v>99000</v>
      </c>
      <c r="E14" s="29">
        <v>1</v>
      </c>
      <c r="F14" s="28">
        <f t="shared" si="0"/>
        <v>99000</v>
      </c>
    </row>
    <row r="15" spans="1:8" x14ac:dyDescent="0.25">
      <c r="A15" t="s">
        <v>31</v>
      </c>
      <c r="B15" s="28">
        <v>69465</v>
      </c>
      <c r="C15" s="29">
        <f t="shared" si="1"/>
        <v>-4.0308068811464167E-6</v>
      </c>
      <c r="D15" s="28">
        <v>69464.72</v>
      </c>
      <c r="E15" s="29">
        <v>1</v>
      </c>
      <c r="F15" s="28">
        <f t="shared" si="0"/>
        <v>69464.72</v>
      </c>
    </row>
    <row r="16" spans="1:8" x14ac:dyDescent="0.25">
      <c r="A16" t="s">
        <v>32</v>
      </c>
      <c r="B16" s="28">
        <v>22500</v>
      </c>
      <c r="C16" s="29">
        <f t="shared" si="1"/>
        <v>0</v>
      </c>
      <c r="D16" s="28">
        <v>22500</v>
      </c>
      <c r="E16" s="29">
        <v>1</v>
      </c>
      <c r="F16" s="28">
        <f t="shared" si="0"/>
        <v>22500</v>
      </c>
    </row>
    <row r="17" spans="1:7" x14ac:dyDescent="0.25">
      <c r="A17" t="s">
        <v>33</v>
      </c>
      <c r="B17" s="28">
        <v>110000</v>
      </c>
      <c r="C17" s="29">
        <f t="shared" si="1"/>
        <v>0</v>
      </c>
      <c r="D17" s="28">
        <v>110000</v>
      </c>
      <c r="E17" s="29">
        <v>1</v>
      </c>
      <c r="F17" s="28">
        <f t="shared" si="0"/>
        <v>110000</v>
      </c>
    </row>
    <row r="18" spans="1:7" x14ac:dyDescent="0.25">
      <c r="B18" s="28">
        <f>SUM(B8:B17)</f>
        <v>1209796.73</v>
      </c>
      <c r="E18" s="28"/>
      <c r="F18" s="28"/>
    </row>
    <row r="19" spans="1:7" ht="14.4" x14ac:dyDescent="0.3">
      <c r="B19" s="25" t="s">
        <v>48</v>
      </c>
      <c r="C19" s="25"/>
      <c r="D19" s="25"/>
      <c r="G19" s="31">
        <f>SUM(F8:F17)</f>
        <v>1155777.5859999999</v>
      </c>
    </row>
    <row r="20" spans="1:7" x14ac:dyDescent="0.25">
      <c r="B20" s="28"/>
      <c r="C20" s="28"/>
      <c r="D20" s="28"/>
    </row>
    <row r="23" spans="1:7" x14ac:dyDescent="0.25">
      <c r="A23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F22"/>
  <sheetViews>
    <sheetView workbookViewId="0">
      <selection activeCell="J11" sqref="J11"/>
    </sheetView>
  </sheetViews>
  <sheetFormatPr defaultRowHeight="13.2" x14ac:dyDescent="0.25"/>
  <cols>
    <col min="1" max="1" width="38.5546875" customWidth="1"/>
    <col min="2" max="2" width="10.109375" bestFit="1" customWidth="1"/>
    <col min="3" max="4" width="10.109375" customWidth="1"/>
    <col min="5" max="5" width="17.109375" customWidth="1"/>
    <col min="6" max="6" width="10" customWidth="1"/>
  </cols>
  <sheetData>
    <row r="4" spans="1:6" ht="14.4" x14ac:dyDescent="0.3">
      <c r="B4" s="25" t="s">
        <v>34</v>
      </c>
      <c r="C4" s="25"/>
      <c r="D4" s="25"/>
    </row>
    <row r="7" spans="1:6" ht="43.2" x14ac:dyDescent="0.3">
      <c r="A7" s="26" t="s">
        <v>11</v>
      </c>
      <c r="B7" s="26" t="s">
        <v>4</v>
      </c>
      <c r="C7" s="27" t="s">
        <v>12</v>
      </c>
      <c r="D7" s="27" t="s">
        <v>13</v>
      </c>
      <c r="E7" s="25" t="s">
        <v>14</v>
      </c>
    </row>
    <row r="8" spans="1:6" x14ac:dyDescent="0.25">
      <c r="A8" t="s">
        <v>15</v>
      </c>
      <c r="B8" s="28">
        <v>700000</v>
      </c>
      <c r="C8" s="29">
        <v>0.9</v>
      </c>
      <c r="D8" s="28">
        <f>+C8*B8</f>
        <v>630000</v>
      </c>
      <c r="E8" s="30"/>
      <c r="F8" s="28"/>
    </row>
    <row r="9" spans="1:6" x14ac:dyDescent="0.25">
      <c r="A9" t="s">
        <v>16</v>
      </c>
      <c r="B9" s="28">
        <v>8020.99</v>
      </c>
      <c r="C9" s="29">
        <v>0.9</v>
      </c>
      <c r="D9" s="28">
        <f t="shared" ref="D9:D17" si="0">+C9*B9</f>
        <v>7218.8909999999996</v>
      </c>
    </row>
    <row r="10" spans="1:6" x14ac:dyDescent="0.25">
      <c r="A10" t="s">
        <v>27</v>
      </c>
      <c r="B10" s="28">
        <v>-318048</v>
      </c>
      <c r="C10" s="29">
        <v>0.95</v>
      </c>
      <c r="D10" s="28">
        <f t="shared" si="0"/>
        <v>-302145.59999999998</v>
      </c>
    </row>
    <row r="11" spans="1:6" x14ac:dyDescent="0.25">
      <c r="A11" t="s">
        <v>28</v>
      </c>
      <c r="B11" s="28">
        <v>222385</v>
      </c>
      <c r="C11" s="29">
        <v>1</v>
      </c>
      <c r="D11" s="28">
        <f t="shared" si="0"/>
        <v>222385</v>
      </c>
      <c r="E11" s="30"/>
      <c r="F11" s="28"/>
    </row>
    <row r="12" spans="1:6" x14ac:dyDescent="0.25">
      <c r="A12" t="s">
        <v>29</v>
      </c>
      <c r="B12" s="28">
        <v>4670.09</v>
      </c>
      <c r="C12" s="29">
        <v>1</v>
      </c>
      <c r="D12" s="28">
        <f t="shared" si="0"/>
        <v>4670.09</v>
      </c>
    </row>
    <row r="13" spans="1:6" x14ac:dyDescent="0.25">
      <c r="A13" t="s">
        <v>30</v>
      </c>
      <c r="B13" s="28">
        <v>141588</v>
      </c>
      <c r="C13" s="29">
        <v>1</v>
      </c>
      <c r="D13" s="28">
        <f t="shared" si="0"/>
        <v>141588</v>
      </c>
    </row>
    <row r="14" spans="1:6" x14ac:dyDescent="0.25">
      <c r="A14" t="s">
        <v>35</v>
      </c>
      <c r="B14" s="28">
        <v>99000</v>
      </c>
      <c r="C14" s="29">
        <v>1</v>
      </c>
      <c r="D14" s="28">
        <f t="shared" si="0"/>
        <v>99000</v>
      </c>
    </row>
    <row r="15" spans="1:6" x14ac:dyDescent="0.25">
      <c r="A15" t="s">
        <v>31</v>
      </c>
      <c r="B15" s="28">
        <v>69465</v>
      </c>
      <c r="C15" s="29">
        <v>1</v>
      </c>
      <c r="D15" s="28">
        <f t="shared" si="0"/>
        <v>69465</v>
      </c>
    </row>
    <row r="16" spans="1:6" x14ac:dyDescent="0.25">
      <c r="A16" t="s">
        <v>32</v>
      </c>
      <c r="B16" s="28">
        <v>22500</v>
      </c>
      <c r="C16" s="29">
        <v>1</v>
      </c>
      <c r="D16" s="28">
        <f t="shared" si="0"/>
        <v>22500</v>
      </c>
    </row>
    <row r="17" spans="1:5" x14ac:dyDescent="0.25">
      <c r="A17" t="s">
        <v>33</v>
      </c>
      <c r="B17" s="28">
        <v>110000</v>
      </c>
      <c r="C17" s="29">
        <v>1</v>
      </c>
      <c r="D17" s="28">
        <f t="shared" si="0"/>
        <v>110000</v>
      </c>
    </row>
    <row r="18" spans="1:5" x14ac:dyDescent="0.25">
      <c r="B18" s="28">
        <f>SUM(B8:B17)</f>
        <v>1059581.08</v>
      </c>
      <c r="C18" s="29"/>
      <c r="D18" s="28"/>
    </row>
    <row r="19" spans="1:5" x14ac:dyDescent="0.25">
      <c r="B19" s="28"/>
      <c r="C19" s="29"/>
      <c r="D19" s="28"/>
    </row>
    <row r="20" spans="1:5" x14ac:dyDescent="0.25">
      <c r="C20" s="28"/>
      <c r="D20" s="28"/>
    </row>
    <row r="21" spans="1:5" ht="14.4" x14ac:dyDescent="0.3">
      <c r="B21" s="25" t="s">
        <v>36</v>
      </c>
      <c r="E21" s="31">
        <f>SUM(D8:D17)</f>
        <v>1004681.3809999999</v>
      </c>
    </row>
    <row r="22" spans="1:5" x14ac:dyDescent="0.25">
      <c r="B22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5:P48"/>
  <sheetViews>
    <sheetView topLeftCell="B16" workbookViewId="0">
      <selection activeCell="J11" sqref="J11"/>
    </sheetView>
  </sheetViews>
  <sheetFormatPr defaultRowHeight="13.2" x14ac:dyDescent="0.25"/>
  <cols>
    <col min="1" max="1" width="19.88671875" bestFit="1" customWidth="1"/>
    <col min="2" max="3" width="19.88671875" customWidth="1"/>
    <col min="4" max="5" width="20" customWidth="1"/>
    <col min="6" max="6" width="16.88671875" customWidth="1"/>
    <col min="7" max="7" width="21.88671875" customWidth="1"/>
    <col min="8" max="8" width="17.88671875" customWidth="1"/>
    <col min="9" max="10" width="19.88671875" customWidth="1"/>
    <col min="11" max="11" width="19.6640625" customWidth="1"/>
    <col min="12" max="12" width="17.5546875" bestFit="1" customWidth="1"/>
    <col min="13" max="13" width="15.33203125" customWidth="1"/>
    <col min="14" max="14" width="17.33203125" customWidth="1"/>
    <col min="15" max="16" width="10.109375" bestFit="1" customWidth="1"/>
  </cols>
  <sheetData>
    <row r="5" spans="1:14" x14ac:dyDescent="0.25">
      <c r="D5" s="32" t="s">
        <v>90</v>
      </c>
      <c r="E5" s="32"/>
    </row>
    <row r="7" spans="1:14" ht="53.25" customHeight="1" x14ac:dyDescent="0.25">
      <c r="A7" s="59" t="s">
        <v>83</v>
      </c>
      <c r="B7" s="59" t="s">
        <v>87</v>
      </c>
      <c r="C7" s="60" t="s">
        <v>88</v>
      </c>
      <c r="D7" s="60" t="s">
        <v>86</v>
      </c>
      <c r="E7" s="60" t="s">
        <v>92</v>
      </c>
      <c r="F7" s="59" t="s">
        <v>84</v>
      </c>
      <c r="G7" s="59" t="s">
        <v>87</v>
      </c>
      <c r="H7" s="60" t="s">
        <v>85</v>
      </c>
      <c r="I7" s="60" t="s">
        <v>108</v>
      </c>
      <c r="J7" s="60" t="s">
        <v>92</v>
      </c>
      <c r="K7" s="60" t="s">
        <v>89</v>
      </c>
    </row>
    <row r="8" spans="1:14" x14ac:dyDescent="0.25">
      <c r="A8" s="36">
        <f>+'2012 Property Premium'!B24</f>
        <v>1525734.35</v>
      </c>
      <c r="B8" s="58">
        <v>0.99750000000000005</v>
      </c>
      <c r="C8" s="36">
        <f>+A8*B8</f>
        <v>1521920.0141250002</v>
      </c>
      <c r="D8" s="36">
        <f>(+C8*2/12)</f>
        <v>253653.33568750005</v>
      </c>
      <c r="E8" s="36">
        <v>0</v>
      </c>
      <c r="F8" s="36">
        <f>+'2013 Property Premium'!B24</f>
        <v>1499801.23</v>
      </c>
      <c r="G8" s="58">
        <v>0.99750000000000005</v>
      </c>
      <c r="H8" s="36">
        <f>+F8*G8</f>
        <v>1496051.7269250001</v>
      </c>
      <c r="I8" s="36">
        <f>(+H8*10)/12</f>
        <v>1246709.7724375001</v>
      </c>
      <c r="J8" s="36">
        <f>86+3797</f>
        <v>3883</v>
      </c>
      <c r="K8" s="61">
        <f>+D8-E8+I8-J8</f>
        <v>1496480.108125</v>
      </c>
      <c r="M8" s="94"/>
    </row>
    <row r="11" spans="1:14" x14ac:dyDescent="0.25">
      <c r="D11" s="32" t="s">
        <v>138</v>
      </c>
      <c r="E11" s="32"/>
    </row>
    <row r="13" spans="1:14" ht="52.8" x14ac:dyDescent="0.25">
      <c r="A13" s="59" t="s">
        <v>137</v>
      </c>
      <c r="B13" s="59" t="s">
        <v>87</v>
      </c>
      <c r="C13" s="60" t="s">
        <v>88</v>
      </c>
      <c r="D13" s="60" t="s">
        <v>139</v>
      </c>
      <c r="E13" s="60" t="s">
        <v>92</v>
      </c>
      <c r="F13" s="59" t="s">
        <v>140</v>
      </c>
      <c r="G13" s="60" t="s">
        <v>141</v>
      </c>
      <c r="H13" s="60" t="s">
        <v>142</v>
      </c>
      <c r="I13" s="59" t="s">
        <v>87</v>
      </c>
      <c r="J13" s="60" t="s">
        <v>143</v>
      </c>
      <c r="K13" s="60" t="s">
        <v>144</v>
      </c>
      <c r="L13" s="60" t="s">
        <v>145</v>
      </c>
      <c r="M13" s="60" t="s">
        <v>146</v>
      </c>
      <c r="N13" s="60" t="s">
        <v>147</v>
      </c>
    </row>
    <row r="14" spans="1:14" x14ac:dyDescent="0.25">
      <c r="A14" s="36">
        <f>+F8</f>
        <v>1499801.23</v>
      </c>
      <c r="B14" s="58">
        <v>0.99750000000000005</v>
      </c>
      <c r="C14" s="36">
        <f>+A14*B14</f>
        <v>1496051.7269250001</v>
      </c>
      <c r="D14" s="36">
        <f>(+C14*11)/12</f>
        <v>1371380.74968125</v>
      </c>
      <c r="E14" s="36">
        <v>0</v>
      </c>
      <c r="F14" s="36">
        <v>1822289.51</v>
      </c>
      <c r="G14" s="58">
        <v>0.19650000000000001</v>
      </c>
      <c r="H14" s="36">
        <f>+F14*G14</f>
        <v>358079.88871500001</v>
      </c>
      <c r="I14" s="58">
        <f>(1-G14)*0.9975</f>
        <v>0.80149124999999999</v>
      </c>
      <c r="J14" s="36">
        <f>+F14*I14</f>
        <v>1460549.0972317874</v>
      </c>
      <c r="K14" s="58">
        <f>(1-G14)*0.0025</f>
        <v>2.0087500000000001E-3</v>
      </c>
      <c r="L14" s="36">
        <f>+F14*K14</f>
        <v>3660.5240532125003</v>
      </c>
      <c r="M14" s="36">
        <f>+J14/12</f>
        <v>121712.42476931562</v>
      </c>
      <c r="N14" s="61">
        <f>+D14+M14</f>
        <v>1493093.1744505656</v>
      </c>
    </row>
    <row r="18" spans="1:16" x14ac:dyDescent="0.25">
      <c r="D18" s="32" t="s">
        <v>218</v>
      </c>
      <c r="E18" s="32"/>
    </row>
    <row r="20" spans="1:16" ht="92.4" x14ac:dyDescent="0.25">
      <c r="A20" s="59" t="s">
        <v>137</v>
      </c>
      <c r="B20" s="59" t="s">
        <v>87</v>
      </c>
      <c r="C20" s="60" t="s">
        <v>88</v>
      </c>
      <c r="D20" s="60" t="s">
        <v>219</v>
      </c>
      <c r="E20" s="60" t="s">
        <v>92</v>
      </c>
      <c r="F20" s="59" t="s">
        <v>140</v>
      </c>
      <c r="G20" s="60" t="s">
        <v>141</v>
      </c>
      <c r="H20" s="60" t="s">
        <v>142</v>
      </c>
      <c r="I20" s="59" t="s">
        <v>87</v>
      </c>
      <c r="J20" s="60" t="s">
        <v>143</v>
      </c>
      <c r="K20" s="60" t="s">
        <v>144</v>
      </c>
      <c r="L20" s="60" t="s">
        <v>145</v>
      </c>
      <c r="M20" s="60" t="s">
        <v>220</v>
      </c>
      <c r="N20" s="60" t="s">
        <v>92</v>
      </c>
      <c r="O20" s="60" t="s">
        <v>221</v>
      </c>
    </row>
    <row r="21" spans="1:16" x14ac:dyDescent="0.25">
      <c r="A21" s="36">
        <f>+A14</f>
        <v>1499801.23</v>
      </c>
      <c r="B21" s="58">
        <v>0.99750000000000005</v>
      </c>
      <c r="C21" s="36">
        <f>+A21*B21</f>
        <v>1496051.7269250001</v>
      </c>
      <c r="D21" s="36">
        <f>(+C21*2/12)</f>
        <v>249341.95448750001</v>
      </c>
      <c r="E21" s="36">
        <v>0</v>
      </c>
      <c r="F21" s="36">
        <f>+F14</f>
        <v>1822289.51</v>
      </c>
      <c r="G21" s="58">
        <v>0.19650000000000001</v>
      </c>
      <c r="H21" s="36">
        <f>+F21*G21</f>
        <v>358079.88871500001</v>
      </c>
      <c r="I21" s="58">
        <v>0.80149999999999999</v>
      </c>
      <c r="J21" s="36">
        <f>+F21*I21</f>
        <v>1460565.0422650001</v>
      </c>
      <c r="K21" s="58">
        <v>2E-3</v>
      </c>
      <c r="L21" s="36">
        <f>+F21*K21</f>
        <v>3644.5790200000001</v>
      </c>
      <c r="M21" s="36">
        <f>+J21*(10/12)</f>
        <v>1217137.5352208335</v>
      </c>
      <c r="N21" s="36">
        <v>3436</v>
      </c>
      <c r="O21" s="61">
        <f>+D21-E21+M21-N21</f>
        <v>1463043.4897083335</v>
      </c>
    </row>
    <row r="27" spans="1:16" x14ac:dyDescent="0.25">
      <c r="D27" s="32" t="s">
        <v>152</v>
      </c>
      <c r="E27" s="32"/>
    </row>
    <row r="29" spans="1:16" ht="79.2" x14ac:dyDescent="0.25">
      <c r="A29" s="59" t="s">
        <v>151</v>
      </c>
      <c r="B29" s="59" t="s">
        <v>87</v>
      </c>
      <c r="C29" s="60" t="s">
        <v>88</v>
      </c>
      <c r="D29" s="60" t="s">
        <v>174</v>
      </c>
      <c r="E29" s="60" t="s">
        <v>92</v>
      </c>
      <c r="F29" s="59" t="s">
        <v>153</v>
      </c>
      <c r="G29" s="60" t="s">
        <v>141</v>
      </c>
      <c r="H29" s="60" t="s">
        <v>142</v>
      </c>
      <c r="I29" s="59" t="s">
        <v>87</v>
      </c>
      <c r="J29" s="60" t="s">
        <v>143</v>
      </c>
      <c r="K29" s="60" t="s">
        <v>144</v>
      </c>
      <c r="L29" s="60" t="s">
        <v>145</v>
      </c>
      <c r="M29" s="60" t="s">
        <v>175</v>
      </c>
      <c r="N29" s="60" t="s">
        <v>154</v>
      </c>
      <c r="O29" s="60" t="s">
        <v>154</v>
      </c>
      <c r="P29" s="60" t="s">
        <v>214</v>
      </c>
    </row>
    <row r="30" spans="1:16" x14ac:dyDescent="0.25">
      <c r="A30" s="36">
        <f>+F14</f>
        <v>1822289.51</v>
      </c>
      <c r="B30" s="58">
        <f>+I14</f>
        <v>0.80149124999999999</v>
      </c>
      <c r="C30" s="36">
        <f>+A30*B30</f>
        <v>1460549.0972317874</v>
      </c>
      <c r="D30" s="36">
        <f>(+C30*11)/12</f>
        <v>1338836.6724624718</v>
      </c>
      <c r="E30" s="36">
        <v>0</v>
      </c>
      <c r="F30" s="36">
        <f>+'2016 Prop Prem Est'!B20+'2016 Prop Prem Est'!B25</f>
        <v>1753089</v>
      </c>
      <c r="G30" s="58">
        <v>0.2</v>
      </c>
      <c r="H30" s="36">
        <f>+'2016 Prop Prem Est'!B25</f>
        <v>350617.8</v>
      </c>
      <c r="I30" s="58">
        <f>(1-G30)*0.9975</f>
        <v>0.79800000000000004</v>
      </c>
      <c r="J30" s="36">
        <f>+F30*I30</f>
        <v>1398965.0220000001</v>
      </c>
      <c r="K30" s="58">
        <f>(1-G30)*0.0025</f>
        <v>2E-3</v>
      </c>
      <c r="L30" s="36">
        <f>+F30*K30</f>
        <v>3506.1779999999999</v>
      </c>
      <c r="M30" s="36">
        <f>+J30/12</f>
        <v>116580.41850000001</v>
      </c>
      <c r="N30" s="61">
        <f>+D30+M30</f>
        <v>1455417.0909624717</v>
      </c>
      <c r="O30" s="36">
        <v>3436</v>
      </c>
      <c r="P30" s="101">
        <f>+N30-O30</f>
        <v>1451981.0909624717</v>
      </c>
    </row>
    <row r="33" spans="1:16" x14ac:dyDescent="0.25">
      <c r="D33" s="32" t="s">
        <v>155</v>
      </c>
      <c r="E33" s="32"/>
    </row>
    <row r="35" spans="1:16" ht="79.2" x14ac:dyDescent="0.25">
      <c r="A35" s="59" t="s">
        <v>156</v>
      </c>
      <c r="B35" s="59" t="s">
        <v>87</v>
      </c>
      <c r="C35" s="60" t="s">
        <v>88</v>
      </c>
      <c r="D35" s="60" t="s">
        <v>176</v>
      </c>
      <c r="E35" s="60" t="s">
        <v>92</v>
      </c>
      <c r="F35" s="59" t="s">
        <v>93</v>
      </c>
      <c r="G35" s="60" t="s">
        <v>141</v>
      </c>
      <c r="H35" s="60" t="s">
        <v>142</v>
      </c>
      <c r="I35" s="59" t="s">
        <v>87</v>
      </c>
      <c r="J35" s="60" t="s">
        <v>143</v>
      </c>
      <c r="K35" s="60" t="s">
        <v>144</v>
      </c>
      <c r="L35" s="60" t="s">
        <v>145</v>
      </c>
      <c r="M35" s="60" t="s">
        <v>177</v>
      </c>
      <c r="N35" s="60" t="s">
        <v>172</v>
      </c>
      <c r="O35" s="60" t="s">
        <v>172</v>
      </c>
      <c r="P35" s="60" t="s">
        <v>215</v>
      </c>
    </row>
    <row r="36" spans="1:16" x14ac:dyDescent="0.25">
      <c r="A36" s="36">
        <f>+F30</f>
        <v>1753089</v>
      </c>
      <c r="B36" s="58">
        <f>+I30</f>
        <v>0.79800000000000004</v>
      </c>
      <c r="C36" s="36">
        <f>+A36*B36</f>
        <v>1398965.0220000001</v>
      </c>
      <c r="D36" s="36">
        <f>(+C36*11)/12</f>
        <v>1282384.6035</v>
      </c>
      <c r="E36" s="36">
        <v>0</v>
      </c>
      <c r="F36" s="36">
        <f>+'2017 Prop Prem Est'!B23+'2017 Prop Prem Est'!B31</f>
        <v>1748706.2775000001</v>
      </c>
      <c r="G36" s="58">
        <f>+H36/F36</f>
        <v>0.19999999999999998</v>
      </c>
      <c r="H36" s="36">
        <f>+'2017 Prop Prem Est'!B31</f>
        <v>349741.25549999997</v>
      </c>
      <c r="I36" s="58">
        <f>(1-G36)*0.9975</f>
        <v>0.79800000000000004</v>
      </c>
      <c r="J36" s="36">
        <f>+F36*I36</f>
        <v>1395467.6094450001</v>
      </c>
      <c r="K36" s="58">
        <f>(1-G36)*0.0025</f>
        <v>2E-3</v>
      </c>
      <c r="L36" s="36">
        <f>+F36*K36</f>
        <v>3497.4125550000003</v>
      </c>
      <c r="M36" s="36">
        <f>+J36/12</f>
        <v>116288.96745375001</v>
      </c>
      <c r="N36" s="61">
        <f>+D36+M36</f>
        <v>1398673.5709537501</v>
      </c>
      <c r="O36" s="36">
        <v>2024</v>
      </c>
      <c r="P36" s="36">
        <f>+N36-O36</f>
        <v>1396649.5709537501</v>
      </c>
    </row>
    <row r="39" spans="1:16" x14ac:dyDescent="0.25">
      <c r="D39" s="32" t="s">
        <v>171</v>
      </c>
      <c r="E39" s="32"/>
    </row>
    <row r="41" spans="1:16" ht="79.2" x14ac:dyDescent="0.25">
      <c r="A41" s="59" t="s">
        <v>162</v>
      </c>
      <c r="B41" s="59" t="s">
        <v>87</v>
      </c>
      <c r="C41" s="60" t="s">
        <v>88</v>
      </c>
      <c r="D41" s="60" t="s">
        <v>178</v>
      </c>
      <c r="E41" s="60" t="s">
        <v>92</v>
      </c>
      <c r="F41" s="59" t="s">
        <v>107</v>
      </c>
      <c r="G41" s="60" t="s">
        <v>141</v>
      </c>
      <c r="H41" s="60" t="s">
        <v>142</v>
      </c>
      <c r="I41" s="59" t="s">
        <v>87</v>
      </c>
      <c r="J41" s="60" t="s">
        <v>143</v>
      </c>
      <c r="K41" s="60" t="s">
        <v>144</v>
      </c>
      <c r="L41" s="60" t="s">
        <v>145</v>
      </c>
      <c r="M41" s="60" t="s">
        <v>179</v>
      </c>
      <c r="N41" s="60" t="s">
        <v>173</v>
      </c>
      <c r="O41" s="60" t="s">
        <v>173</v>
      </c>
      <c r="P41" s="60" t="s">
        <v>216</v>
      </c>
    </row>
    <row r="42" spans="1:16" x14ac:dyDescent="0.25">
      <c r="A42" s="36">
        <f>+F36</f>
        <v>1748706.2775000001</v>
      </c>
      <c r="B42" s="58">
        <f>+I36</f>
        <v>0.79800000000000004</v>
      </c>
      <c r="C42" s="36">
        <f>+A42*B42</f>
        <v>1395467.6094450001</v>
      </c>
      <c r="D42" s="36">
        <f>(+C42*11)/12</f>
        <v>1279178.64199125</v>
      </c>
      <c r="E42" s="36">
        <v>0</v>
      </c>
      <c r="F42" s="36">
        <f>+'2018 Prop Prem Est'!B25+'2018 Prop Prem Est'!B33</f>
        <v>1872864.4232025</v>
      </c>
      <c r="G42" s="58">
        <f>+H42/F42</f>
        <v>0.2</v>
      </c>
      <c r="H42" s="36">
        <f>+'2018 Prop Prem Est'!B33</f>
        <v>374572.88464050001</v>
      </c>
      <c r="I42" s="58">
        <f>(1-G42)*0.9975</f>
        <v>0.79800000000000004</v>
      </c>
      <c r="J42" s="36">
        <f>+F42*I42</f>
        <v>1494545.8097155951</v>
      </c>
      <c r="K42" s="58">
        <f>(1-G42)*0.0025</f>
        <v>2E-3</v>
      </c>
      <c r="L42" s="36">
        <f>+F42*K42</f>
        <v>3745.7288464050002</v>
      </c>
      <c r="M42" s="36">
        <f>+J42/12</f>
        <v>124545.48414296626</v>
      </c>
      <c r="N42" s="61">
        <f>+D42+M42</f>
        <v>1403724.1261342163</v>
      </c>
      <c r="O42" s="97"/>
      <c r="P42" s="97"/>
    </row>
    <row r="45" spans="1:16" x14ac:dyDescent="0.25">
      <c r="D45" s="32" t="s">
        <v>189</v>
      </c>
      <c r="E45" s="32"/>
    </row>
    <row r="47" spans="1:16" ht="79.2" x14ac:dyDescent="0.25">
      <c r="A47" s="59" t="s">
        <v>190</v>
      </c>
      <c r="B47" s="59" t="s">
        <v>87</v>
      </c>
      <c r="C47" s="60" t="s">
        <v>88</v>
      </c>
      <c r="D47" s="60" t="s">
        <v>193</v>
      </c>
      <c r="E47" s="60" t="s">
        <v>92</v>
      </c>
      <c r="F47" s="59" t="s">
        <v>191</v>
      </c>
      <c r="G47" s="60" t="s">
        <v>141</v>
      </c>
      <c r="H47" s="60" t="s">
        <v>142</v>
      </c>
      <c r="I47" s="59" t="s">
        <v>87</v>
      </c>
      <c r="J47" s="60" t="s">
        <v>143</v>
      </c>
      <c r="K47" s="60" t="s">
        <v>144</v>
      </c>
      <c r="L47" s="60" t="s">
        <v>145</v>
      </c>
      <c r="M47" s="60" t="s">
        <v>192</v>
      </c>
      <c r="N47" s="60" t="s">
        <v>194</v>
      </c>
      <c r="O47" s="60" t="s">
        <v>194</v>
      </c>
      <c r="P47" s="60" t="s">
        <v>217</v>
      </c>
    </row>
    <row r="48" spans="1:16" x14ac:dyDescent="0.25">
      <c r="A48" s="36">
        <f>+F42</f>
        <v>1872864.4232025</v>
      </c>
      <c r="B48" s="58">
        <f>+I42</f>
        <v>0.79800000000000004</v>
      </c>
      <c r="C48" s="36">
        <f>+A48*B48</f>
        <v>1494545.8097155951</v>
      </c>
      <c r="D48" s="36">
        <f>(+C48*11)/12</f>
        <v>1370000.3255726288</v>
      </c>
      <c r="E48" s="36">
        <v>0</v>
      </c>
      <c r="F48" s="36">
        <f>+'2019 Prop Prem Est'!B25+'2019 Prop Prem Est'!B33</f>
        <v>2005837.7972498778</v>
      </c>
      <c r="G48" s="58">
        <v>0.2</v>
      </c>
      <c r="H48" s="36">
        <f>+'2019 Prop Prem Est'!B33</f>
        <v>401167.55944997555</v>
      </c>
      <c r="I48" s="58">
        <f>(1-G48)*0.9975</f>
        <v>0.79800000000000004</v>
      </c>
      <c r="J48" s="36">
        <f>+F48*I48</f>
        <v>1600658.5622054026</v>
      </c>
      <c r="K48" s="58">
        <f>(1-G48)*0.0025</f>
        <v>2E-3</v>
      </c>
      <c r="L48" s="36">
        <f>+F48*K48</f>
        <v>4011.6755944997558</v>
      </c>
      <c r="M48" s="36">
        <f>+J48/12</f>
        <v>133388.21351711688</v>
      </c>
      <c r="N48" s="61">
        <f>+D48+M48</f>
        <v>1503388.5390897456</v>
      </c>
      <c r="O48" s="97"/>
      <c r="P48" s="9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3A22F2-543E-4AFE-B0CB-C707C379DF3C}"/>
</file>

<file path=customXml/itemProps2.xml><?xml version="1.0" encoding="utf-8"?>
<ds:datastoreItem xmlns:ds="http://schemas.openxmlformats.org/officeDocument/2006/customXml" ds:itemID="{9BD247F3-1556-4103-ABD2-A5D5E0C4BCD3}"/>
</file>

<file path=customXml/itemProps3.xml><?xml version="1.0" encoding="utf-8"?>
<ds:datastoreItem xmlns:ds="http://schemas.openxmlformats.org/officeDocument/2006/customXml" ds:itemID="{B74D57DD-E968-4686-AEEE-CC07AE71DF9F}"/>
</file>

<file path=customXml/itemProps4.xml><?xml version="1.0" encoding="utf-8"?>
<ds:datastoreItem xmlns:ds="http://schemas.openxmlformats.org/officeDocument/2006/customXml" ds:itemID="{6E8DF7D0-EC72-4957-87BA-9ECA55191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MR-DO-1</vt:lpstr>
      <vt:lpstr>2015-18 GL Est</vt:lpstr>
      <vt:lpstr>2014 GL Invoiced</vt:lpstr>
      <vt:lpstr>2013 GL Actual</vt:lpstr>
      <vt:lpstr>2018 D&amp;O Est</vt:lpstr>
      <vt:lpstr>2014 D&amp;O Invoiced</vt:lpstr>
      <vt:lpstr>2013 D&amp;O Invoiced</vt:lpstr>
      <vt:lpstr>2014-18  Prop Calcs for IA-2</vt:lpstr>
      <vt:lpstr>2012 Property Premium</vt:lpstr>
      <vt:lpstr>2013 Property Premium</vt:lpstr>
      <vt:lpstr>2015 Prop Prem Est</vt:lpstr>
      <vt:lpstr>2016 Prop Prem Est</vt:lpstr>
      <vt:lpstr>2017 Prop Prem Est</vt:lpstr>
      <vt:lpstr>2018 Prop Prem Est</vt:lpstr>
      <vt:lpstr>2019 Prop Prem Est</vt:lpstr>
      <vt:lpstr>'MR-DO-1'!Print_Area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Stevens</dc:creator>
  <cp:lastModifiedBy>gzhkw6</cp:lastModifiedBy>
  <cp:lastPrinted>2019-01-23T01:31:42Z</cp:lastPrinted>
  <dcterms:created xsi:type="dcterms:W3CDTF">2008-12-05T16:47:08Z</dcterms:created>
  <dcterms:modified xsi:type="dcterms:W3CDTF">2019-01-23T01:31:50Z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