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8\Final Report\10.2018\"/>
    </mc:Choice>
  </mc:AlternateContent>
  <bookViews>
    <workbookView xWindow="-15" yWindow="4530" windowWidth="12120" windowHeight="3300" tabRatio="796" firstSheet="3" activeTab="4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r:id="rId4"/>
    <sheet name="WA Summary " sheetId="10" r:id="rId5"/>
    <sheet name="WA Monthly" sheetId="6" r:id="rId6"/>
    <sheet name="WA RRC" sheetId="24" r:id="rId7"/>
    <sheet name="ID Rec Adjustment" sheetId="25" state="hidden" r:id="rId8"/>
    <sheet name="Notes" sheetId="19" state="hidden" r:id="rId9"/>
    <sheet name="Our Focus" sheetId="21" state="hidden" r:id="rId10"/>
    <sheet name="RRC Instructions" sheetId="22" state="hidden" r:id="rId11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9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Monthly'!$A$1:$R$137</definedName>
    <definedName name="_xlnm.Print_Area" localSheetId="6">'WA RRC'!$A$1:$N$15</definedName>
    <definedName name="_xlnm.Print_Area" localSheetId="4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AQ63" i="7" s="1"/>
  <c r="M15" i="6"/>
  <c r="N15" i="6"/>
  <c r="O15" i="6"/>
  <c r="P15" i="6"/>
  <c r="E16" i="6"/>
  <c r="F16" i="6"/>
  <c r="G16" i="6"/>
  <c r="H16" i="6"/>
  <c r="I16" i="6"/>
  <c r="J16" i="6"/>
  <c r="K16" i="6"/>
  <c r="L16" i="6"/>
  <c r="AQ62" i="7" s="1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D36" i="6"/>
  <c r="L11" i="24"/>
  <c r="L13" i="24"/>
  <c r="L15" i="24"/>
  <c r="L19" i="24"/>
  <c r="N12" i="24" l="1"/>
  <c r="D22" i="10"/>
  <c r="D21" i="10"/>
  <c r="D20" i="10"/>
  <c r="D19" i="10"/>
  <c r="D18" i="10"/>
  <c r="D17" i="10"/>
  <c r="D16" i="10"/>
  <c r="D15" i="10"/>
  <c r="J9" i="24"/>
  <c r="I13" i="24"/>
  <c r="I15" i="24" s="1"/>
  <c r="I19" i="24" s="1"/>
  <c r="I20" i="24" s="1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O70" i="6"/>
  <c r="P69" i="6"/>
  <c r="O69" i="6"/>
  <c r="M30" i="10" l="1"/>
  <c r="AQ19" i="7" s="1"/>
  <c r="AS19" i="7" s="1"/>
  <c r="C20" i="24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 l="1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L70" i="6"/>
  <c r="AQ52" i="7"/>
  <c r="AS52" i="7" s="1"/>
  <c r="AT52" i="7" s="1"/>
  <c r="H70" i="6"/>
  <c r="P62" i="6"/>
  <c r="Q8" i="10" s="1"/>
  <c r="L69" i="6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K70" i="6"/>
  <c r="G70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P137" i="6"/>
  <c r="AQ64" i="7"/>
  <c r="I7" i="10"/>
  <c r="H40" i="6"/>
  <c r="M7" i="10"/>
  <c r="L40" i="6"/>
  <c r="Q7" i="10"/>
  <c r="P40" i="6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23" i="6"/>
  <c r="N135" i="6"/>
  <c r="N137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C5" i="7" l="1"/>
  <c r="C6" i="7"/>
  <c r="C11" i="7"/>
  <c r="B11" i="7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C7" i="7" l="1"/>
  <c r="K15" i="21"/>
  <c r="O15" i="2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 s="1"/>
  <c r="P28" i="10" s="1"/>
  <c r="P31" i="10" s="1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 s="1"/>
  <c r="BP4" i="7"/>
  <c r="BN16" i="7"/>
  <c r="D135" i="6"/>
  <c r="F25" i="10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6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BD4" i="7"/>
  <c r="BB16" i="7"/>
  <c r="D15" i="21" l="1"/>
  <c r="D26" i="21" s="1"/>
  <c r="R81" i="6"/>
  <c r="F15" i="21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16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H16" i="7" l="1"/>
  <c r="F18" i="7"/>
  <c r="B16" i="7"/>
  <c r="D16" i="7" s="1"/>
  <c r="D4" i="7"/>
  <c r="D24" i="10"/>
  <c r="F26" i="10"/>
  <c r="F28" i="10" l="1"/>
  <c r="D26" i="10"/>
  <c r="H18" i="7"/>
  <c r="H20" i="7" s="1"/>
  <c r="B18" i="7"/>
  <c r="D18" i="7" s="1"/>
  <c r="D28" i="10" l="1"/>
  <c r="F31" i="10"/>
  <c r="D31" i="10" l="1"/>
  <c r="F33" i="10"/>
  <c r="G33" i="10" l="1"/>
  <c r="F34" i="10"/>
  <c r="F35" i="10"/>
  <c r="F36" i="10"/>
  <c r="F38" i="10"/>
  <c r="F39" i="10" s="1"/>
  <c r="F40" i="10" s="1"/>
  <c r="F41" i="10"/>
  <c r="F37" i="10" l="1"/>
  <c r="H33" i="10"/>
  <c r="G34" i="10"/>
  <c r="G35" i="10"/>
  <c r="G36" i="10"/>
  <c r="G38" i="10"/>
  <c r="G39" i="10" s="1"/>
  <c r="G40" i="10" s="1"/>
  <c r="G41" i="10"/>
  <c r="I33" i="10" l="1"/>
  <c r="H35" i="10"/>
  <c r="H34" i="10"/>
  <c r="H36" i="10"/>
  <c r="H38" i="10"/>
  <c r="H39" i="10" s="1"/>
  <c r="H40" i="10" s="1"/>
  <c r="H41" i="10"/>
  <c r="G37" i="10"/>
  <c r="I34" i="10"/>
  <c r="I36" i="10"/>
  <c r="I35" i="10"/>
  <c r="I38" i="10"/>
  <c r="I39" i="10" s="1"/>
  <c r="I40" i="10" s="1"/>
  <c r="I41" i="10"/>
  <c r="J33" i="10"/>
  <c r="I37" i="10" l="1"/>
  <c r="H37" i="10"/>
  <c r="J34" i="10"/>
  <c r="J35" i="10"/>
  <c r="J36" i="10"/>
  <c r="J38" i="10"/>
  <c r="J39" i="10" s="1"/>
  <c r="J40" i="10" s="1"/>
  <c r="J41" i="10"/>
  <c r="K33" i="10"/>
  <c r="L33" i="10" s="1"/>
  <c r="L34" i="10" l="1"/>
  <c r="L36" i="10"/>
  <c r="L35" i="10"/>
  <c r="L38" i="10"/>
  <c r="L41" i="10"/>
  <c r="M33" i="10"/>
  <c r="J37" i="10"/>
  <c r="K35" i="10"/>
  <c r="K36" i="10"/>
  <c r="K34" i="10"/>
  <c r="K37" i="10" s="1"/>
  <c r="K38" i="10"/>
  <c r="K39" i="10" s="1"/>
  <c r="K40" i="10" s="1"/>
  <c r="K41" i="10"/>
  <c r="M35" i="10" l="1"/>
  <c r="M36" i="10"/>
  <c r="M34" i="10"/>
  <c r="M37" i="10" s="1"/>
  <c r="M38" i="10"/>
  <c r="M39" i="10" s="1"/>
  <c r="M40" i="10" s="1"/>
  <c r="M41" i="10"/>
  <c r="N33" i="10"/>
  <c r="L39" i="10"/>
  <c r="L40" i="10" s="1"/>
  <c r="L37" i="10"/>
  <c r="N34" i="10" l="1"/>
  <c r="N36" i="10"/>
  <c r="N35" i="10"/>
  <c r="N37" i="10" s="1"/>
  <c r="N38" i="10"/>
  <c r="N39" i="10" s="1"/>
  <c r="N40" i="10" s="1"/>
  <c r="N41" i="10"/>
  <c r="O33" i="10"/>
  <c r="P33" i="10" l="1"/>
  <c r="Q33" i="10" s="1"/>
  <c r="O35" i="10"/>
  <c r="O36" i="10"/>
  <c r="O34" i="10"/>
  <c r="O37" i="10" s="1"/>
  <c r="O38" i="10"/>
  <c r="O39" i="10" s="1"/>
  <c r="O40" i="10" s="1"/>
  <c r="D40" i="10" s="1"/>
  <c r="O41" i="10"/>
  <c r="Q35" i="10" l="1"/>
  <c r="Q34" i="10"/>
  <c r="Q37" i="10" s="1"/>
  <c r="Q38" i="10"/>
  <c r="Q36" i="10"/>
  <c r="Q41" i="10"/>
  <c r="P34" i="10"/>
  <c r="P37" i="10" s="1"/>
  <c r="P38" i="10"/>
  <c r="P39" i="10" s="1"/>
  <c r="P40" i="10" s="1"/>
  <c r="P36" i="10"/>
  <c r="P35" i="10"/>
  <c r="P41" i="10"/>
  <c r="Q39" i="10" l="1"/>
  <c r="Q40" i="10" s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<sst xmlns="http://schemas.openxmlformats.org/spreadsheetml/2006/main" count="728" uniqueCount="399">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</sst>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39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8" fillId="0" borderId="1" xfId="0" applyNumberFormat="1" applyFont="1" applyBorder="1" applyAlignment="1">
      <alignment horizontal="center"/>
    </xf>
    <xf numFmtId="5" fontId="35" fillId="11" borderId="0" xfId="6" applyNumberFormat="1" applyFont="1" applyFill="1" applyBorder="1"/>
    <xf numFmtId="5" fontId="35" fillId="11" borderId="0" xfId="3" applyNumberFormat="1" applyFont="1" applyFill="1" applyBorder="1"/>
    <xf numFmtId="5" fontId="35" fillId="11" borderId="0" xfId="0" applyNumberFormat="1" applyFont="1" applyFill="1" applyBorder="1"/>
    <xf numFmtId="10" fontId="35" fillId="11" borderId="0" xfId="18" applyNumberFormat="1" applyFont="1" applyFill="1" applyBorder="1"/>
    <xf numFmtId="5" fontId="35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39" fillId="0" borderId="0" xfId="0" applyNumberFormat="1" applyFont="1" applyFill="1" applyBorder="1"/>
    <xf numFmtId="5" fontId="0" fillId="0" borderId="0" xfId="0" applyNumberFormat="1" applyFill="1" applyBorder="1"/>
    <xf numFmtId="166" fontId="22" fillId="0" borderId="0" xfId="0" applyNumberFormat="1" applyFont="1" applyFill="1" applyAlignment="1">
      <alignment vertical="center"/>
    </xf>
    <xf numFmtId="166" fontId="44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0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2" fillId="15" borderId="0" xfId="3" applyFont="1" applyFill="1"/>
    <xf numFmtId="43" fontId="32" fillId="14" borderId="0" xfId="3" applyFont="1" applyFill="1"/>
    <xf numFmtId="43" fontId="32" fillId="13" borderId="0" xfId="3" applyFont="1" applyFill="1"/>
    <xf numFmtId="43" fontId="0" fillId="0" borderId="0" xfId="3" applyFont="1" applyFill="1"/>
    <xf numFmtId="43" fontId="32" fillId="16" borderId="0" xfId="3" applyFont="1" applyFill="1"/>
    <xf numFmtId="43" fontId="32" fillId="13" borderId="0" xfId="3" applyFont="1" applyFill="1"/>
    <xf numFmtId="0" fontId="3" fillId="0" borderId="0" xfId="0" applyFont="1" applyAlignment="1">
      <alignment vertical="center" wrapText="1"/>
    </xf>
    <xf numFmtId="166" fontId="32" fillId="13" borderId="0" xfId="3" applyNumberFormat="1" applyFont="1" applyFill="1"/>
    <xf numFmtId="165" fontId="0" fillId="13" borderId="0" xfId="0" applyNumberFormat="1" applyFill="1"/>
    <xf numFmtId="43" fontId="32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3" fillId="0" borderId="0" xfId="3" applyFont="1" applyFill="1"/>
    <xf numFmtId="43" fontId="34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9" fillId="13" borderId="0" xfId="3" applyFont="1" applyFill="1"/>
    <xf numFmtId="43" fontId="1" fillId="0" borderId="0" xfId="3" applyFont="1" applyFill="1"/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0" fillId="0" borderId="0" xfId="3" applyNumberFormat="1" applyFont="1" applyFill="1" applyBorder="1"/>
    <xf numFmtId="5" fontId="40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0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2" fillId="0" borderId="0" xfId="0" applyFont="1" applyFill="1"/>
    <xf numFmtId="0" fontId="25" fillId="0" borderId="7" xfId="0" applyFont="1" applyFill="1" applyBorder="1" applyAlignment="1">
      <alignment vertical="center"/>
    </xf>
    <xf numFmtId="17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0" xfId="0" quotePrefix="1" applyFont="1" applyFill="1" applyAlignment="1">
      <alignment horizontal="left" vertical="center"/>
    </xf>
    <xf numFmtId="166" fontId="26" fillId="0" borderId="0" xfId="3" applyNumberFormat="1" applyFont="1" applyFill="1" applyAlignment="1">
      <alignment vertical="center"/>
    </xf>
    <xf numFmtId="166" fontId="22" fillId="0" borderId="0" xfId="0" applyNumberFormat="1" applyFont="1" applyFill="1"/>
    <xf numFmtId="0" fontId="22" fillId="0" borderId="0" xfId="0" applyFont="1" applyFill="1" applyAlignment="1">
      <alignment vertical="center"/>
    </xf>
    <xf numFmtId="166" fontId="22" fillId="0" borderId="0" xfId="3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2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3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4" fillId="0" borderId="7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2" fillId="0" borderId="0" xfId="3" applyNumberFormat="1" applyFont="1" applyFill="1" applyBorder="1"/>
    <xf numFmtId="0" fontId="48" fillId="0" borderId="0" xfId="0" applyFont="1" applyFill="1" applyBorder="1" applyAlignment="1">
      <alignment horizontal="center"/>
    </xf>
    <xf numFmtId="0" fontId="27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0" fillId="0" borderId="0" xfId="3" applyNumberFormat="1" applyFont="1" applyFill="1"/>
    <xf numFmtId="5" fontId="40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0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1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1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0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0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0" fontId="43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49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5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8" fillId="0" borderId="7" xfId="0" applyNumberFormat="1" applyFont="1" applyBorder="1" applyAlignment="1">
      <alignment horizontal="center" wrapText="1"/>
    </xf>
    <xf numFmtId="5" fontId="35" fillId="11" borderId="8" xfId="6" applyNumberFormat="1" applyFont="1" applyFill="1" applyBorder="1" applyAlignment="1">
      <alignment horizontal="right"/>
    </xf>
    <xf numFmtId="5" fontId="35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0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44525004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6606233</v>
      </c>
      <c r="AM4" s="10">
        <f>'WA Summary '!L15</f>
        <v>7367141</v>
      </c>
      <c r="AN4" s="10">
        <f t="shared" ref="AN4:AN12" si="5">AL4-AM4</f>
        <v>-760908</v>
      </c>
      <c r="AO4" s="10"/>
      <c r="AP4" s="74"/>
      <c r="AQ4" s="10">
        <f>'WA Summary '!M6</f>
        <v>15747984</v>
      </c>
      <c r="AR4" s="10">
        <f>'WA Summary '!M15</f>
        <v>8064916</v>
      </c>
      <c r="AS4" s="10">
        <f t="shared" ref="AS4:AS12" si="6">AQ4-AR4</f>
        <v>7683068</v>
      </c>
      <c r="AT4" s="10"/>
      <c r="AV4" s="74"/>
      <c r="AW4" s="10">
        <f>'WA Summary '!N6</f>
        <v>9527787</v>
      </c>
      <c r="AX4" s="10">
        <f>'WA Summary '!N15</f>
        <v>7448796</v>
      </c>
      <c r="AY4" s="10">
        <f t="shared" ref="AY4:AY12" si="7">AW4-AX4</f>
        <v>2078991</v>
      </c>
      <c r="BB4" s="10">
        <f>'WA Summary '!O6</f>
        <v>6852563</v>
      </c>
      <c r="BC4" s="10">
        <f>'WA Summary '!O15</f>
        <v>7999787</v>
      </c>
      <c r="BD4" s="10">
        <f t="shared" ref="BD4:BD12" si="8">BB4-BC4</f>
        <v>-1147224</v>
      </c>
      <c r="BG4" s="74"/>
      <c r="BH4" s="10">
        <f>'WA Summary '!P6</f>
        <v>31525</v>
      </c>
      <c r="BI4" s="10">
        <f>'WA Summary '!P15</f>
        <v>11642227</v>
      </c>
      <c r="BJ4" s="10">
        <f t="shared" ref="BJ4:BJ12" si="9">BH4-BI4</f>
        <v>-11610702</v>
      </c>
      <c r="BL4" s="74"/>
      <c r="BM4" s="74"/>
      <c r="BN4" s="10">
        <f>'WA Summary '!Q6</f>
        <v>32573</v>
      </c>
      <c r="BO4" s="10">
        <f>'WA Summary '!Q15</f>
        <v>12112599</v>
      </c>
      <c r="BP4" s="10">
        <f t="shared" ref="BP4:BP12" si="10">BN4-BO4</f>
        <v>-12080026</v>
      </c>
    </row>
    <row r="5" spans="1:79">
      <c r="A5" t="str">
        <f>'WA Summary '!B8</f>
        <v>501 Thermal Fuel</v>
      </c>
      <c r="B5" s="20">
        <f>F5+S5+W5+AA5+AE5+AI5+AL5+AV5+AZ5+BG5+BK5</f>
        <v>7766104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1521108</v>
      </c>
      <c r="AM5" s="10">
        <f>'WA Summary '!L17</f>
        <v>2219592</v>
      </c>
      <c r="AN5" s="10">
        <f t="shared" si="5"/>
        <v>-698484</v>
      </c>
      <c r="AO5" s="10"/>
      <c r="AP5" s="74"/>
      <c r="AQ5" s="10">
        <f>'WA Summary '!M8</f>
        <v>2093856</v>
      </c>
      <c r="AR5" s="10">
        <f>'WA Summary '!M17</f>
        <v>2478125</v>
      </c>
      <c r="AS5" s="10">
        <f t="shared" si="6"/>
        <v>-384269</v>
      </c>
      <c r="AT5" s="10"/>
      <c r="AV5" s="74"/>
      <c r="AW5" s="10">
        <f>'WA Summary '!N8</f>
        <v>2657404</v>
      </c>
      <c r="AX5" s="10">
        <f>'WA Summary '!N17</f>
        <v>2578207</v>
      </c>
      <c r="AY5" s="10">
        <f t="shared" si="7"/>
        <v>79197</v>
      </c>
      <c r="BB5" s="10">
        <f>'WA Summary '!O8</f>
        <v>3019827</v>
      </c>
      <c r="BC5" s="10">
        <f>'WA Summary '!O17</f>
        <v>2592987</v>
      </c>
      <c r="BD5" s="10">
        <f t="shared" si="8"/>
        <v>426840</v>
      </c>
      <c r="BG5" s="74"/>
      <c r="BH5" s="10">
        <f>'WA Summary '!P8</f>
        <v>0</v>
      </c>
      <c r="BI5" s="10">
        <f>'WA Summary '!P17</f>
        <v>2566833</v>
      </c>
      <c r="BJ5" s="10">
        <f t="shared" si="9"/>
        <v>-2566833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21041136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7376855</v>
      </c>
      <c r="AM6" s="10">
        <f>'WA Summary '!L18</f>
        <v>5653252</v>
      </c>
      <c r="AN6" s="10">
        <f t="shared" si="5"/>
        <v>1723603</v>
      </c>
      <c r="AO6" s="10"/>
      <c r="AP6" s="74"/>
      <c r="AQ6" s="10">
        <f>'WA Summary '!M9</f>
        <v>7709363</v>
      </c>
      <c r="AR6" s="10">
        <f>'WA Summary '!M18</f>
        <v>7341418</v>
      </c>
      <c r="AS6" s="10">
        <f t="shared" si="6"/>
        <v>367945</v>
      </c>
      <c r="AT6" s="10"/>
      <c r="AV6" s="74"/>
      <c r="AW6" s="10">
        <f>'WA Summary '!N9</f>
        <v>5836996</v>
      </c>
      <c r="AX6" s="10">
        <f>'WA Summary '!N18</f>
        <v>6493558</v>
      </c>
      <c r="AY6" s="10">
        <f t="shared" si="7"/>
        <v>-656562</v>
      </c>
      <c r="BB6" s="10">
        <f>'WA Summary '!O9</f>
        <v>4507069</v>
      </c>
      <c r="BC6" s="10">
        <f>'WA Summary '!O18</f>
        <v>6103470</v>
      </c>
      <c r="BD6" s="10">
        <f t="shared" si="8"/>
        <v>-1596401</v>
      </c>
      <c r="BG6" s="74"/>
      <c r="BH6" s="10">
        <f>'WA Summary '!P9</f>
        <v>0</v>
      </c>
      <c r="BI6" s="10">
        <f>'WA Summary '!P18</f>
        <v>6561954</v>
      </c>
      <c r="BJ6" s="10">
        <f t="shared" si="9"/>
        <v>-6561954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-39919096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-2002952</v>
      </c>
      <c r="AM7" s="10">
        <f>'WA Summary '!L16</f>
        <v>-5325599</v>
      </c>
      <c r="AN7" s="10">
        <f t="shared" si="5"/>
        <v>3322647</v>
      </c>
      <c r="AO7" s="10"/>
      <c r="AP7" s="74"/>
      <c r="AQ7" s="10">
        <f>'WA Summary '!M7</f>
        <v>-8712018</v>
      </c>
      <c r="AR7" s="10">
        <f>'WA Summary '!M16</f>
        <v>-3215251</v>
      </c>
      <c r="AS7" s="10">
        <f t="shared" si="6"/>
        <v>-5496767</v>
      </c>
      <c r="AT7" s="10"/>
      <c r="AV7" s="74"/>
      <c r="AW7" s="10">
        <f>'WA Summary '!N7</f>
        <v>-4747226</v>
      </c>
      <c r="AX7" s="10">
        <f>'WA Summary '!N16</f>
        <v>-4016772</v>
      </c>
      <c r="AY7" s="10">
        <f t="shared" si="7"/>
        <v>-730454</v>
      </c>
      <c r="BB7" s="10">
        <f>'WA Summary '!O7</f>
        <v>-412907</v>
      </c>
      <c r="BC7" s="10">
        <f>'WA Summary '!O16</f>
        <v>-3304259</v>
      </c>
      <c r="BD7" s="10">
        <f t="shared" si="8"/>
        <v>2891352</v>
      </c>
      <c r="BG7" s="74"/>
      <c r="BH7" s="10">
        <f>'WA Summary '!P7</f>
        <v>0</v>
      </c>
      <c r="BI7" s="10">
        <f>'WA Summary '!P16</f>
        <v>-4468025</v>
      </c>
      <c r="BJ7" s="10">
        <f t="shared" si="9"/>
        <v>4468025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1431372</v>
      </c>
      <c r="AM8" s="10">
        <f>'WA Summary '!L20</f>
        <v>1452951</v>
      </c>
      <c r="AN8" s="10">
        <f t="shared" si="5"/>
        <v>-21579</v>
      </c>
      <c r="AO8" s="10"/>
      <c r="AP8" s="74"/>
      <c r="AQ8" s="11">
        <f>'WA Summary '!M11</f>
        <v>1471267</v>
      </c>
      <c r="AR8" s="10">
        <f>'WA Summary '!M20</f>
        <v>1443202</v>
      </c>
      <c r="AS8" s="10">
        <f t="shared" si="6"/>
        <v>28065</v>
      </c>
      <c r="AT8" s="10"/>
      <c r="AV8" s="74"/>
      <c r="AW8" s="10">
        <f>'WA Summary '!N11</f>
        <v>1507466</v>
      </c>
      <c r="AX8" s="10">
        <f>'WA Summary '!N20</f>
        <v>1567441</v>
      </c>
      <c r="AY8" s="10">
        <f t="shared" si="7"/>
        <v>-59975</v>
      </c>
      <c r="BB8" s="10">
        <f>'WA Summary '!O11</f>
        <v>1419923</v>
      </c>
      <c r="BC8" s="10">
        <f>'WA Summary '!O20</f>
        <v>1406861</v>
      </c>
      <c r="BD8" s="10">
        <f t="shared" si="8"/>
        <v>13062</v>
      </c>
      <c r="BG8" s="74"/>
      <c r="BH8" s="10">
        <f>'WA Summary '!P11</f>
        <v>0</v>
      </c>
      <c r="BI8" s="10">
        <f>'WA Summary '!P20</f>
        <v>1416449</v>
      </c>
      <c r="BJ8" s="10">
        <f t="shared" si="9"/>
        <v>-1416449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-1890542</v>
      </c>
      <c r="AM9" s="10">
        <f>'WA Summary '!L19</f>
        <v>-1450378</v>
      </c>
      <c r="AN9" s="10">
        <f t="shared" si="5"/>
        <v>-440164</v>
      </c>
      <c r="AO9" s="10"/>
      <c r="AP9" s="74"/>
      <c r="AQ9" s="11">
        <f>'WA Summary '!M10</f>
        <v>-1741991</v>
      </c>
      <c r="AR9" s="10">
        <f>'WA Summary '!M19</f>
        <v>-1346819</v>
      </c>
      <c r="AS9" s="10">
        <f t="shared" si="6"/>
        <v>-395172</v>
      </c>
      <c r="AT9" s="10"/>
      <c r="AV9" s="74"/>
      <c r="AW9" s="10">
        <f>'WA Summary '!N10</f>
        <v>-1215513</v>
      </c>
      <c r="AX9" s="10">
        <f>'WA Summary '!N19</f>
        <v>-1372213</v>
      </c>
      <c r="AY9" s="10">
        <f t="shared" si="7"/>
        <v>156700</v>
      </c>
      <c r="BB9" s="10">
        <f>'WA Summary '!O10</f>
        <v>-1310638</v>
      </c>
      <c r="BC9" s="10">
        <f>'WA Summary '!O19</f>
        <v>-1319316</v>
      </c>
      <c r="BD9" s="10">
        <f t="shared" si="8"/>
        <v>8678</v>
      </c>
      <c r="BG9" s="74"/>
      <c r="BH9" s="10">
        <f>'WA Summary '!P10</f>
        <v>0</v>
      </c>
      <c r="BI9" s="10">
        <f>'WA Summary '!P19</f>
        <v>-1257650</v>
      </c>
      <c r="BJ9" s="10">
        <f t="shared" si="9"/>
        <v>1257650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>
        <f>'WA Summary '!L25</f>
        <v>-1394230</v>
      </c>
      <c r="AM10" s="10"/>
      <c r="AN10" s="10">
        <f t="shared" si="5"/>
        <v>-1394230</v>
      </c>
      <c r="AO10" s="10">
        <f>AN10*0.6583</f>
        <v>-917822</v>
      </c>
      <c r="AP10" s="74"/>
      <c r="AQ10" s="11">
        <f>'WA Summary '!M25</f>
        <v>-912263</v>
      </c>
      <c r="AR10" s="10"/>
      <c r="AS10" s="10">
        <f t="shared" si="6"/>
        <v>-912263</v>
      </c>
      <c r="AT10" s="10"/>
      <c r="AV10" s="74"/>
      <c r="AW10" s="10">
        <f>'WA Summary '!N25</f>
        <v>-1264473</v>
      </c>
      <c r="AX10" s="10"/>
      <c r="AY10" s="10">
        <f t="shared" si="7"/>
        <v>-1264473</v>
      </c>
      <c r="BB10" s="10">
        <f>'WA Summary '!O25</f>
        <v>-1560414</v>
      </c>
      <c r="BC10" s="10"/>
      <c r="BD10" s="10">
        <f t="shared" si="8"/>
        <v>-1560414</v>
      </c>
      <c r="BG10" s="74"/>
      <c r="BH10" s="10">
        <f>'WA Summary '!P25</f>
        <v>0</v>
      </c>
      <c r="BI10" s="10"/>
      <c r="BJ10" s="10">
        <f t="shared" si="9"/>
        <v>0</v>
      </c>
      <c r="BL10" s="74"/>
      <c r="BM10" s="74"/>
      <c r="BN10" s="10">
        <f>'WA Summary '!Q25</f>
        <v>0</v>
      </c>
      <c r="BO10" s="10"/>
      <c r="BP10" s="10">
        <f t="shared" si="10"/>
        <v>0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240577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42517</v>
      </c>
      <c r="AM11" s="11">
        <f>'WA Summary '!L21</f>
        <v>34250</v>
      </c>
      <c r="AN11" s="10">
        <f t="shared" si="5"/>
        <v>8267</v>
      </c>
      <c r="AO11" s="10"/>
      <c r="AP11" s="74"/>
      <c r="AQ11" s="11">
        <f>'WA Summary '!M12</f>
        <v>54638</v>
      </c>
      <c r="AR11" s="11">
        <f>'WA Summary '!M21</f>
        <v>34250</v>
      </c>
      <c r="AS11" s="10">
        <f>AQ10-AR11</f>
        <v>-946513</v>
      </c>
      <c r="AT11" s="10"/>
      <c r="AV11" s="74"/>
      <c r="AW11" s="11">
        <f>'WA Summary '!N12</f>
        <v>67390</v>
      </c>
      <c r="AX11" s="11">
        <f>'WA Summary '!N21</f>
        <v>34250</v>
      </c>
      <c r="AY11" s="10">
        <f t="shared" si="7"/>
        <v>33140</v>
      </c>
      <c r="BB11" s="11">
        <f>'WA Summary '!O12</f>
        <v>40351</v>
      </c>
      <c r="BC11" s="11">
        <f>'WA Summary '!O21</f>
        <v>34250</v>
      </c>
      <c r="BD11" s="10">
        <f t="shared" si="8"/>
        <v>6101</v>
      </c>
      <c r="BG11" s="74"/>
      <c r="BH11" s="11">
        <f>'WA Summary '!P12</f>
        <v>0</v>
      </c>
      <c r="BI11" s="11">
        <f>'WA Summary '!P21</f>
        <v>34250</v>
      </c>
      <c r="BJ11" s="10">
        <f t="shared" si="9"/>
        <v>-34250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>
        <f>'WA Summary '!M30</f>
        <v>-583396</v>
      </c>
      <c r="AR19" s="74"/>
      <c r="AS19" s="11">
        <f>AQ19-AR19</f>
        <v>-583396</v>
      </c>
      <c r="AT19" s="11"/>
      <c r="AV19" s="74"/>
      <c r="AW19" s="74">
        <f>'WA Summary '!N30</f>
        <v>668223</v>
      </c>
      <c r="AX19" s="74"/>
      <c r="AY19" s="11">
        <f>AW19-AX19</f>
        <v>668223</v>
      </c>
      <c r="BB19" s="74">
        <f>'WA Summary '!O30</f>
        <v>-48064</v>
      </c>
      <c r="BC19" s="74"/>
      <c r="BD19" s="11">
        <f>BB19-BC19</f>
        <v>-48064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714293</v>
      </c>
      <c r="AR51" s="74">
        <v>968779</v>
      </c>
      <c r="AS51" s="10">
        <f>AQ51-AR51</f>
        <v>-254486</v>
      </c>
      <c r="AT51" s="10">
        <f t="shared" ref="AT51:AT59" si="52">AS51*0.6583</f>
        <v>-167528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1275042</v>
      </c>
      <c r="AR52" s="74">
        <v>1351971</v>
      </c>
      <c r="AS52" s="10">
        <f t="shared" ref="AS52:AS61" si="66">AQ52-AR52</f>
        <v>-76929</v>
      </c>
      <c r="AT52" s="10">
        <f t="shared" si="52"/>
        <v>-50642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104521</v>
      </c>
      <c r="AR53" s="74">
        <v>21500</v>
      </c>
      <c r="AS53" s="10">
        <f t="shared" si="66"/>
        <v>83021</v>
      </c>
      <c r="AT53" s="10">
        <f t="shared" si="52"/>
        <v>54653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61499</v>
      </c>
      <c r="AR55" s="74">
        <v>54496</v>
      </c>
      <c r="AS55" s="10">
        <f t="shared" si="66"/>
        <v>7003</v>
      </c>
      <c r="AT55" s="10">
        <f t="shared" si="52"/>
        <v>4610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186465</v>
      </c>
      <c r="AR56" s="74">
        <v>104090</v>
      </c>
      <c r="AS56" s="10">
        <f t="shared" si="66"/>
        <v>82375</v>
      </c>
      <c r="AT56" s="10">
        <f t="shared" si="52"/>
        <v>54227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904957</v>
      </c>
      <c r="AR57" s="74">
        <v>107456</v>
      </c>
      <c r="AS57" s="10">
        <f t="shared" si="66"/>
        <v>797501</v>
      </c>
      <c r="AT57" s="10">
        <f t="shared" si="52"/>
        <v>524995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1328</v>
      </c>
      <c r="AR58" s="74">
        <v>14925</v>
      </c>
      <c r="AS58" s="10">
        <f t="shared" si="66"/>
        <v>-13597</v>
      </c>
      <c r="AT58" s="10">
        <f t="shared" si="52"/>
        <v>-8951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71032</v>
      </c>
      <c r="AR61" s="74">
        <v>44300</v>
      </c>
      <c r="AS61" s="10">
        <f t="shared" si="66"/>
        <v>26732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61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124688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25950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1025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153740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618454</v>
      </c>
      <c r="AR73" s="74">
        <v>338463</v>
      </c>
      <c r="AS73" s="10">
        <f>AQ73-AR73</f>
        <v>279991</v>
      </c>
      <c r="AT73" s="10"/>
      <c r="AU73" s="10">
        <f>AS73*0.6583</f>
        <v>184318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O27" sqref="O27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4" t="s">
        <v>362</v>
      </c>
      <c r="P1" s="71"/>
      <c r="Q1" s="233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4" t="s">
        <v>396</v>
      </c>
      <c r="P2" s="71"/>
    </row>
    <row r="3" spans="1:17">
      <c r="A3" s="2" t="s">
        <v>369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>
      <c r="B4" s="266" t="s">
        <v>13</v>
      </c>
      <c r="C4" s="272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>
      <c r="A5" s="298">
        <f>'WA Summary '!A15</f>
        <v>9</v>
      </c>
      <c r="B5" s="51" t="s">
        <v>3</v>
      </c>
      <c r="C5" s="287">
        <v>12127251.189999999</v>
      </c>
      <c r="D5" s="288">
        <v>11591984.93</v>
      </c>
      <c r="E5" s="288">
        <v>10660400.51</v>
      </c>
      <c r="F5" s="288">
        <v>10031882.140000001</v>
      </c>
      <c r="G5" s="293">
        <v>7204007.3300000001</v>
      </c>
      <c r="H5" s="293">
        <v>6832768.3600000003</v>
      </c>
      <c r="I5" s="293">
        <v>7367141.2599999998</v>
      </c>
      <c r="J5" s="293">
        <v>8064915.6600000001</v>
      </c>
      <c r="K5" s="293">
        <v>7448796.1699999999</v>
      </c>
      <c r="L5" s="293">
        <v>7999787.46</v>
      </c>
      <c r="M5" s="293">
        <v>11642227.199999999</v>
      </c>
      <c r="N5" s="293">
        <v>12112599.34</v>
      </c>
    </row>
    <row r="6" spans="1:17">
      <c r="A6" s="298">
        <f>'WA Summary '!A16</f>
        <v>10</v>
      </c>
      <c r="B6" s="51" t="s">
        <v>6</v>
      </c>
      <c r="C6" s="287">
        <v>-7154528.2800000003</v>
      </c>
      <c r="D6" s="288">
        <v>-6331582.5999999996</v>
      </c>
      <c r="E6" s="288">
        <v>-7373144.1100000003</v>
      </c>
      <c r="F6" s="288">
        <v>-9451450.3200000003</v>
      </c>
      <c r="G6" s="293">
        <v>-3992970.36</v>
      </c>
      <c r="H6" s="293">
        <v>-3782255.59</v>
      </c>
      <c r="I6" s="293">
        <v>-5325599.3499999996</v>
      </c>
      <c r="J6" s="293">
        <v>-3215250.64</v>
      </c>
      <c r="K6" s="293">
        <v>-4016772.06</v>
      </c>
      <c r="L6" s="293">
        <v>-3304258.83</v>
      </c>
      <c r="M6" s="293">
        <v>-4468024.59</v>
      </c>
      <c r="N6" s="293">
        <v>-6320022.7000000002</v>
      </c>
    </row>
    <row r="7" spans="1:17">
      <c r="A7" s="298">
        <f>'WA Summary '!A17</f>
        <v>11</v>
      </c>
      <c r="B7" s="51" t="s">
        <v>4</v>
      </c>
      <c r="C7" s="287">
        <v>2667343.1</v>
      </c>
      <c r="D7" s="288">
        <v>2503516.62</v>
      </c>
      <c r="E7" s="288">
        <v>2494287.48</v>
      </c>
      <c r="F7" s="288">
        <v>2179004.29</v>
      </c>
      <c r="G7" s="293">
        <v>1551263.17</v>
      </c>
      <c r="H7" s="293">
        <v>1358750.78</v>
      </c>
      <c r="I7" s="293">
        <v>2219592.2200000002</v>
      </c>
      <c r="J7" s="293">
        <v>2478124.66</v>
      </c>
      <c r="K7" s="293">
        <v>2578207.41</v>
      </c>
      <c r="L7" s="293">
        <v>2592986.98</v>
      </c>
      <c r="M7" s="293">
        <v>2566832.77</v>
      </c>
      <c r="N7" s="293">
        <v>2703883.73</v>
      </c>
    </row>
    <row r="8" spans="1:17">
      <c r="A8" s="298">
        <f>'WA Summary '!A18</f>
        <v>12</v>
      </c>
      <c r="B8" s="51" t="s">
        <v>5</v>
      </c>
      <c r="C8" s="287">
        <v>8481667.5999999996</v>
      </c>
      <c r="D8" s="288">
        <v>7698691.8099999996</v>
      </c>
      <c r="E8" s="288">
        <v>7292619.1900000004</v>
      </c>
      <c r="F8" s="288">
        <v>5265751.1399999997</v>
      </c>
      <c r="G8" s="293">
        <v>1426182.27</v>
      </c>
      <c r="H8" s="293">
        <v>1698326.77</v>
      </c>
      <c r="I8" s="293">
        <v>5653252.0099999998</v>
      </c>
      <c r="J8" s="293">
        <v>7341418.3399999999</v>
      </c>
      <c r="K8" s="293">
        <v>6493557.54</v>
      </c>
      <c r="L8" s="293">
        <v>6103470.4500000002</v>
      </c>
      <c r="M8" s="293">
        <v>6561954.4000000004</v>
      </c>
      <c r="N8" s="293">
        <v>8397560.5700000003</v>
      </c>
    </row>
    <row r="9" spans="1:17">
      <c r="A9" s="298">
        <f>'WA Summary '!A19</f>
        <v>13</v>
      </c>
      <c r="B9" s="51" t="s">
        <v>139</v>
      </c>
      <c r="C9" s="287">
        <v>-1306341.6000000001</v>
      </c>
      <c r="D9" s="288">
        <v>-1061936.3799999999</v>
      </c>
      <c r="E9" s="288">
        <v>-1137644.24</v>
      </c>
      <c r="F9" s="288">
        <v>-1166933.42</v>
      </c>
      <c r="G9" s="293">
        <v>-1253487.52</v>
      </c>
      <c r="H9" s="293">
        <v>-1398528.7</v>
      </c>
      <c r="I9" s="293">
        <v>-1450378.42</v>
      </c>
      <c r="J9" s="293">
        <v>-1346818.86</v>
      </c>
      <c r="K9" s="293">
        <v>-1372212.68</v>
      </c>
      <c r="L9" s="293">
        <v>-1319316.33</v>
      </c>
      <c r="M9" s="293">
        <v>-1257650.3400000001</v>
      </c>
      <c r="N9" s="293">
        <v>-1191496.26</v>
      </c>
    </row>
    <row r="10" spans="1:17">
      <c r="A10" s="298">
        <f>'WA Summary '!A20</f>
        <v>14</v>
      </c>
      <c r="B10" s="51" t="s">
        <v>106</v>
      </c>
      <c r="C10" s="287">
        <v>1503378.97</v>
      </c>
      <c r="D10" s="288">
        <v>1417561.5</v>
      </c>
      <c r="E10" s="288">
        <v>1557827.18</v>
      </c>
      <c r="F10" s="288">
        <v>1347286.17</v>
      </c>
      <c r="G10" s="293">
        <v>1394142.28</v>
      </c>
      <c r="H10" s="293">
        <v>1391307.66</v>
      </c>
      <c r="I10" s="293">
        <v>1452951.07</v>
      </c>
      <c r="J10" s="293">
        <v>1443201.71</v>
      </c>
      <c r="K10" s="293">
        <v>1567440.78</v>
      </c>
      <c r="L10" s="293">
        <v>1406860.96</v>
      </c>
      <c r="M10" s="293">
        <v>1416448.5</v>
      </c>
      <c r="N10" s="293">
        <v>1446134.29</v>
      </c>
    </row>
    <row r="11" spans="1:17">
      <c r="A11" s="298">
        <f>'WA Summary '!A21</f>
        <v>15</v>
      </c>
      <c r="B11" s="51" t="s">
        <v>107</v>
      </c>
      <c r="C11" s="287">
        <v>57500</v>
      </c>
      <c r="D11" s="288">
        <v>57500</v>
      </c>
      <c r="E11" s="288">
        <v>57500</v>
      </c>
      <c r="F11" s="288">
        <v>57500</v>
      </c>
      <c r="G11" s="293">
        <v>34250</v>
      </c>
      <c r="H11" s="293">
        <v>34250</v>
      </c>
      <c r="I11" s="293">
        <v>34250</v>
      </c>
      <c r="J11" s="293">
        <v>34250</v>
      </c>
      <c r="K11" s="293">
        <v>34250</v>
      </c>
      <c r="L11" s="293">
        <v>34250</v>
      </c>
      <c r="M11" s="293">
        <v>34250</v>
      </c>
      <c r="N11" s="293">
        <v>34250</v>
      </c>
    </row>
    <row r="12" spans="1:17">
      <c r="A12" s="299">
        <f>'WA Summary '!A22</f>
        <v>16</v>
      </c>
      <c r="B12" s="26" t="s">
        <v>378</v>
      </c>
      <c r="C12" s="288">
        <v>-125000</v>
      </c>
      <c r="D12" s="288">
        <v>-125000</v>
      </c>
      <c r="E12" s="288">
        <v>-125000</v>
      </c>
      <c r="F12" s="288">
        <v>-125000</v>
      </c>
      <c r="G12" s="293">
        <v>-165583.32999999999</v>
      </c>
      <c r="H12" s="293">
        <v>-165583.32999999999</v>
      </c>
      <c r="I12" s="293">
        <v>-165583.32999999999</v>
      </c>
      <c r="J12" s="293">
        <v>-165583.32999999999</v>
      </c>
      <c r="K12" s="293">
        <v>-165583.32999999999</v>
      </c>
      <c r="L12" s="293">
        <v>-165583.32999999999</v>
      </c>
      <c r="M12" s="293">
        <v>-165583.32999999999</v>
      </c>
      <c r="N12" s="293">
        <v>-165583.32999999999</v>
      </c>
      <c r="O12" s="138" t="s">
        <v>397</v>
      </c>
    </row>
    <row r="13" spans="1:17">
      <c r="A13" s="299">
        <f>'WA Summary '!A27</f>
        <v>21</v>
      </c>
      <c r="B13" s="51" t="s">
        <v>218</v>
      </c>
      <c r="C13" s="283">
        <v>0.64710000000000001</v>
      </c>
      <c r="D13" s="283">
        <v>0.64710000000000001</v>
      </c>
      <c r="E13" s="283">
        <v>0.64710000000000001</v>
      </c>
      <c r="F13" s="283">
        <v>0.64710000000000001</v>
      </c>
      <c r="G13" s="295">
        <v>0.6573</v>
      </c>
      <c r="H13" s="295">
        <v>0.6573</v>
      </c>
      <c r="I13" s="295">
        <v>0.6573</v>
      </c>
      <c r="J13" s="295">
        <v>0.6573</v>
      </c>
      <c r="K13" s="295">
        <v>0.6573</v>
      </c>
      <c r="L13" s="295">
        <v>0.6573</v>
      </c>
      <c r="M13" s="295">
        <v>0.6573</v>
      </c>
      <c r="N13" s="295">
        <v>0.6573</v>
      </c>
    </row>
    <row r="14" spans="1:17"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6" spans="1:17"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16">
      <c r="A17" s="2" t="s">
        <v>361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</row>
    <row r="18" spans="1:16">
      <c r="B18" s="140" t="s">
        <v>14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6">
      <c r="A19" s="1">
        <f>'WA Monthly'!A8</f>
        <v>2</v>
      </c>
      <c r="B19" s="51" t="s">
        <v>258</v>
      </c>
      <c r="C19" s="270">
        <f>1216938-490204.75</f>
        <v>726733.25</v>
      </c>
      <c r="D19" s="270">
        <v>1216938</v>
      </c>
      <c r="E19" s="270">
        <v>1216938</v>
      </c>
      <c r="F19" s="270">
        <v>1216938</v>
      </c>
      <c r="G19" s="270">
        <v>1216938</v>
      </c>
      <c r="H19" s="270">
        <v>1216938</v>
      </c>
      <c r="I19" s="270">
        <v>1216938</v>
      </c>
      <c r="J19" s="270">
        <v>1216938</v>
      </c>
      <c r="K19" s="270">
        <v>1216938</v>
      </c>
      <c r="L19" s="270">
        <v>1216938</v>
      </c>
      <c r="M19" s="270"/>
      <c r="N19" s="270"/>
    </row>
    <row r="20" spans="1:16">
      <c r="A20" s="1">
        <f>'WA Monthly'!A9</f>
        <v>3</v>
      </c>
      <c r="B20" s="51" t="s">
        <v>259</v>
      </c>
      <c r="C20" s="270">
        <v>67916.61</v>
      </c>
      <c r="D20" s="270">
        <v>81240.899999999994</v>
      </c>
      <c r="E20" s="270">
        <v>93497.61</v>
      </c>
      <c r="F20" s="270">
        <v>152573.94</v>
      </c>
      <c r="G20" s="270">
        <v>162896.94</v>
      </c>
      <c r="H20" s="270">
        <v>158630.1</v>
      </c>
      <c r="I20" s="270">
        <v>58962.21</v>
      </c>
      <c r="J20" s="270">
        <v>55517.73</v>
      </c>
      <c r="K20" s="270">
        <v>50510</v>
      </c>
      <c r="L20" s="301">
        <v>66662.399999999994</v>
      </c>
      <c r="M20" s="270"/>
      <c r="N20" s="270"/>
    </row>
    <row r="21" spans="1:16">
      <c r="A21" s="1">
        <f>'WA Monthly'!A10</f>
        <v>4</v>
      </c>
      <c r="B21" s="51" t="s">
        <v>262</v>
      </c>
      <c r="C21" s="270">
        <v>153740</v>
      </c>
      <c r="D21" s="270">
        <v>153740</v>
      </c>
      <c r="E21" s="270">
        <v>153740</v>
      </c>
      <c r="F21" s="270">
        <v>153740</v>
      </c>
      <c r="G21" s="270">
        <v>153740</v>
      </c>
      <c r="H21" s="270">
        <v>153740</v>
      </c>
      <c r="I21" s="270">
        <v>153740</v>
      </c>
      <c r="J21" s="270">
        <v>153740</v>
      </c>
      <c r="K21" s="270">
        <v>165218</v>
      </c>
      <c r="L21" s="270">
        <v>165218</v>
      </c>
      <c r="M21" s="270"/>
      <c r="N21" s="270"/>
    </row>
    <row r="22" spans="1:16">
      <c r="A22" s="1">
        <f>'WA Monthly'!A11</f>
        <v>5</v>
      </c>
      <c r="B22" s="51" t="s">
        <v>260</v>
      </c>
      <c r="C22" s="270">
        <v>618453.74</v>
      </c>
      <c r="D22" s="270">
        <v>618453.74</v>
      </c>
      <c r="E22" s="270">
        <v>618453.74</v>
      </c>
      <c r="F22" s="270">
        <f>618453.74+172659.84</f>
        <v>791113.58</v>
      </c>
      <c r="G22" s="270">
        <v>618453.74</v>
      </c>
      <c r="H22" s="270">
        <v>618453.74</v>
      </c>
      <c r="I22" s="270">
        <v>618453.74</v>
      </c>
      <c r="J22" s="270">
        <v>618453.74</v>
      </c>
      <c r="K22" s="270">
        <v>618453.74</v>
      </c>
      <c r="L22" s="270">
        <v>618453.74</v>
      </c>
      <c r="M22" s="270"/>
      <c r="N22" s="270"/>
    </row>
    <row r="23" spans="1:16" ht="14.25">
      <c r="A23" s="1">
        <f>'WA Monthly'!A12</f>
        <v>6</v>
      </c>
      <c r="B23" s="26" t="s">
        <v>261</v>
      </c>
      <c r="C23" s="270">
        <v>3744666.75</v>
      </c>
      <c r="D23" s="270">
        <v>3383687</v>
      </c>
      <c r="E23" s="270">
        <v>1848736.5</v>
      </c>
      <c r="F23" s="270">
        <v>1790509.9</v>
      </c>
      <c r="G23" s="273"/>
      <c r="H23" s="273"/>
      <c r="I23" s="273"/>
      <c r="J23" s="273"/>
      <c r="K23" s="273"/>
      <c r="L23" s="273"/>
      <c r="M23" s="270"/>
      <c r="N23" s="270"/>
    </row>
    <row r="24" spans="1:16">
      <c r="A24" s="1">
        <f>'WA Monthly'!A13</f>
        <v>7</v>
      </c>
      <c r="B24" t="s">
        <v>255</v>
      </c>
      <c r="C24" s="270">
        <v>1067.57</v>
      </c>
      <c r="D24" s="270">
        <v>885.41</v>
      </c>
      <c r="E24" s="270">
        <v>1088.27</v>
      </c>
      <c r="F24" s="270">
        <v>716.55</v>
      </c>
      <c r="G24" s="270">
        <v>691.35</v>
      </c>
      <c r="H24" s="270">
        <v>443.81</v>
      </c>
      <c r="I24" s="270">
        <v>537.20000000000005</v>
      </c>
      <c r="J24" s="270">
        <v>656.06</v>
      </c>
      <c r="K24" s="270">
        <v>647.57000000000005</v>
      </c>
      <c r="L24" s="270">
        <v>678.75</v>
      </c>
      <c r="M24" s="270"/>
      <c r="N24" s="270"/>
    </row>
    <row r="25" spans="1:16">
      <c r="A25" s="1">
        <f>'WA Monthly'!A14</f>
        <v>8</v>
      </c>
      <c r="B25" s="2" t="s">
        <v>368</v>
      </c>
      <c r="C25" s="277">
        <f>SUM(C26:C33)</f>
        <v>196326.72</v>
      </c>
      <c r="D25" s="277">
        <f t="shared" ref="D25:N25" si="1">SUM(D26:D33)</f>
        <v>176449.19</v>
      </c>
      <c r="E25" s="277">
        <f t="shared" si="1"/>
        <v>137699.89000000001</v>
      </c>
      <c r="F25" s="277">
        <f t="shared" si="1"/>
        <v>145244.5</v>
      </c>
      <c r="G25" s="277">
        <f t="shared" si="1"/>
        <v>118255.54</v>
      </c>
      <c r="H25" s="277">
        <f t="shared" si="1"/>
        <v>119817.55</v>
      </c>
      <c r="I25" s="277">
        <f t="shared" si="1"/>
        <v>109806.91</v>
      </c>
      <c r="J25" s="277">
        <f t="shared" si="1"/>
        <v>71032.06</v>
      </c>
      <c r="K25" s="277">
        <f t="shared" si="1"/>
        <v>47083.97</v>
      </c>
      <c r="L25" s="277">
        <f t="shared" si="1"/>
        <v>48926.95</v>
      </c>
      <c r="M25" s="277">
        <f t="shared" si="1"/>
        <v>0</v>
      </c>
      <c r="N25" s="277">
        <f t="shared" si="1"/>
        <v>0</v>
      </c>
      <c r="P25" s="143"/>
    </row>
    <row r="26" spans="1:16">
      <c r="A26" s="1"/>
      <c r="B26" s="142" t="s">
        <v>364</v>
      </c>
      <c r="C26" s="270">
        <v>87062.6</v>
      </c>
      <c r="D26" s="270">
        <v>69242.05</v>
      </c>
      <c r="E26" s="270">
        <v>40381.07</v>
      </c>
      <c r="F26" s="270">
        <v>37858.050000000003</v>
      </c>
      <c r="G26" s="270">
        <v>19569.04</v>
      </c>
      <c r="H26" s="270">
        <v>8986.94</v>
      </c>
      <c r="I26" s="270">
        <v>0</v>
      </c>
      <c r="J26" s="270">
        <v>0</v>
      </c>
      <c r="K26" s="270">
        <v>0</v>
      </c>
      <c r="L26" s="270">
        <v>0</v>
      </c>
      <c r="M26" s="270"/>
      <c r="N26" s="270"/>
    </row>
    <row r="27" spans="1:16">
      <c r="A27" s="1"/>
      <c r="B27" s="142" t="s">
        <v>365</v>
      </c>
      <c r="C27" s="270">
        <v>25338.94</v>
      </c>
      <c r="D27" s="270">
        <v>23425.64</v>
      </c>
      <c r="E27" s="270">
        <v>30273.599999999999</v>
      </c>
      <c r="F27" s="270">
        <v>41252.879999999997</v>
      </c>
      <c r="G27" s="270">
        <v>25145.26</v>
      </c>
      <c r="H27" s="270">
        <v>46034.32</v>
      </c>
      <c r="I27" s="270">
        <v>40001.599999999999</v>
      </c>
      <c r="J27" s="270">
        <v>19852.87</v>
      </c>
      <c r="K27" s="270">
        <v>15376.48</v>
      </c>
      <c r="L27" s="270">
        <v>16758.3</v>
      </c>
      <c r="M27" s="270"/>
      <c r="N27" s="270"/>
    </row>
    <row r="28" spans="1:16">
      <c r="A28" s="1"/>
      <c r="B28" s="142" t="s">
        <v>383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1318.96</v>
      </c>
      <c r="J28" s="270">
        <v>195.89</v>
      </c>
      <c r="K28" s="270">
        <v>0</v>
      </c>
      <c r="L28" s="270">
        <v>0</v>
      </c>
      <c r="M28" s="270">
        <v>0</v>
      </c>
      <c r="N28" s="270">
        <v>0</v>
      </c>
    </row>
    <row r="29" spans="1:16">
      <c r="A29" s="1"/>
      <c r="B29" s="142" t="s">
        <v>366</v>
      </c>
      <c r="C29" s="270">
        <v>18784.810000000001</v>
      </c>
      <c r="D29" s="270">
        <v>20311.2</v>
      </c>
      <c r="E29" s="270">
        <v>11733.87</v>
      </c>
      <c r="F29" s="270">
        <v>15232.61</v>
      </c>
      <c r="G29" s="270">
        <v>12944.55</v>
      </c>
      <c r="H29" s="270">
        <v>5177.3100000000004</v>
      </c>
      <c r="I29" s="270">
        <v>4932.8100000000004</v>
      </c>
      <c r="J29" s="270">
        <v>5297.8</v>
      </c>
      <c r="K29" s="270">
        <v>11.34</v>
      </c>
      <c r="L29" s="270">
        <v>9143.19</v>
      </c>
      <c r="M29" s="270"/>
      <c r="N29" s="270"/>
    </row>
    <row r="30" spans="1:16">
      <c r="A30" s="1"/>
      <c r="B30" s="291" t="s">
        <v>388</v>
      </c>
      <c r="C30" s="270">
        <v>2282.34</v>
      </c>
      <c r="D30" s="270">
        <v>7907.08</v>
      </c>
      <c r="E30" s="270">
        <v>2888.35</v>
      </c>
      <c r="F30" s="270">
        <v>5800.34</v>
      </c>
      <c r="G30" s="270">
        <v>9597.16</v>
      </c>
      <c r="H30" s="270">
        <v>9738.5499999999993</v>
      </c>
      <c r="I30" s="270">
        <v>7531.67</v>
      </c>
      <c r="J30" s="270">
        <v>4142.82</v>
      </c>
      <c r="K30" s="270">
        <v>2483.13</v>
      </c>
      <c r="L30" s="270">
        <v>375.03</v>
      </c>
      <c r="M30" s="270"/>
      <c r="N30" s="270"/>
    </row>
    <row r="31" spans="1:16">
      <c r="A31" s="1"/>
      <c r="B31" s="291" t="s">
        <v>389</v>
      </c>
      <c r="C31" s="270">
        <v>56380.92</v>
      </c>
      <c r="D31" s="270">
        <v>49329.04</v>
      </c>
      <c r="E31" s="270">
        <v>48233.1</v>
      </c>
      <c r="F31" s="270">
        <v>42288.05</v>
      </c>
      <c r="G31" s="270">
        <v>46520.15</v>
      </c>
      <c r="H31" s="270">
        <v>46108</v>
      </c>
      <c r="I31" s="270">
        <v>49928.76</v>
      </c>
      <c r="J31" s="270">
        <v>35531.86</v>
      </c>
      <c r="K31" s="270">
        <v>22061.94</v>
      </c>
      <c r="L31" s="270">
        <v>17411.53</v>
      </c>
      <c r="M31" s="270"/>
      <c r="N31" s="270"/>
    </row>
    <row r="32" spans="1:16">
      <c r="A32" s="1"/>
      <c r="B32" s="142" t="s">
        <v>367</v>
      </c>
      <c r="C32" s="270">
        <v>5160.53</v>
      </c>
      <c r="D32" s="270">
        <v>4274.9799999999996</v>
      </c>
      <c r="E32" s="270">
        <v>2364.63</v>
      </c>
      <c r="F32" s="270">
        <v>2812.57</v>
      </c>
      <c r="G32" s="270">
        <v>4479.38</v>
      </c>
      <c r="H32" s="270">
        <v>3772.43</v>
      </c>
      <c r="I32" s="270">
        <v>5638.58</v>
      </c>
      <c r="J32" s="270">
        <v>6010.82</v>
      </c>
      <c r="K32" s="270">
        <v>7021.77</v>
      </c>
      <c r="L32" s="270">
        <v>5238.8999999999996</v>
      </c>
      <c r="M32" s="270"/>
      <c r="N32" s="270"/>
    </row>
    <row r="33" spans="1:14">
      <c r="A33" s="1"/>
      <c r="B33" s="291" t="s">
        <v>390</v>
      </c>
      <c r="C33" s="270">
        <v>1316.58</v>
      </c>
      <c r="D33" s="270">
        <v>1959.2</v>
      </c>
      <c r="E33" s="270">
        <v>1825.27</v>
      </c>
      <c r="F33" s="270">
        <v>0</v>
      </c>
      <c r="G33" s="270">
        <v>0</v>
      </c>
      <c r="H33" s="270">
        <v>0</v>
      </c>
      <c r="I33" s="270">
        <v>454.53</v>
      </c>
      <c r="J33" s="270">
        <v>0</v>
      </c>
      <c r="K33" s="270">
        <v>129.31</v>
      </c>
      <c r="L33" s="270">
        <v>0</v>
      </c>
      <c r="M33" s="270">
        <v>0</v>
      </c>
      <c r="N33" s="270"/>
    </row>
    <row r="34" spans="1:14">
      <c r="A34" s="1">
        <f>'WA Monthly'!A15</f>
        <v>9</v>
      </c>
      <c r="B34" s="138" t="s">
        <v>391</v>
      </c>
      <c r="C34" s="270">
        <v>167411.29999999999</v>
      </c>
      <c r="D34" s="270">
        <v>151142.16</v>
      </c>
      <c r="E34" s="270">
        <v>134752.32000000001</v>
      </c>
      <c r="F34" s="270">
        <v>9638.73</v>
      </c>
      <c r="G34" s="270">
        <v>139720.07999999999</v>
      </c>
      <c r="H34" s="270">
        <v>156195</v>
      </c>
      <c r="I34" s="270">
        <v>206662.44</v>
      </c>
      <c r="J34" s="270">
        <v>124688.08</v>
      </c>
      <c r="K34" s="270">
        <v>38427.199999999997</v>
      </c>
      <c r="L34" s="270">
        <v>196020.84</v>
      </c>
      <c r="M34" s="270"/>
      <c r="N34" s="270"/>
    </row>
    <row r="35" spans="1:14">
      <c r="A35" s="1">
        <f>'WA Monthly'!A16</f>
        <v>10</v>
      </c>
      <c r="B35" s="26" t="s">
        <v>372</v>
      </c>
      <c r="C35" s="270">
        <v>509116.36</v>
      </c>
      <c r="D35" s="270">
        <v>428289.88</v>
      </c>
      <c r="E35" s="270">
        <v>551749.19999999995</v>
      </c>
      <c r="F35" s="270">
        <v>336085.63</v>
      </c>
      <c r="G35" s="270">
        <v>237800.84</v>
      </c>
      <c r="H35" s="270">
        <v>242504.84</v>
      </c>
      <c r="I35" s="270">
        <v>18009.36</v>
      </c>
      <c r="J35" s="270">
        <v>61.36</v>
      </c>
      <c r="K35" s="270">
        <v>7398.64</v>
      </c>
      <c r="L35" s="270">
        <v>98204.52</v>
      </c>
      <c r="M35" s="270"/>
      <c r="N35" s="270"/>
    </row>
    <row r="36" spans="1:14">
      <c r="A36" s="1">
        <f>'WA Monthly'!A17</f>
        <v>11</v>
      </c>
      <c r="B36" s="138" t="s">
        <v>392</v>
      </c>
      <c r="C36" s="270">
        <v>503269.5</v>
      </c>
      <c r="D36" s="270">
        <v>466387.56</v>
      </c>
      <c r="E36" s="270">
        <v>406267.94</v>
      </c>
      <c r="F36" s="270">
        <v>349209.12</v>
      </c>
      <c r="G36" s="270">
        <v>332411.43</v>
      </c>
      <c r="H36" s="270">
        <v>457879.89</v>
      </c>
      <c r="I36" s="270">
        <v>561310.80000000005</v>
      </c>
      <c r="J36" s="270">
        <v>434207.7</v>
      </c>
      <c r="K36" s="270">
        <v>588004.9</v>
      </c>
      <c r="L36" s="270">
        <v>590209</v>
      </c>
      <c r="M36" s="270"/>
      <c r="N36" s="270"/>
    </row>
    <row r="37" spans="1:14">
      <c r="A37" s="1">
        <f>'WA Monthly'!A18</f>
        <v>12</v>
      </c>
      <c r="B37" s="138" t="s">
        <v>393</v>
      </c>
      <c r="C37" s="270">
        <v>0</v>
      </c>
      <c r="D37" s="270">
        <v>0</v>
      </c>
      <c r="E37" s="270">
        <f>1411.5+1359.92</f>
        <v>2771.42</v>
      </c>
      <c r="F37" s="270">
        <v>1252.47</v>
      </c>
      <c r="G37" s="270">
        <v>1245.71</v>
      </c>
      <c r="H37" s="270">
        <v>1021</v>
      </c>
      <c r="I37" s="270">
        <v>1028.3599999999999</v>
      </c>
      <c r="J37" s="270">
        <v>1024.68</v>
      </c>
      <c r="K37" s="270">
        <v>1109.4100000000001</v>
      </c>
      <c r="L37" s="270">
        <v>951</v>
      </c>
      <c r="M37" s="270">
        <v>0</v>
      </c>
      <c r="N37" s="270">
        <v>0</v>
      </c>
    </row>
    <row r="38" spans="1:14">
      <c r="A38" s="1">
        <f>'WA Monthly'!A19</f>
        <v>13</v>
      </c>
      <c r="B38" s="52" t="s">
        <v>256</v>
      </c>
      <c r="C38" s="270">
        <f>2311799.36+35.95+15018.17</f>
        <v>2326853.48</v>
      </c>
      <c r="D38" s="270">
        <f>2144634.67-5035.12+6261.75+37010.14</f>
        <v>2182871.44</v>
      </c>
      <c r="E38" s="270">
        <f>2331714.55+99.39+25957.02</f>
        <v>2357770.96</v>
      </c>
      <c r="F38" s="270">
        <f>2184072.62+66.5+51631.06</f>
        <v>2235770.1800000002</v>
      </c>
      <c r="G38" s="270">
        <f>2056178.44+121.01+41759.13</f>
        <v>2098058.58</v>
      </c>
      <c r="H38" s="270">
        <f>2041840.76+129.2+14420.2</f>
        <v>2056390.16</v>
      </c>
      <c r="I38" s="270">
        <f>2361758.54-0.01+73.61+15763.98</f>
        <v>2377596.12</v>
      </c>
      <c r="J38" s="270">
        <f>2358639.46-40.51+57648.67</f>
        <v>2416247.62</v>
      </c>
      <c r="K38" s="270">
        <f>2352121.14+79.14+73159.66</f>
        <v>2425359.94</v>
      </c>
      <c r="L38" s="302">
        <f>2271936.53+80.64+38577.34</f>
        <v>2310594.5099999998</v>
      </c>
      <c r="M38" s="270"/>
      <c r="N38" s="270"/>
    </row>
    <row r="39" spans="1:14">
      <c r="A39" s="1">
        <f>'WA Monthly'!A20</f>
        <v>14</v>
      </c>
      <c r="B39" s="52" t="s">
        <v>283</v>
      </c>
      <c r="C39" s="270">
        <v>2365264</v>
      </c>
      <c r="D39" s="270">
        <v>2240477.6</v>
      </c>
      <c r="E39" s="270">
        <v>2072807.2</v>
      </c>
      <c r="F39" s="270">
        <v>2009810</v>
      </c>
      <c r="G39" s="270">
        <v>1146210.8</v>
      </c>
      <c r="H39" s="270">
        <v>1530958.8</v>
      </c>
      <c r="I39" s="270">
        <v>1018827.2</v>
      </c>
      <c r="J39" s="270">
        <v>1297090</v>
      </c>
      <c r="K39" s="270">
        <v>1187101.6000000001</v>
      </c>
      <c r="L39" s="270">
        <v>1148264.3999999999</v>
      </c>
      <c r="M39" s="270"/>
      <c r="N39" s="270"/>
    </row>
    <row r="40" spans="1:14">
      <c r="A40" s="1"/>
      <c r="B40" s="52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>
      <c r="A41" s="1"/>
      <c r="B41" s="269" t="s">
        <v>166</v>
      </c>
      <c r="C41" s="286">
        <f>89265*(45.32-41.95)</f>
        <v>300823.05</v>
      </c>
      <c r="D41" s="286">
        <f>80660*(45.32-41.95)</f>
        <v>271824.2</v>
      </c>
      <c r="E41" s="286">
        <f>44070*(45.32-41.95)</f>
        <v>148515.9</v>
      </c>
      <c r="F41" s="286">
        <f>42682*(45.32-41.95)</f>
        <v>143838.34</v>
      </c>
      <c r="G41" s="274"/>
      <c r="H41" s="274"/>
      <c r="I41" s="274"/>
      <c r="J41" s="274"/>
      <c r="K41" s="274"/>
      <c r="L41" s="274"/>
      <c r="M41" s="286">
        <f>58380*(46.15-45.61)</f>
        <v>31525.200000000001</v>
      </c>
      <c r="N41" s="286">
        <f>60320*(46.15-45.61)</f>
        <v>32572.799999999999</v>
      </c>
    </row>
    <row r="42" spans="1:14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</row>
    <row r="43" spans="1:14">
      <c r="B43" s="239" t="s">
        <v>26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4">
      <c r="A44" s="1">
        <f>'WA Monthly'!A41</f>
        <v>19</v>
      </c>
      <c r="B44" s="71" t="s">
        <v>32</v>
      </c>
      <c r="C44" s="270">
        <v>96850.08</v>
      </c>
      <c r="D44" s="270">
        <v>54051.06</v>
      </c>
      <c r="E44" s="270">
        <v>67735.03</v>
      </c>
      <c r="F44" s="270">
        <v>46837.56</v>
      </c>
      <c r="G44" s="270">
        <v>23444.400000000001</v>
      </c>
      <c r="H44" s="270">
        <v>38086.019999999997</v>
      </c>
      <c r="I44" s="270">
        <v>256172.96</v>
      </c>
      <c r="J44" s="270">
        <v>268722.36</v>
      </c>
      <c r="K44" s="270">
        <v>122394.78</v>
      </c>
      <c r="L44" s="270">
        <v>152030.76</v>
      </c>
      <c r="M44" s="270"/>
      <c r="N44" s="270"/>
    </row>
    <row r="45" spans="1:14">
      <c r="A45" s="1">
        <f>'WA Monthly'!A42</f>
        <v>20</v>
      </c>
      <c r="B45" s="52" t="s">
        <v>375</v>
      </c>
      <c r="C45" s="270">
        <f>5766+3073.73+3073.73+1064.5</f>
        <v>12977.96</v>
      </c>
      <c r="D45" s="285">
        <f>5208+2746.01+2746.01+894.25</f>
        <v>11594.27</v>
      </c>
      <c r="E45" s="270">
        <f>699+5758.25+2905.76+2905.76</f>
        <v>12268.77</v>
      </c>
      <c r="F45" s="270">
        <f>864+22320+386.64+386.64</f>
        <v>23957.279999999999</v>
      </c>
      <c r="G45" s="270">
        <f>676.25+5766+2899.01+2899.01</f>
        <v>12240.27</v>
      </c>
      <c r="H45" s="270">
        <f>5580+2815.43+2815.43+676.5</f>
        <v>11887.36</v>
      </c>
      <c r="I45" s="270">
        <f>790.75+5766+2950.54+2950.54</f>
        <v>12457.83</v>
      </c>
      <c r="J45" s="270">
        <f>758.75+5766+2936.14+2936.14</f>
        <v>12397.03</v>
      </c>
      <c r="K45" s="270">
        <f>5580+2801.93+2801.93+646.5</f>
        <v>11830.36</v>
      </c>
      <c r="L45" s="276">
        <f>803.25+5766+2956.16+2956.16</f>
        <v>12481.57</v>
      </c>
      <c r="M45" s="270"/>
      <c r="N45" s="270"/>
    </row>
    <row r="46" spans="1:14">
      <c r="A46" s="1">
        <f>'WA Monthly'!A43</f>
        <v>21</v>
      </c>
      <c r="B46" s="71" t="s">
        <v>53</v>
      </c>
      <c r="C46" s="270">
        <f>10587.71+10587.71+26351.64+4376.14+4376.14+5580</f>
        <v>61859.34</v>
      </c>
      <c r="D46" s="285">
        <f>9540.79+9540.79+23745.96+5636.93+5636.93+5040</f>
        <v>59141.4</v>
      </c>
      <c r="E46" s="270">
        <f>10713.83+10713.83+26665.52+5981.18+5981.18+5572.5</f>
        <v>65628.039999999994</v>
      </c>
      <c r="F46" s="270">
        <f>9452.7+9452.7+23526.72+5190.53+5190.53+5400</f>
        <v>58213.18</v>
      </c>
      <c r="G46" s="270">
        <f>9289.35+9289.35+23120.16+580.61+580.61+5580</f>
        <v>48440.08</v>
      </c>
      <c r="H46" s="270">
        <f>8588.25+8588.25+21375.2+2612.81+2612.81+5400</f>
        <v>49177.32</v>
      </c>
      <c r="I46" s="270">
        <f>8840.93+8840.93+22004.08+5465.7+5465.7+5580</f>
        <v>56197.34</v>
      </c>
      <c r="J46" s="270">
        <f>8690.4+8690.4+21629.44+2890.01+2890.01+5580</f>
        <v>50370.26</v>
      </c>
      <c r="K46" s="270">
        <f>8671.84+8671.84+21583.24+2890.01+2890.01+5400</f>
        <v>50106.94</v>
      </c>
      <c r="L46" s="276">
        <f>9349.99+9349.99+23271.08+6066.56+6066.56+5580</f>
        <v>59684.18</v>
      </c>
      <c r="M46" s="270"/>
      <c r="N46" s="270"/>
    </row>
    <row r="47" spans="1:14">
      <c r="A47" s="1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</row>
    <row r="48" spans="1:14">
      <c r="A48" s="1"/>
      <c r="B48" s="239" t="s">
        <v>28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>
        <v>56362</v>
      </c>
      <c r="J49" s="22">
        <v>58199</v>
      </c>
      <c r="K49" s="22">
        <v>57315</v>
      </c>
      <c r="L49" s="22">
        <v>53085</v>
      </c>
      <c r="M49" s="22"/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>
        <v>23288</v>
      </c>
      <c r="J50" s="22">
        <v>49111</v>
      </c>
      <c r="K50" s="22">
        <v>82493</v>
      </c>
      <c r="L50" s="22">
        <v>96213</v>
      </c>
      <c r="M50" s="22"/>
      <c r="N50" s="22"/>
    </row>
    <row r="51" spans="1:14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>
      <c r="A52" s="2" t="s">
        <v>377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</row>
    <row r="53" spans="1:14">
      <c r="A53" s="1">
        <v>8</v>
      </c>
      <c r="B53" s="7" t="s">
        <v>373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>
        <f>442081662/1000</f>
        <v>442082</v>
      </c>
      <c r="J53" s="22">
        <f>510132476/1000</f>
        <v>510132</v>
      </c>
      <c r="K53" s="22">
        <f>452187273/1000</f>
        <v>452187</v>
      </c>
      <c r="L53" s="22">
        <f>409388557/1000</f>
        <v>409389</v>
      </c>
      <c r="M53" s="22"/>
      <c r="N53" s="22"/>
    </row>
    <row r="54" spans="1:14">
      <c r="A54" s="1">
        <v>10</v>
      </c>
      <c r="B54" s="7" t="s">
        <v>374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>
        <f>303870716/1000</f>
        <v>303871</v>
      </c>
      <c r="J54" s="22">
        <f>290569560/1000</f>
        <v>290570</v>
      </c>
      <c r="K54" s="22">
        <f>237418718/1000</f>
        <v>237419</v>
      </c>
      <c r="L54" s="22">
        <f>267642789/1000</f>
        <v>267643</v>
      </c>
      <c r="M54" s="22"/>
      <c r="N54" s="22"/>
    </row>
    <row r="55" spans="1:14">
      <c r="A55" s="1">
        <v>12</v>
      </c>
      <c r="B55" s="7" t="s">
        <v>328</v>
      </c>
      <c r="C55" s="289">
        <v>555937</v>
      </c>
      <c r="D55" s="289">
        <v>498647</v>
      </c>
      <c r="E55" s="289">
        <v>492113</v>
      </c>
      <c r="F55" s="289">
        <v>431145</v>
      </c>
      <c r="G55" s="296">
        <v>432473</v>
      </c>
      <c r="H55" s="296">
        <v>424693</v>
      </c>
      <c r="I55" s="296">
        <v>490670</v>
      </c>
      <c r="J55" s="296">
        <v>464617</v>
      </c>
      <c r="K55" s="296">
        <v>435934</v>
      </c>
      <c r="L55" s="296">
        <v>436959</v>
      </c>
      <c r="M55" s="296">
        <v>468856</v>
      </c>
      <c r="N55" s="296">
        <v>553150</v>
      </c>
    </row>
    <row r="56" spans="1:14">
      <c r="A56" s="1">
        <v>14</v>
      </c>
      <c r="B56" s="7" t="s">
        <v>329</v>
      </c>
      <c r="C56" s="290">
        <v>15.66</v>
      </c>
      <c r="D56" s="290">
        <v>15.66</v>
      </c>
      <c r="E56" s="290">
        <v>15.66</v>
      </c>
      <c r="F56" s="290">
        <v>15.66</v>
      </c>
      <c r="G56" s="297">
        <v>18.11</v>
      </c>
      <c r="H56" s="297">
        <v>18.11</v>
      </c>
      <c r="I56" s="297">
        <v>18.11</v>
      </c>
      <c r="J56" s="297">
        <v>18.11</v>
      </c>
      <c r="K56" s="297">
        <v>18.11</v>
      </c>
      <c r="L56" s="297">
        <v>18.11</v>
      </c>
      <c r="M56" s="297">
        <v>18.11</v>
      </c>
      <c r="N56" s="297">
        <v>18.11</v>
      </c>
    </row>
    <row r="57" spans="1:14">
      <c r="A57" s="1"/>
      <c r="B57" s="7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1:14">
      <c r="A58" s="1">
        <v>21</v>
      </c>
      <c r="B58" s="7" t="s">
        <v>324</v>
      </c>
      <c r="C58" s="275">
        <v>-37943.33</v>
      </c>
      <c r="D58" s="275">
        <v>339003.31</v>
      </c>
      <c r="E58" s="275">
        <v>187670.73</v>
      </c>
      <c r="F58" s="275">
        <v>-84609.600000000006</v>
      </c>
      <c r="G58" s="275">
        <v>107839.18</v>
      </c>
      <c r="H58" s="275">
        <v>-120586.87</v>
      </c>
      <c r="I58" s="275">
        <v>-749950.95</v>
      </c>
      <c r="J58" s="275">
        <v>-189109.75</v>
      </c>
      <c r="K58" s="275">
        <v>-118698.29</v>
      </c>
      <c r="L58" s="275">
        <v>-79221.710000000006</v>
      </c>
      <c r="M58" s="275">
        <v>-448598.03</v>
      </c>
      <c r="N58" s="275">
        <v>-402928.44</v>
      </c>
    </row>
    <row r="59" spans="1:14">
      <c r="A59" s="1"/>
      <c r="B59" s="7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4">
      <c r="A61" s="2" t="s">
        <v>363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4">
      <c r="B62" s="4" t="s">
        <v>12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</row>
    <row r="63" spans="1:14">
      <c r="A63" s="1" t="e">
        <f>#REF!</f>
        <v>#REF!</v>
      </c>
      <c r="B63" s="71" t="s">
        <v>3</v>
      </c>
      <c r="C63" s="275">
        <v>9702833.2899999991</v>
      </c>
      <c r="D63" s="275">
        <v>10328500.119999999</v>
      </c>
      <c r="E63" s="275">
        <v>8924403.1600000001</v>
      </c>
      <c r="F63" s="275">
        <v>7339923.5499999998</v>
      </c>
      <c r="G63" s="275">
        <v>5493489.1799999997</v>
      </c>
      <c r="H63" s="275">
        <v>5495060.4100000001</v>
      </c>
      <c r="I63" s="275">
        <v>6450837.8700000001</v>
      </c>
      <c r="J63" s="275">
        <v>7374829.1500000004</v>
      </c>
      <c r="K63" s="275">
        <v>6454509.96</v>
      </c>
      <c r="L63" s="275">
        <v>6678057.5800000001</v>
      </c>
      <c r="M63" s="275">
        <v>9322262.8599999994</v>
      </c>
      <c r="N63" s="275">
        <v>9533433.6400000006</v>
      </c>
    </row>
    <row r="64" spans="1:14">
      <c r="A64" s="1" t="e">
        <f>#REF!</f>
        <v>#REF!</v>
      </c>
      <c r="B64" s="71" t="s">
        <v>6</v>
      </c>
      <c r="C64" s="275">
        <v>-3781357.36</v>
      </c>
      <c r="D64" s="275">
        <v>-1822086.49</v>
      </c>
      <c r="E64" s="275">
        <v>-2040710.31</v>
      </c>
      <c r="F64" s="275">
        <v>-2860479.36</v>
      </c>
      <c r="G64" s="275">
        <v>-2523087.88</v>
      </c>
      <c r="H64" s="275">
        <v>-2502706</v>
      </c>
      <c r="I64" s="275">
        <v>-4670615.3</v>
      </c>
      <c r="J64" s="275">
        <v>-2827345.05</v>
      </c>
      <c r="K64" s="275">
        <v>-2878367.34</v>
      </c>
      <c r="L64" s="275">
        <v>-2286264.87</v>
      </c>
      <c r="M64" s="275">
        <v>-3502619.01</v>
      </c>
      <c r="N64" s="275">
        <v>-5561523.5599999996</v>
      </c>
    </row>
    <row r="65" spans="1:14">
      <c r="A65" s="1" t="e">
        <f>#REF!</f>
        <v>#REF!</v>
      </c>
      <c r="B65" s="71" t="s">
        <v>4</v>
      </c>
      <c r="C65" s="275">
        <v>2710747.74</v>
      </c>
      <c r="D65" s="275">
        <v>2436292.5499999998</v>
      </c>
      <c r="E65" s="275">
        <v>2495478.85</v>
      </c>
      <c r="F65" s="275">
        <v>1999248.03</v>
      </c>
      <c r="G65" s="275">
        <v>1543139.19</v>
      </c>
      <c r="H65" s="275">
        <v>1346032.7</v>
      </c>
      <c r="I65" s="275">
        <v>2191772.3199999998</v>
      </c>
      <c r="J65" s="275">
        <v>2428910.81</v>
      </c>
      <c r="K65" s="275">
        <v>2491210.04</v>
      </c>
      <c r="L65" s="275">
        <v>2486833.9700000002</v>
      </c>
      <c r="M65" s="275">
        <v>2527218.2799999998</v>
      </c>
      <c r="N65" s="275">
        <v>2686721.65</v>
      </c>
    </row>
    <row r="66" spans="1:14">
      <c r="A66" s="1" t="e">
        <f>#REF!</f>
        <v>#REF!</v>
      </c>
      <c r="B66" s="71" t="s">
        <v>5</v>
      </c>
      <c r="C66" s="275">
        <v>8280148.4299999997</v>
      </c>
      <c r="D66" s="275">
        <v>5188309.49</v>
      </c>
      <c r="E66" s="275">
        <v>4595189.95</v>
      </c>
      <c r="F66" s="275">
        <v>2864295.64</v>
      </c>
      <c r="G66" s="275">
        <v>1538979.51</v>
      </c>
      <c r="H66" s="275">
        <v>1733332.64</v>
      </c>
      <c r="I66" s="275">
        <v>5506610.8600000003</v>
      </c>
      <c r="J66" s="275">
        <v>6911917.7199999997</v>
      </c>
      <c r="K66" s="275">
        <v>5890074.7699999996</v>
      </c>
      <c r="L66" s="275">
        <v>5805698.3300000001</v>
      </c>
      <c r="M66" s="275">
        <v>6416983.3099999996</v>
      </c>
      <c r="N66" s="275">
        <v>8327512.7999999998</v>
      </c>
    </row>
    <row r="67" spans="1:14">
      <c r="A67" s="1" t="e">
        <f>#REF!</f>
        <v>#REF!</v>
      </c>
      <c r="B67" s="71" t="s">
        <v>139</v>
      </c>
      <c r="C67" s="275">
        <v>-1062694.25</v>
      </c>
      <c r="D67" s="275">
        <v>-1178480.71</v>
      </c>
      <c r="E67" s="275">
        <v>-1177115.3999999999</v>
      </c>
      <c r="F67" s="275">
        <v>-1141305.3700000001</v>
      </c>
      <c r="G67" s="275">
        <v>-1253487.52</v>
      </c>
      <c r="H67" s="275">
        <v>-1398528.7</v>
      </c>
      <c r="I67" s="275">
        <v>-1450378.42</v>
      </c>
      <c r="J67" s="275">
        <v>-1346818.86</v>
      </c>
      <c r="K67" s="275">
        <v>-1372212.68</v>
      </c>
      <c r="L67" s="275">
        <v>-1319316.33</v>
      </c>
      <c r="M67" s="275">
        <v>-1257650.3400000001</v>
      </c>
      <c r="N67" s="275">
        <v>-1191496.26</v>
      </c>
    </row>
    <row r="68" spans="1:14">
      <c r="A68" s="1" t="e">
        <f>#REF!</f>
        <v>#REF!</v>
      </c>
      <c r="B68" s="71" t="s">
        <v>106</v>
      </c>
      <c r="C68" s="275">
        <v>1367136.34</v>
      </c>
      <c r="D68" s="275">
        <v>1600334.72</v>
      </c>
      <c r="E68" s="275">
        <v>1468739.29</v>
      </c>
      <c r="F68" s="275">
        <v>1449914.73</v>
      </c>
      <c r="G68" s="275">
        <v>1423359.44</v>
      </c>
      <c r="H68" s="275">
        <v>1415702.57</v>
      </c>
      <c r="I68" s="275">
        <v>1470703.45</v>
      </c>
      <c r="J68" s="275">
        <v>1461594.51</v>
      </c>
      <c r="K68" s="275">
        <v>1427129.57</v>
      </c>
      <c r="L68" s="275">
        <v>1424958.44</v>
      </c>
      <c r="M68" s="275">
        <v>1434977.94</v>
      </c>
      <c r="N68" s="275">
        <v>1459895.67</v>
      </c>
    </row>
    <row r="69" spans="1:14">
      <c r="A69" s="1" t="e">
        <f>#REF!</f>
        <v>#REF!</v>
      </c>
      <c r="B69" s="32" t="s">
        <v>379</v>
      </c>
      <c r="C69" s="275">
        <v>-293350</v>
      </c>
      <c r="D69" s="275">
        <v>-264550</v>
      </c>
      <c r="E69" s="275">
        <v>-293350</v>
      </c>
      <c r="F69" s="275">
        <v>-283750</v>
      </c>
      <c r="G69" s="275">
        <v>-293350</v>
      </c>
      <c r="H69" s="275">
        <v>-283750</v>
      </c>
      <c r="I69" s="275">
        <v>-293350</v>
      </c>
      <c r="J69" s="275">
        <v>-293350</v>
      </c>
      <c r="K69" s="275">
        <v>-283750</v>
      </c>
      <c r="L69" s="275">
        <v>-293350</v>
      </c>
      <c r="M69" s="275">
        <v>-283750</v>
      </c>
      <c r="N69" s="275">
        <v>-293350</v>
      </c>
    </row>
    <row r="70" spans="1:14">
      <c r="A70" s="1" t="e">
        <f>#REF!</f>
        <v>#REF!</v>
      </c>
      <c r="B70" s="25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</row>
    <row r="71" spans="1:14">
      <c r="A71" s="1"/>
      <c r="B71" s="71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>
      <c r="A72" s="1" t="e">
        <f>#REF!</f>
        <v>#REF!</v>
      </c>
      <c r="B72" s="32" t="s">
        <v>234</v>
      </c>
      <c r="C72" s="283">
        <v>0.3427</v>
      </c>
      <c r="D72" s="283">
        <v>0.3427</v>
      </c>
      <c r="E72" s="283">
        <v>0.3427</v>
      </c>
      <c r="F72" s="283">
        <v>0.3427</v>
      </c>
      <c r="G72" s="283">
        <v>0.3427</v>
      </c>
      <c r="H72" s="283">
        <v>0.3427</v>
      </c>
      <c r="I72" s="283">
        <v>0.3427</v>
      </c>
      <c r="J72" s="283">
        <v>0.3427</v>
      </c>
      <c r="K72" s="283">
        <v>0.3427</v>
      </c>
      <c r="L72" s="283">
        <v>0.3427</v>
      </c>
      <c r="M72" s="283">
        <v>0.3427</v>
      </c>
      <c r="N72" s="283">
        <v>0.3427</v>
      </c>
    </row>
    <row r="73" spans="1:14">
      <c r="A73" s="1"/>
      <c r="B73" s="32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>
      <c r="A74" s="179" t="s">
        <v>371</v>
      </c>
      <c r="B74" s="32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>
      <c r="A75" s="1"/>
      <c r="B75" s="32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>
      <c r="A76" s="1"/>
      <c r="B76" s="32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" t="s">
        <v>370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</row>
    <row r="79" spans="1:14">
      <c r="A79" s="1">
        <v>8</v>
      </c>
      <c r="B79" s="267" t="s">
        <v>373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>
        <f>229425021/1000</f>
        <v>229425</v>
      </c>
      <c r="J79" s="22">
        <f>258244550/1000</f>
        <v>258245</v>
      </c>
      <c r="K79" s="22">
        <f>256666987/1000</f>
        <v>256667</v>
      </c>
      <c r="L79" s="22">
        <f>227695178/1000</f>
        <v>227695</v>
      </c>
      <c r="M79" s="22"/>
      <c r="N79" s="22"/>
    </row>
    <row r="80" spans="1:14">
      <c r="A80" s="1">
        <v>10</v>
      </c>
      <c r="B80" s="267" t="s">
        <v>374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>
        <f>168994182/1000</f>
        <v>168994</v>
      </c>
      <c r="J80" s="22">
        <f>184575453/1000</f>
        <v>184575</v>
      </c>
      <c r="K80" s="22">
        <f>143322824/1000</f>
        <v>143323</v>
      </c>
      <c r="L80" s="22">
        <f>148700840/1000</f>
        <v>148701</v>
      </c>
      <c r="M80" s="22"/>
      <c r="N80" s="22"/>
    </row>
    <row r="81" spans="1:14">
      <c r="A81" s="1">
        <v>12</v>
      </c>
      <c r="B81" s="268" t="s">
        <v>332</v>
      </c>
      <c r="C81" s="280">
        <v>294914</v>
      </c>
      <c r="D81" s="280">
        <v>261971</v>
      </c>
      <c r="E81" s="280">
        <v>251422</v>
      </c>
      <c r="F81" s="280">
        <v>228917</v>
      </c>
      <c r="G81" s="280">
        <v>211441</v>
      </c>
      <c r="H81" s="280">
        <v>204736</v>
      </c>
      <c r="I81" s="280">
        <v>252026</v>
      </c>
      <c r="J81" s="280">
        <v>245232</v>
      </c>
      <c r="K81" s="280">
        <v>206024</v>
      </c>
      <c r="L81" s="280">
        <v>240501</v>
      </c>
      <c r="M81" s="280">
        <v>257717</v>
      </c>
      <c r="N81" s="280">
        <v>298131</v>
      </c>
    </row>
    <row r="82" spans="1:14">
      <c r="A82" s="1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</row>
    <row r="83" spans="1:14">
      <c r="A83" s="1">
        <v>14</v>
      </c>
      <c r="B83" s="279" t="s">
        <v>323</v>
      </c>
      <c r="C83" s="281">
        <v>24.73</v>
      </c>
      <c r="D83" s="281">
        <v>24.73</v>
      </c>
      <c r="E83" s="281">
        <v>24.73</v>
      </c>
      <c r="F83" s="281">
        <v>24.73</v>
      </c>
      <c r="G83" s="281">
        <v>24.73</v>
      </c>
      <c r="H83" s="281">
        <v>24.73</v>
      </c>
      <c r="I83" s="281">
        <v>24.73</v>
      </c>
      <c r="J83" s="281">
        <v>24.73</v>
      </c>
      <c r="K83" s="281">
        <v>24.73</v>
      </c>
      <c r="L83" s="281">
        <v>24.73</v>
      </c>
      <c r="M83" s="281">
        <v>24.73</v>
      </c>
      <c r="N83" s="281">
        <v>24.73</v>
      </c>
    </row>
    <row r="84" spans="1:14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</row>
    <row r="85" spans="1:14">
      <c r="A85" s="1">
        <v>24</v>
      </c>
      <c r="B85" s="51" t="s">
        <v>324</v>
      </c>
      <c r="C85" s="278">
        <v>-93865.44</v>
      </c>
      <c r="D85" s="278">
        <v>112043.88</v>
      </c>
      <c r="E85" s="278">
        <v>-350999.37</v>
      </c>
      <c r="F85" s="278">
        <v>-238903.87</v>
      </c>
      <c r="G85" s="278">
        <v>-545700.26</v>
      </c>
      <c r="H85" s="278">
        <v>-572639.06999999995</v>
      </c>
      <c r="I85" s="278">
        <v>-289106.92</v>
      </c>
      <c r="J85" s="278">
        <v>-23343.4</v>
      </c>
      <c r="K85" s="278">
        <v>-294999.42</v>
      </c>
      <c r="L85" s="278">
        <v>79670.53</v>
      </c>
      <c r="M85" s="278">
        <v>-180437.08</v>
      </c>
      <c r="N85" s="278">
        <v>-205884.39</v>
      </c>
    </row>
    <row r="86" spans="1:14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</row>
    <row r="87" spans="1:14"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</row>
    <row r="88" spans="1:14"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</row>
    <row r="89" spans="1:14"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</row>
    <row r="90" spans="1:14"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</row>
    <row r="91" spans="1:14"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</row>
    <row r="92" spans="1:14"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</row>
    <row r="93" spans="1:14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</row>
    <row r="94" spans="1:14"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</row>
    <row r="95" spans="1:14"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</row>
    <row r="96" spans="1:14"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3:14"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</row>
    <row r="98" spans="3:14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</row>
    <row r="99" spans="3:14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3:14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</row>
    <row r="101" spans="3:14"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</row>
    <row r="102" spans="3:14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</row>
    <row r="103" spans="3:14"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3:14"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</row>
    <row r="105" spans="3:14"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</row>
    <row r="106" spans="3:14"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</row>
    <row r="107" spans="3:14"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</row>
    <row r="108" spans="3:14"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</row>
    <row r="109" spans="3:14"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</row>
    <row r="110" spans="3:14"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</row>
    <row r="111" spans="3:14"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</row>
    <row r="112" spans="3:14"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</row>
    <row r="113" spans="3:14"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3:14"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</row>
    <row r="115" spans="3:14"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</row>
    <row r="116" spans="3:14"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</row>
    <row r="117" spans="3:14"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</row>
    <row r="118" spans="3:14"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</row>
    <row r="119" spans="3:14"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</row>
    <row r="120" spans="3:14"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</row>
    <row r="121" spans="3:14"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</row>
    <row r="122" spans="3:14"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</row>
    <row r="123" spans="3:14"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</row>
    <row r="124" spans="3:14"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</row>
    <row r="125" spans="3:14"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</row>
    <row r="126" spans="3:14"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</row>
    <row r="127" spans="3:14"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</row>
    <row r="128" spans="3:14"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</row>
    <row r="129" spans="3:14"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3:14"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</row>
    <row r="131" spans="3:14"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</row>
    <row r="132" spans="3:14"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</row>
    <row r="133" spans="3:14"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</row>
    <row r="134" spans="3:14"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</row>
    <row r="135" spans="3:14"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</row>
    <row r="136" spans="3:14"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</row>
    <row r="137" spans="3:14"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</row>
    <row r="138" spans="3:14"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</row>
    <row r="139" spans="3:14"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</row>
    <row r="140" spans="3:14"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</row>
    <row r="141" spans="3:14"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</row>
    <row r="142" spans="3:14"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</row>
    <row r="143" spans="3:14"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</row>
    <row r="144" spans="3:14"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</row>
    <row r="145" spans="3:14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</row>
    <row r="146" spans="3:14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3:14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</row>
    <row r="148" spans="3:14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</row>
    <row r="149" spans="3:14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</row>
    <row r="150" spans="3:14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</row>
    <row r="151" spans="3:14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</row>
    <row r="152" spans="3:14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</row>
    <row r="153" spans="3:14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</row>
    <row r="154" spans="3:14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</row>
    <row r="155" spans="3:14"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</row>
    <row r="156" spans="3:14"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</row>
    <row r="157" spans="3:14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</row>
    <row r="158" spans="3:14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</row>
    <row r="159" spans="3:14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</row>
    <row r="160" spans="3:14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</row>
    <row r="161" spans="3:14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</row>
    <row r="162" spans="3:14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</row>
    <row r="163" spans="3:14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</row>
    <row r="164" spans="3:14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</row>
    <row r="165" spans="3:14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</row>
    <row r="166" spans="3:14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</row>
    <row r="167" spans="3:14"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</row>
    <row r="168" spans="3:14"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</row>
    <row r="169" spans="3:14"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</row>
    <row r="170" spans="3:14"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</row>
    <row r="171" spans="3:14"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</row>
    <row r="172" spans="3:14"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</row>
    <row r="173" spans="3:14"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</row>
    <row r="174" spans="3:14"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</row>
    <row r="175" spans="3:14"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</row>
    <row r="176" spans="3:14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3:14"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</row>
    <row r="179" spans="3:14"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</row>
    <row r="180" spans="3:14"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</row>
    <row r="181" spans="3:14"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</row>
    <row r="182" spans="3:14"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</row>
    <row r="183" spans="3:14"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</row>
    <row r="184" spans="3:14"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</row>
    <row r="185" spans="3:14"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</row>
    <row r="186" spans="3:14"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</row>
    <row r="187" spans="3:14"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</row>
    <row r="188" spans="3:14"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</row>
    <row r="189" spans="3:14"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</row>
    <row r="190" spans="3:14"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</row>
    <row r="191" spans="3:14"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</row>
    <row r="192" spans="3:14"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</row>
    <row r="193" spans="3:14"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</row>
    <row r="194" spans="3:14"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</row>
    <row r="195" spans="3:14"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</row>
    <row r="196" spans="3:14"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</row>
    <row r="197" spans="3:14"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</row>
    <row r="198" spans="3:14"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</row>
    <row r="199" spans="3:14"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</row>
    <row r="200" spans="3:14"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</row>
    <row r="201" spans="3:14"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</row>
    <row r="202" spans="3:14"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</row>
    <row r="203" spans="3:14"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</row>
    <row r="204" spans="3:14"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</row>
    <row r="205" spans="3:14"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</row>
    <row r="206" spans="3:14"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</row>
    <row r="207" spans="3:14"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</row>
    <row r="208" spans="3:14"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</row>
    <row r="209" spans="3:14"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</row>
    <row r="210" spans="3:14"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</row>
    <row r="211" spans="3:14"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</row>
    <row r="212" spans="3:14"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</row>
    <row r="213" spans="3:14"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</row>
    <row r="214" spans="3:14"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</row>
    <row r="215" spans="3:14"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</row>
    <row r="216" spans="3:14"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</row>
    <row r="217" spans="3:14"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</row>
    <row r="218" spans="3:14"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</row>
    <row r="219" spans="3:14"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</row>
    <row r="220" spans="3:14"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</row>
    <row r="221" spans="3:14"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</row>
    <row r="222" spans="3:14"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</row>
    <row r="223" spans="3:14"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3:14"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</row>
    <row r="225" spans="3:14"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</row>
    <row r="226" spans="3:14"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</row>
    <row r="227" spans="3:14"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</row>
    <row r="228" spans="3:14"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</row>
    <row r="229" spans="3:14"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</row>
    <row r="230" spans="3:14"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</row>
    <row r="231" spans="3:14"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</row>
    <row r="232" spans="3:14"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</row>
    <row r="233" spans="3:14"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</row>
    <row r="234" spans="3:14"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</row>
    <row r="235" spans="3:14"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</row>
    <row r="236" spans="3:14"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</row>
    <row r="237" spans="3:14"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</row>
    <row r="238" spans="3:14"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</row>
    <row r="239" spans="3:14"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</row>
    <row r="240" spans="3:14"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</row>
    <row r="241" spans="3:14"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</row>
    <row r="242" spans="3:14"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</row>
    <row r="243" spans="3:14"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</row>
    <row r="244" spans="3:14"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</row>
    <row r="245" spans="3:14"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</row>
    <row r="246" spans="3:14"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</row>
    <row r="247" spans="3:14"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</row>
    <row r="248" spans="3:14"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</row>
    <row r="249" spans="3:14"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</row>
    <row r="250" spans="3:14"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</row>
    <row r="251" spans="3:14"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</row>
    <row r="252" spans="3:14"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</row>
    <row r="253" spans="3:14"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</row>
    <row r="254" spans="3:14"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</row>
    <row r="255" spans="3:14"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</row>
    <row r="256" spans="3:14"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</row>
    <row r="257" spans="3:14"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3:14"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</row>
    <row r="259" spans="3:14"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</row>
    <row r="260" spans="3:14"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</row>
    <row r="261" spans="3:14"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</row>
    <row r="262" spans="3:14"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</row>
    <row r="263" spans="3:14"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</row>
    <row r="264" spans="3:14"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</row>
    <row r="265" spans="3:14"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</row>
    <row r="266" spans="3:14"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</row>
    <row r="267" spans="3:14"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</row>
    <row r="268" spans="3:14"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</row>
    <row r="269" spans="3:14"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</row>
    <row r="270" spans="3:14"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</row>
    <row r="271" spans="3:14"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</row>
    <row r="272" spans="3:14"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</row>
    <row r="273" spans="3:14"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</row>
    <row r="274" spans="3:14"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</row>
    <row r="275" spans="3:14"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</row>
    <row r="276" spans="3:14"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</row>
    <row r="277" spans="3:14"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</row>
    <row r="278" spans="3:14"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</row>
    <row r="279" spans="3:14"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</row>
    <row r="280" spans="3:14"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</row>
    <row r="281" spans="3:14"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</row>
    <row r="282" spans="3:14"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</row>
    <row r="283" spans="3:14"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</row>
    <row r="284" spans="3:14"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</row>
    <row r="285" spans="3:14"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</row>
    <row r="286" spans="3:14"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</row>
    <row r="287" spans="3:14"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</row>
    <row r="288" spans="3:14"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</row>
    <row r="289" spans="3:14"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</row>
    <row r="290" spans="3:14"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</row>
    <row r="291" spans="3:14"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</row>
    <row r="292" spans="3:14"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</row>
    <row r="293" spans="3:14"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</row>
    <row r="294" spans="3:14"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</row>
    <row r="295" spans="3:14"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</row>
    <row r="296" spans="3:14"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</row>
    <row r="297" spans="3:14"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</row>
    <row r="298" spans="3:14"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</row>
    <row r="299" spans="3:14"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</row>
    <row r="300" spans="3:14"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</row>
    <row r="301" spans="3:14"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</row>
    <row r="302" spans="3:14"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</row>
    <row r="303" spans="3:14"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</row>
    <row r="304" spans="3:14"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</row>
    <row r="305" spans="3:14"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</row>
    <row r="306" spans="3:14"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</row>
    <row r="307" spans="3:14"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</row>
    <row r="308" spans="3:14"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</row>
    <row r="309" spans="3:14"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</row>
    <row r="310" spans="3:14"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</row>
    <row r="311" spans="3:14"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</row>
    <row r="312" spans="3:14"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</row>
    <row r="313" spans="3:14"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</row>
    <row r="314" spans="3:14"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</row>
    <row r="315" spans="3:14"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</row>
    <row r="316" spans="3:14"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</row>
    <row r="317" spans="3:14"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</row>
    <row r="318" spans="3:14"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</row>
    <row r="319" spans="3:14"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</row>
    <row r="320" spans="3:14"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</row>
    <row r="321" spans="3:14"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</row>
    <row r="322" spans="3:14"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</row>
    <row r="323" spans="3:14"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</row>
    <row r="324" spans="3:14"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</row>
    <row r="325" spans="3:14"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</row>
    <row r="326" spans="3:14"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</row>
    <row r="327" spans="3:14"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</row>
    <row r="328" spans="3:14"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</row>
    <row r="329" spans="3:14"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</row>
    <row r="330" spans="3:14"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</row>
    <row r="331" spans="3:14"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</row>
    <row r="332" spans="3:14"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</row>
    <row r="333" spans="3:14"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</row>
    <row r="334" spans="3:14"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</row>
    <row r="335" spans="3:14"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</row>
    <row r="336" spans="3:14"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</row>
    <row r="337" spans="3:14"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</row>
    <row r="338" spans="3:14"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</row>
    <row r="339" spans="3:14"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</row>
    <row r="340" spans="3:14"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</row>
    <row r="341" spans="3:14"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</row>
    <row r="342" spans="3:14"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</row>
    <row r="343" spans="3:14"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</row>
    <row r="344" spans="3:14"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</row>
    <row r="345" spans="3:14"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</row>
    <row r="346" spans="3:14"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</row>
    <row r="347" spans="3:14"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</row>
    <row r="348" spans="3:14"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</row>
    <row r="349" spans="3:14"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</row>
    <row r="350" spans="3:14"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</row>
    <row r="351" spans="3:14"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28" t="s">
        <v>220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9" ht="15.75">
      <c r="A2" s="429" t="s">
        <v>36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1:19">
      <c r="A3" s="249" t="s">
        <v>0</v>
      </c>
    </row>
    <row r="4" spans="1:19">
      <c r="A4" s="146" t="s">
        <v>1</v>
      </c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9">
      <c r="B5" s="266" t="s">
        <v>221</v>
      </c>
      <c r="C5" s="248"/>
      <c r="D5" s="430" t="s">
        <v>10</v>
      </c>
      <c r="E5" s="430"/>
      <c r="F5" s="304">
        <v>43131</v>
      </c>
      <c r="G5" s="304">
        <f>EOMONTH(F5,1)</f>
        <v>43159</v>
      </c>
      <c r="H5" s="304">
        <f t="shared" ref="H5:Q5" si="0">EOMONTH(G5,1)</f>
        <v>43190</v>
      </c>
      <c r="I5" s="304">
        <f t="shared" si="0"/>
        <v>43220</v>
      </c>
      <c r="J5" s="304">
        <f t="shared" si="0"/>
        <v>43251</v>
      </c>
      <c r="K5" s="304">
        <f t="shared" si="0"/>
        <v>43281</v>
      </c>
      <c r="L5" s="304">
        <f t="shared" si="0"/>
        <v>43312</v>
      </c>
      <c r="M5" s="304">
        <f t="shared" si="0"/>
        <v>43343</v>
      </c>
      <c r="N5" s="304">
        <f t="shared" si="0"/>
        <v>43373</v>
      </c>
      <c r="O5" s="304">
        <f t="shared" si="0"/>
        <v>43404</v>
      </c>
      <c r="P5" s="304">
        <f t="shared" si="0"/>
        <v>43434</v>
      </c>
      <c r="Q5" s="304">
        <f t="shared" si="0"/>
        <v>43465</v>
      </c>
    </row>
    <row r="6" spans="1:19" ht="15.95" customHeight="1">
      <c r="A6" s="146">
        <v>1</v>
      </c>
      <c r="B6" s="51" t="s">
        <v>3</v>
      </c>
      <c r="D6" s="431">
        <f>SUM(F6:Q6)</f>
        <v>110845564</v>
      </c>
      <c r="E6" s="431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6606233</v>
      </c>
      <c r="M6" s="160">
        <f>'WA Monthly'!L23</f>
        <v>15747984</v>
      </c>
      <c r="N6" s="160">
        <f>'WA Monthly'!M23</f>
        <v>9527787</v>
      </c>
      <c r="O6" s="160">
        <f>'WA Monthly'!N23</f>
        <v>6852563</v>
      </c>
      <c r="P6" s="160">
        <f>'WA Monthly'!O23</f>
        <v>31525</v>
      </c>
      <c r="Q6" s="160">
        <f>'WA Monthly'!P23</f>
        <v>32573</v>
      </c>
    </row>
    <row r="7" spans="1:19" ht="15.95" customHeight="1">
      <c r="A7" s="146">
        <f t="shared" ref="A7:A13" si="1">A6+1</f>
        <v>2</v>
      </c>
      <c r="B7" s="51" t="s">
        <v>6</v>
      </c>
      <c r="D7" s="425">
        <f t="shared" ref="D7:D13" si="2">SUM(F7:Q7)</f>
        <v>-76412200</v>
      </c>
      <c r="E7" s="425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-2002952</v>
      </c>
      <c r="M7" s="160">
        <f>'WA Monthly'!L45</f>
        <v>-8712018</v>
      </c>
      <c r="N7" s="160">
        <f>'WA Monthly'!M45</f>
        <v>-4747226</v>
      </c>
      <c r="O7" s="160">
        <f>'WA Monthly'!N45</f>
        <v>-412907</v>
      </c>
      <c r="P7" s="160">
        <f>'WA Monthly'!O45</f>
        <v>0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24">
        <f t="shared" si="2"/>
        <v>20779350</v>
      </c>
      <c r="E8" s="424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1521108</v>
      </c>
      <c r="M8" s="160">
        <f>'WA Monthly'!L62</f>
        <v>2093856</v>
      </c>
      <c r="N8" s="160">
        <f>'WA Monthly'!M62</f>
        <v>2657404</v>
      </c>
      <c r="O8" s="160">
        <f>'WA Monthly'!N62</f>
        <v>3019827</v>
      </c>
      <c r="P8" s="160">
        <f>'WA Monthly'!O62</f>
        <v>0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24">
        <f t="shared" si="2"/>
        <v>51615439</v>
      </c>
      <c r="E9" s="424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7376855</v>
      </c>
      <c r="M9" s="160">
        <f>'WA Monthly'!L79</f>
        <v>7709363</v>
      </c>
      <c r="N9" s="160">
        <f>'WA Monthly'!M79</f>
        <v>5836996</v>
      </c>
      <c r="O9" s="160">
        <f>'WA Monthly'!N79</f>
        <v>4507069</v>
      </c>
      <c r="P9" s="160">
        <f>'WA Monthly'!O79</f>
        <v>0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25">
        <f t="shared" si="2"/>
        <v>-14346279</v>
      </c>
      <c r="E10" s="425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-1890542</v>
      </c>
      <c r="M10" s="160">
        <f>'WA Monthly'!L92</f>
        <v>-1741991</v>
      </c>
      <c r="N10" s="160">
        <f>'WA Monthly'!M92</f>
        <v>-1215513</v>
      </c>
      <c r="O10" s="160">
        <f>'WA Monthly'!N92</f>
        <v>-1310638</v>
      </c>
      <c r="P10" s="160">
        <f>'WA Monthly'!O92</f>
        <v>0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24">
        <f t="shared" si="2"/>
        <v>14656625</v>
      </c>
      <c r="E11" s="424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1431372</v>
      </c>
      <c r="M11" s="160">
        <f>'WA Monthly'!L98</f>
        <v>1471267</v>
      </c>
      <c r="N11" s="160">
        <f>'WA Monthly'!M98</f>
        <v>1507466</v>
      </c>
      <c r="O11" s="160">
        <f>'WA Monthly'!N98</f>
        <v>1419923</v>
      </c>
      <c r="P11" s="160">
        <f>'WA Monthly'!O98</f>
        <v>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24">
        <f t="shared" si="2"/>
        <v>531127</v>
      </c>
      <c r="E12" s="424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42517</v>
      </c>
      <c r="M12" s="160">
        <f>'WA Monthly'!L105</f>
        <v>54638</v>
      </c>
      <c r="N12" s="160">
        <f>'WA Monthly'!M105</f>
        <v>67390</v>
      </c>
      <c r="O12" s="160">
        <f>'WA Monthly'!N105</f>
        <v>40351</v>
      </c>
      <c r="P12" s="160">
        <f>'WA Monthly'!O105</f>
        <v>0</v>
      </c>
      <c r="Q12" s="160">
        <f>'WA Monthly'!P105</f>
        <v>0</v>
      </c>
    </row>
    <row r="13" spans="1:19" ht="15.95" customHeight="1">
      <c r="A13" s="146">
        <f t="shared" si="1"/>
        <v>8</v>
      </c>
      <c r="B13" s="305" t="s">
        <v>11</v>
      </c>
      <c r="C13" s="305"/>
      <c r="D13" s="417">
        <f t="shared" si="2"/>
        <v>107669626</v>
      </c>
      <c r="E13" s="417"/>
      <c r="F13" s="306">
        <f t="shared" ref="F13:Q13" si="3">SUM(F6:F12)</f>
        <v>12834846</v>
      </c>
      <c r="G13" s="306">
        <f t="shared" si="3"/>
        <v>11844305</v>
      </c>
      <c r="H13" s="306">
        <f t="shared" si="3"/>
        <v>10713656</v>
      </c>
      <c r="I13" s="306">
        <f t="shared" si="3"/>
        <v>6782226</v>
      </c>
      <c r="J13" s="306">
        <f t="shared" si="3"/>
        <v>3548365</v>
      </c>
      <c r="K13" s="306">
        <f t="shared" si="3"/>
        <v>4423948</v>
      </c>
      <c r="L13" s="306">
        <f t="shared" si="3"/>
        <v>13084591</v>
      </c>
      <c r="M13" s="306">
        <f t="shared" si="3"/>
        <v>16623099</v>
      </c>
      <c r="N13" s="306">
        <f t="shared" si="3"/>
        <v>13634304</v>
      </c>
      <c r="O13" s="306">
        <f t="shared" si="3"/>
        <v>14116188</v>
      </c>
      <c r="P13" s="306">
        <f t="shared" si="3"/>
        <v>31525</v>
      </c>
      <c r="Q13" s="306">
        <f t="shared" si="3"/>
        <v>32573</v>
      </c>
    </row>
    <row r="14" spans="1:19" ht="37.5" customHeight="1">
      <c r="B14" s="266" t="s">
        <v>13</v>
      </c>
      <c r="C14" s="248"/>
      <c r="D14" s="426" t="s">
        <v>398</v>
      </c>
      <c r="E14" s="427"/>
      <c r="F14" s="307">
        <f>F5</f>
        <v>43131</v>
      </c>
      <c r="G14" s="307">
        <f>G5</f>
        <v>43159</v>
      </c>
      <c r="H14" s="307">
        <f t="shared" ref="H14:Q14" si="4">H5</f>
        <v>43190</v>
      </c>
      <c r="I14" s="307">
        <f t="shared" si="4"/>
        <v>43220</v>
      </c>
      <c r="J14" s="307">
        <f t="shared" si="4"/>
        <v>43251</v>
      </c>
      <c r="K14" s="307">
        <f t="shared" si="4"/>
        <v>43281</v>
      </c>
      <c r="L14" s="307">
        <f t="shared" si="4"/>
        <v>43312</v>
      </c>
      <c r="M14" s="307">
        <f t="shared" si="4"/>
        <v>43343</v>
      </c>
      <c r="N14" s="307">
        <f t="shared" si="4"/>
        <v>43373</v>
      </c>
      <c r="O14" s="307">
        <f t="shared" si="4"/>
        <v>43404</v>
      </c>
      <c r="P14" s="307">
        <f t="shared" si="4"/>
        <v>43434</v>
      </c>
      <c r="Q14" s="307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23">
        <f t="shared" ref="D15:D22" si="5">SUM(F15:O15)</f>
        <v>89328934</v>
      </c>
      <c r="E15" s="423"/>
      <c r="F15" s="231">
        <f>'Input Tab'!C5</f>
        <v>12127251</v>
      </c>
      <c r="G15" s="231">
        <f>'Input Tab'!D5</f>
        <v>11591985</v>
      </c>
      <c r="H15" s="231">
        <f>'Input Tab'!E5</f>
        <v>10660401</v>
      </c>
      <c r="I15" s="231">
        <f>'Input Tab'!F5</f>
        <v>10031882</v>
      </c>
      <c r="J15" s="231">
        <f>'Input Tab'!G5</f>
        <v>7204007</v>
      </c>
      <c r="K15" s="231">
        <f>'Input Tab'!H5</f>
        <v>6832768</v>
      </c>
      <c r="L15" s="231">
        <f>'Input Tab'!I5</f>
        <v>7367141</v>
      </c>
      <c r="M15" s="231">
        <f>'Input Tab'!J5</f>
        <v>8064916</v>
      </c>
      <c r="N15" s="231">
        <f>'Input Tab'!K5</f>
        <v>7448796</v>
      </c>
      <c r="O15" s="231">
        <f>'Input Tab'!L5</f>
        <v>7999787</v>
      </c>
      <c r="P15" s="231">
        <f>'Input Tab'!M5</f>
        <v>11642227</v>
      </c>
      <c r="Q15" s="231">
        <f>'Input Tab'!N5</f>
        <v>12112599</v>
      </c>
      <c r="R15" s="219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23">
        <f t="shared" si="5"/>
        <v>-53947812</v>
      </c>
      <c r="E16" s="423"/>
      <c r="F16" s="308">
        <f>'Input Tab'!C6</f>
        <v>-7154528</v>
      </c>
      <c r="G16" s="308">
        <f>'Input Tab'!D6</f>
        <v>-6331583</v>
      </c>
      <c r="H16" s="308">
        <f>'Input Tab'!E6</f>
        <v>-7373144</v>
      </c>
      <c r="I16" s="308">
        <f>'Input Tab'!F6</f>
        <v>-9451450</v>
      </c>
      <c r="J16" s="308">
        <f>'Input Tab'!G6</f>
        <v>-3992970</v>
      </c>
      <c r="K16" s="308">
        <f>'Input Tab'!H6</f>
        <v>-3782256</v>
      </c>
      <c r="L16" s="308">
        <f>'Input Tab'!I6</f>
        <v>-5325599</v>
      </c>
      <c r="M16" s="308">
        <f>'Input Tab'!J6</f>
        <v>-3215251</v>
      </c>
      <c r="N16" s="308">
        <f>'Input Tab'!K6</f>
        <v>-4016772</v>
      </c>
      <c r="O16" s="308">
        <f>'Input Tab'!L6</f>
        <v>-3304259</v>
      </c>
      <c r="P16" s="308">
        <f>'Input Tab'!M6</f>
        <v>-4468025</v>
      </c>
      <c r="Q16" s="308">
        <f>'Input Tab'!N6</f>
        <v>-6320023</v>
      </c>
      <c r="R16" s="219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23">
        <f t="shared" si="5"/>
        <v>22623076</v>
      </c>
      <c r="E17" s="423"/>
      <c r="F17" s="231">
        <f>'Input Tab'!C7</f>
        <v>2667343</v>
      </c>
      <c r="G17" s="231">
        <f>'Input Tab'!D7</f>
        <v>2503517</v>
      </c>
      <c r="H17" s="231">
        <f>'Input Tab'!E7</f>
        <v>2494287</v>
      </c>
      <c r="I17" s="231">
        <f>'Input Tab'!F7</f>
        <v>2179004</v>
      </c>
      <c r="J17" s="231">
        <f>'Input Tab'!G7</f>
        <v>1551263</v>
      </c>
      <c r="K17" s="231">
        <f>'Input Tab'!H7</f>
        <v>1358751</v>
      </c>
      <c r="L17" s="231">
        <f>'Input Tab'!I7</f>
        <v>2219592</v>
      </c>
      <c r="M17" s="231">
        <f>'Input Tab'!J7</f>
        <v>2478125</v>
      </c>
      <c r="N17" s="231">
        <f>'Input Tab'!K7</f>
        <v>2578207</v>
      </c>
      <c r="O17" s="231">
        <f>'Input Tab'!L7</f>
        <v>2592987</v>
      </c>
      <c r="P17" s="231">
        <f>'Input Tab'!M7</f>
        <v>2566833</v>
      </c>
      <c r="Q17" s="231">
        <f>'Input Tab'!N7</f>
        <v>2703884</v>
      </c>
      <c r="R17" s="219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23">
        <f t="shared" si="5"/>
        <v>57454937</v>
      </c>
      <c r="E18" s="423"/>
      <c r="F18" s="231">
        <f>'Input Tab'!C8</f>
        <v>8481668</v>
      </c>
      <c r="G18" s="231">
        <f>'Input Tab'!D8</f>
        <v>7698692</v>
      </c>
      <c r="H18" s="231">
        <f>'Input Tab'!E8</f>
        <v>7292619</v>
      </c>
      <c r="I18" s="231">
        <f>'Input Tab'!F8</f>
        <v>5265751</v>
      </c>
      <c r="J18" s="231">
        <f>'Input Tab'!G8</f>
        <v>1426182</v>
      </c>
      <c r="K18" s="231">
        <f>'Input Tab'!H8</f>
        <v>1698327</v>
      </c>
      <c r="L18" s="231">
        <f>'Input Tab'!I8</f>
        <v>5653252</v>
      </c>
      <c r="M18" s="231">
        <f>'Input Tab'!J8</f>
        <v>7341418</v>
      </c>
      <c r="N18" s="231">
        <f>'Input Tab'!K8</f>
        <v>6493558</v>
      </c>
      <c r="O18" s="231">
        <f>'Input Tab'!L8</f>
        <v>6103470</v>
      </c>
      <c r="P18" s="231">
        <f>'Input Tab'!M8</f>
        <v>6561954</v>
      </c>
      <c r="Q18" s="231">
        <f>'Input Tab'!N8</f>
        <v>8397561</v>
      </c>
      <c r="R18" s="219"/>
    </row>
    <row r="19" spans="1:19" ht="15.95" customHeight="1">
      <c r="A19" s="146">
        <f t="shared" si="6"/>
        <v>13</v>
      </c>
      <c r="B19" s="51" t="s">
        <v>139</v>
      </c>
      <c r="C19" s="41"/>
      <c r="D19" s="423">
        <f t="shared" si="5"/>
        <v>-12813598</v>
      </c>
      <c r="E19" s="423"/>
      <c r="F19" s="308">
        <f>'Input Tab'!C9</f>
        <v>-1306342</v>
      </c>
      <c r="G19" s="308">
        <f>'Input Tab'!D9</f>
        <v>-1061936</v>
      </c>
      <c r="H19" s="308">
        <f>'Input Tab'!E9</f>
        <v>-1137644</v>
      </c>
      <c r="I19" s="308">
        <f>'Input Tab'!F9</f>
        <v>-1166933</v>
      </c>
      <c r="J19" s="308">
        <f>'Input Tab'!G9</f>
        <v>-1253488</v>
      </c>
      <c r="K19" s="308">
        <f>'Input Tab'!H9</f>
        <v>-1398529</v>
      </c>
      <c r="L19" s="308">
        <f>'Input Tab'!I9</f>
        <v>-1450378</v>
      </c>
      <c r="M19" s="308">
        <f>'Input Tab'!J9</f>
        <v>-1346819</v>
      </c>
      <c r="N19" s="308">
        <f>'Input Tab'!K9</f>
        <v>-1372213</v>
      </c>
      <c r="O19" s="308">
        <f>'Input Tab'!L9</f>
        <v>-1319316</v>
      </c>
      <c r="P19" s="308">
        <f>'Input Tab'!M9</f>
        <v>-1257650</v>
      </c>
      <c r="Q19" s="308">
        <f>'Input Tab'!N9</f>
        <v>-1191496</v>
      </c>
      <c r="R19" s="219"/>
    </row>
    <row r="20" spans="1:19" ht="15.95" customHeight="1">
      <c r="A20" s="146">
        <f t="shared" si="6"/>
        <v>14</v>
      </c>
      <c r="B20" s="51" t="s">
        <v>106</v>
      </c>
      <c r="C20" s="41"/>
      <c r="D20" s="423">
        <f t="shared" si="5"/>
        <v>14481959</v>
      </c>
      <c r="E20" s="423"/>
      <c r="F20" s="309">
        <f>'Input Tab'!C10</f>
        <v>1503379</v>
      </c>
      <c r="G20" s="309">
        <f>'Input Tab'!D10</f>
        <v>1417562</v>
      </c>
      <c r="H20" s="309">
        <f>'Input Tab'!E10</f>
        <v>1557827</v>
      </c>
      <c r="I20" s="309">
        <f>'Input Tab'!F10</f>
        <v>1347286</v>
      </c>
      <c r="J20" s="309">
        <f>'Input Tab'!G10</f>
        <v>1394142</v>
      </c>
      <c r="K20" s="309">
        <f>'Input Tab'!H10</f>
        <v>1391308</v>
      </c>
      <c r="L20" s="309">
        <f>'Input Tab'!I10</f>
        <v>1452951</v>
      </c>
      <c r="M20" s="309">
        <f>'Input Tab'!J10</f>
        <v>1443202</v>
      </c>
      <c r="N20" s="309">
        <f>'Input Tab'!K10</f>
        <v>1567441</v>
      </c>
      <c r="O20" s="309">
        <f>'Input Tab'!L10</f>
        <v>1406861</v>
      </c>
      <c r="P20" s="309">
        <f>'Input Tab'!M10</f>
        <v>1416449</v>
      </c>
      <c r="Q20" s="309">
        <f>'Input Tab'!N10</f>
        <v>1446134</v>
      </c>
      <c r="R20" s="219"/>
    </row>
    <row r="21" spans="1:19" ht="15.95" customHeight="1">
      <c r="A21" s="146">
        <f t="shared" si="6"/>
        <v>15</v>
      </c>
      <c r="B21" s="51" t="s">
        <v>107</v>
      </c>
      <c r="D21" s="423">
        <f t="shared" si="5"/>
        <v>435500</v>
      </c>
      <c r="E21" s="423"/>
      <c r="F21" s="231">
        <f>'Input Tab'!C11</f>
        <v>57500</v>
      </c>
      <c r="G21" s="231">
        <f>'Input Tab'!D11</f>
        <v>57500</v>
      </c>
      <c r="H21" s="231">
        <f>'Input Tab'!E11</f>
        <v>57500</v>
      </c>
      <c r="I21" s="231">
        <f>'Input Tab'!F11</f>
        <v>57500</v>
      </c>
      <c r="J21" s="231">
        <f>'Input Tab'!G11</f>
        <v>34250</v>
      </c>
      <c r="K21" s="231">
        <f>'Input Tab'!H11</f>
        <v>34250</v>
      </c>
      <c r="L21" s="231">
        <f>'Input Tab'!I11</f>
        <v>34250</v>
      </c>
      <c r="M21" s="231">
        <f>'Input Tab'!J11</f>
        <v>34250</v>
      </c>
      <c r="N21" s="231">
        <f>'Input Tab'!K11</f>
        <v>34250</v>
      </c>
      <c r="O21" s="231">
        <f>'Input Tab'!L11</f>
        <v>34250</v>
      </c>
      <c r="P21" s="231">
        <f>'Input Tab'!M11</f>
        <v>34250</v>
      </c>
      <c r="Q21" s="231">
        <f>'Input Tab'!N11</f>
        <v>34250</v>
      </c>
      <c r="R21" s="219"/>
    </row>
    <row r="22" spans="1:19" ht="15.95" customHeight="1">
      <c r="A22" s="146">
        <f>A21+1</f>
        <v>16</v>
      </c>
      <c r="B22" s="51" t="s">
        <v>380</v>
      </c>
      <c r="D22" s="423">
        <f t="shared" si="5"/>
        <v>-2284164</v>
      </c>
      <c r="E22" s="423"/>
      <c r="F22" s="231">
        <f>('Input Tab'!C12)/'Input Tab'!C13</f>
        <v>-193170</v>
      </c>
      <c r="G22" s="231">
        <f>('Input Tab'!D12)/'Input Tab'!D13</f>
        <v>-193170</v>
      </c>
      <c r="H22" s="231">
        <f>('Input Tab'!E12)/'Input Tab'!E13</f>
        <v>-193170</v>
      </c>
      <c r="I22" s="231">
        <f>('Input Tab'!F12)/'Input Tab'!F13</f>
        <v>-193170</v>
      </c>
      <c r="J22" s="231">
        <f>('Input Tab'!G12)/'Input Tab'!G13</f>
        <v>-251914</v>
      </c>
      <c r="K22" s="231">
        <f>('Input Tab'!H12)/'Input Tab'!H13</f>
        <v>-251914</v>
      </c>
      <c r="L22" s="231">
        <f>('Input Tab'!I12)/'Input Tab'!I13</f>
        <v>-251914</v>
      </c>
      <c r="M22" s="231">
        <f>('Input Tab'!J12)/'Input Tab'!J13</f>
        <v>-251914</v>
      </c>
      <c r="N22" s="231">
        <f>('Input Tab'!K12)/'Input Tab'!K13</f>
        <v>-251914</v>
      </c>
      <c r="O22" s="231">
        <f>('Input Tab'!L12)/'Input Tab'!L13</f>
        <v>-251914</v>
      </c>
      <c r="P22" s="231">
        <f>('Input Tab'!M12)/'Input Tab'!M13</f>
        <v>-251914</v>
      </c>
      <c r="Q22" s="231">
        <f>('Input Tab'!N12)/'Input Tab'!N13</f>
        <v>-251914</v>
      </c>
      <c r="R22" s="219"/>
    </row>
    <row r="23" spans="1:19" ht="20.25" customHeight="1">
      <c r="A23" s="146">
        <f>A22+1</f>
        <v>17</v>
      </c>
      <c r="B23" s="305" t="s">
        <v>7</v>
      </c>
      <c r="C23" s="305"/>
      <c r="D23" s="417">
        <f>SUM(D15:E22)</f>
        <v>115278832</v>
      </c>
      <c r="E23" s="417"/>
      <c r="F23" s="310">
        <f>SUM(F15:F22)</f>
        <v>16183101</v>
      </c>
      <c r="G23" s="310">
        <f t="shared" ref="G23:Q23" si="7">SUM(G15:G22)</f>
        <v>15682567</v>
      </c>
      <c r="H23" s="310">
        <f t="shared" si="7"/>
        <v>13358676</v>
      </c>
      <c r="I23" s="310">
        <f t="shared" si="7"/>
        <v>8069870</v>
      </c>
      <c r="J23" s="310">
        <f t="shared" si="7"/>
        <v>6111472</v>
      </c>
      <c r="K23" s="310">
        <f t="shared" si="7"/>
        <v>5882705</v>
      </c>
      <c r="L23" s="310">
        <f t="shared" si="7"/>
        <v>9699295</v>
      </c>
      <c r="M23" s="310">
        <f t="shared" si="7"/>
        <v>14547927</v>
      </c>
      <c r="N23" s="310">
        <f t="shared" si="7"/>
        <v>12481353</v>
      </c>
      <c r="O23" s="310">
        <f t="shared" si="7"/>
        <v>13261866</v>
      </c>
      <c r="P23" s="310">
        <f t="shared" si="7"/>
        <v>16244124</v>
      </c>
      <c r="Q23" s="310">
        <f t="shared" si="7"/>
        <v>16930995</v>
      </c>
      <c r="R23" s="219"/>
    </row>
    <row r="24" spans="1:19" ht="28.5" customHeight="1">
      <c r="A24" s="146">
        <f t="shared" si="6"/>
        <v>18</v>
      </c>
      <c r="B24" s="305" t="s">
        <v>8</v>
      </c>
      <c r="C24" s="305"/>
      <c r="D24" s="422">
        <f>SUM(F24:O24)</f>
        <v>-7673304</v>
      </c>
      <c r="E24" s="422" t="str">
        <f t="shared" ref="E24:Q24" si="8">IF(E13=0," ",E13-E23)</f>
        <v xml:space="preserve"> </v>
      </c>
      <c r="F24" s="310">
        <f t="shared" si="8"/>
        <v>-3348255</v>
      </c>
      <c r="G24" s="310">
        <f t="shared" si="8"/>
        <v>-3838262</v>
      </c>
      <c r="H24" s="310">
        <f t="shared" si="8"/>
        <v>-2645020</v>
      </c>
      <c r="I24" s="310">
        <f t="shared" si="8"/>
        <v>-1287644</v>
      </c>
      <c r="J24" s="310">
        <f t="shared" si="8"/>
        <v>-2563107</v>
      </c>
      <c r="K24" s="310">
        <f t="shared" si="8"/>
        <v>-1458757</v>
      </c>
      <c r="L24" s="310">
        <f t="shared" si="8"/>
        <v>3385296</v>
      </c>
      <c r="M24" s="310">
        <f t="shared" si="8"/>
        <v>2075172</v>
      </c>
      <c r="N24" s="310">
        <f t="shared" si="8"/>
        <v>1152951</v>
      </c>
      <c r="O24" s="310">
        <f t="shared" si="8"/>
        <v>854322</v>
      </c>
      <c r="P24" s="310">
        <f t="shared" si="8"/>
        <v>-16212599</v>
      </c>
      <c r="Q24" s="310">
        <f t="shared" si="8"/>
        <v>-16898422</v>
      </c>
    </row>
    <row r="25" spans="1:19" ht="26.25" customHeight="1">
      <c r="A25" s="146">
        <f t="shared" si="6"/>
        <v>19</v>
      </c>
      <c r="B25" s="187" t="s">
        <v>292</v>
      </c>
      <c r="C25" s="187"/>
      <c r="D25" s="416">
        <f>SUM(F25:Q25)</f>
        <v>-11867588</v>
      </c>
      <c r="E25" s="416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>
        <f>'WA Monthly'!K135</f>
        <v>-1394230</v>
      </c>
      <c r="M25" s="188">
        <f>'WA Monthly'!L135</f>
        <v>-912263</v>
      </c>
      <c r="N25" s="188">
        <f>'WA Monthly'!M135</f>
        <v>-1264473</v>
      </c>
      <c r="O25" s="188">
        <f>'WA Monthly'!N135</f>
        <v>-1560414</v>
      </c>
      <c r="P25" s="188">
        <f>'WA Monthly'!O135</f>
        <v>0</v>
      </c>
      <c r="Q25" s="188">
        <f>'WA Monthly'!P135</f>
        <v>0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16">
        <f>SUM(F26:Q26)</f>
        <v>-52651913</v>
      </c>
      <c r="E26" s="416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1991066</v>
      </c>
      <c r="M26" s="188">
        <f t="shared" si="9"/>
        <v>1162909</v>
      </c>
      <c r="N26" s="188">
        <f t="shared" si="9"/>
        <v>-111522</v>
      </c>
      <c r="O26" s="188">
        <f t="shared" si="9"/>
        <v>-706092</v>
      </c>
      <c r="P26" s="188">
        <f t="shared" si="9"/>
        <v>-16212599</v>
      </c>
      <c r="Q26" s="188">
        <f t="shared" si="9"/>
        <v>-16898422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11">
        <f>'Input Tab'!C13</f>
        <v>0.64710000000000001</v>
      </c>
      <c r="G27" s="311">
        <f>'Input Tab'!D13</f>
        <v>0.64710000000000001</v>
      </c>
      <c r="H27" s="311">
        <f>'Input Tab'!E13</f>
        <v>0.64710000000000001</v>
      </c>
      <c r="I27" s="311">
        <f>'Input Tab'!F13</f>
        <v>0.64710000000000001</v>
      </c>
      <c r="J27" s="311">
        <f>'Input Tab'!G13</f>
        <v>0.6573</v>
      </c>
      <c r="K27" s="311">
        <f>'Input Tab'!H13</f>
        <v>0.6573</v>
      </c>
      <c r="L27" s="311">
        <f>'Input Tab'!I13</f>
        <v>0.6573</v>
      </c>
      <c r="M27" s="311">
        <f>'Input Tab'!J13</f>
        <v>0.6573</v>
      </c>
      <c r="N27" s="311">
        <f>'Input Tab'!K13</f>
        <v>0.6573</v>
      </c>
      <c r="O27" s="311">
        <f>'Input Tab'!L13</f>
        <v>0.6573</v>
      </c>
      <c r="P27" s="311">
        <f>'Input Tab'!M13</f>
        <v>0.6573</v>
      </c>
      <c r="Q27" s="311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20">
        <f>SUM(F28:O28)</f>
        <v>-12692112</v>
      </c>
      <c r="E28" s="420"/>
      <c r="F28" s="312">
        <f>+F26*F27</f>
        <v>-2582037</v>
      </c>
      <c r="G28" s="312">
        <f>+G26*G27</f>
        <v>-3205158</v>
      </c>
      <c r="H28" s="312">
        <f>+H26*H27</f>
        <v>-2227799</v>
      </c>
      <c r="I28" s="312">
        <f t="shared" ref="I28:Q28" si="10">+I26*I27</f>
        <v>-1635381</v>
      </c>
      <c r="J28" s="312">
        <f t="shared" si="10"/>
        <v>-2648043</v>
      </c>
      <c r="K28" s="312">
        <f t="shared" si="10"/>
        <v>-1929385</v>
      </c>
      <c r="L28" s="312">
        <f t="shared" si="10"/>
        <v>1308728</v>
      </c>
      <c r="M28" s="312">
        <f t="shared" si="10"/>
        <v>764380</v>
      </c>
      <c r="N28" s="312">
        <f t="shared" si="10"/>
        <v>-73303</v>
      </c>
      <c r="O28" s="312">
        <f t="shared" si="10"/>
        <v>-464114</v>
      </c>
      <c r="P28" s="312">
        <f t="shared" si="10"/>
        <v>-10656541</v>
      </c>
      <c r="Q28" s="312">
        <f t="shared" si="10"/>
        <v>-11107333</v>
      </c>
    </row>
    <row r="29" spans="1:19" ht="20.25" customHeight="1">
      <c r="A29" s="146">
        <f>A28+1</f>
        <v>23</v>
      </c>
      <c r="B29" s="51" t="s">
        <v>357</v>
      </c>
      <c r="D29" s="420">
        <f>SUM(F29:O29)</f>
        <v>0</v>
      </c>
      <c r="E29" s="420"/>
      <c r="F29" s="312">
        <f>'WA Monthly'!E133</f>
        <v>0</v>
      </c>
      <c r="G29" s="312">
        <f>'WA Monthly'!F133</f>
        <v>0</v>
      </c>
      <c r="H29" s="312">
        <f>'WA Monthly'!G133</f>
        <v>0</v>
      </c>
      <c r="I29" s="312">
        <f>'WA Monthly'!H133</f>
        <v>0</v>
      </c>
      <c r="J29" s="312">
        <f>'WA Monthly'!I133</f>
        <v>0</v>
      </c>
      <c r="K29" s="312">
        <f>'WA Monthly'!J133</f>
        <v>0</v>
      </c>
      <c r="L29" s="312">
        <f>'WA Monthly'!K133</f>
        <v>0</v>
      </c>
      <c r="M29" s="312">
        <f>'WA Monthly'!L133</f>
        <v>0</v>
      </c>
      <c r="N29" s="312">
        <f>'WA Monthly'!M133</f>
        <v>0</v>
      </c>
      <c r="O29" s="312">
        <f>'WA Monthly'!N133</f>
        <v>0</v>
      </c>
      <c r="P29" s="312">
        <f>'WA Monthly'!O133</f>
        <v>0</v>
      </c>
      <c r="Q29" s="312">
        <f>'WA Monthly'!P133</f>
        <v>0</v>
      </c>
    </row>
    <row r="30" spans="1:19" ht="29.25" customHeight="1">
      <c r="A30" s="146">
        <f t="shared" si="6"/>
        <v>24</v>
      </c>
      <c r="B30" s="414" t="s">
        <v>248</v>
      </c>
      <c r="C30" s="414"/>
      <c r="D30" s="419">
        <f>SUM(F30:Q30)</f>
        <v>966749</v>
      </c>
      <c r="E30" s="419"/>
      <c r="F30" s="313">
        <f>'WA RRC'!B19</f>
        <v>166826</v>
      </c>
      <c r="G30" s="313">
        <f>'WA RRC'!C19</f>
        <v>276446</v>
      </c>
      <c r="H30" s="313">
        <f>'WA RRC'!D19</f>
        <v>54137</v>
      </c>
      <c r="I30" s="313">
        <f>'WA RRC'!E19</f>
        <v>-41108</v>
      </c>
      <c r="J30" s="313">
        <f>'WA RRC'!F19</f>
        <v>276558</v>
      </c>
      <c r="K30" s="313">
        <f>'WA RRC'!G19</f>
        <v>82672</v>
      </c>
      <c r="L30" s="313">
        <f>'WA RRC'!H19</f>
        <v>114455</v>
      </c>
      <c r="M30" s="313">
        <f>'WA RRC'!I19</f>
        <v>-583396</v>
      </c>
      <c r="N30" s="313">
        <f>'WA RRC'!J19</f>
        <v>668223</v>
      </c>
      <c r="O30" s="313">
        <f>'WA RRC'!K19</f>
        <v>-48064</v>
      </c>
      <c r="P30" s="313" t="str">
        <f>'WA RRC'!L19</f>
        <v xml:space="preserve"> </v>
      </c>
      <c r="Q30" s="313" t="str">
        <f>'WA RRC'!M19</f>
        <v xml:space="preserve"> </v>
      </c>
    </row>
    <row r="31" spans="1:19" ht="27" customHeight="1">
      <c r="A31" s="146">
        <f t="shared" si="6"/>
        <v>25</v>
      </c>
      <c r="B31" s="418" t="s">
        <v>193</v>
      </c>
      <c r="C31" s="418"/>
      <c r="D31" s="421">
        <f>SUM(F31:O31)</f>
        <v>-11725363</v>
      </c>
      <c r="E31" s="421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>
        <f t="shared" si="11"/>
        <v>1423183</v>
      </c>
      <c r="M31" s="185">
        <f t="shared" si="11"/>
        <v>180984</v>
      </c>
      <c r="N31" s="185">
        <f t="shared" si="11"/>
        <v>594920</v>
      </c>
      <c r="O31" s="185">
        <f t="shared" si="11"/>
        <v>-512178</v>
      </c>
      <c r="P31" s="185" t="e">
        <f t="shared" si="11"/>
        <v>#VALUE!</v>
      </c>
      <c r="Q31" s="185" t="e">
        <f t="shared" si="11"/>
        <v>#VALUE!</v>
      </c>
    </row>
    <row r="32" spans="1:19" ht="21" hidden="1" customHeight="1">
      <c r="A32" s="146">
        <f t="shared" si="6"/>
        <v>26</v>
      </c>
      <c r="B32" s="415" t="s">
        <v>291</v>
      </c>
      <c r="C32" s="415"/>
      <c r="D32" s="303"/>
      <c r="E32" s="303"/>
      <c r="F32" s="185"/>
      <c r="G32" s="185"/>
      <c r="H32" s="185"/>
      <c r="I32" s="185"/>
      <c r="J32" s="185"/>
      <c r="K32" s="185"/>
      <c r="L32" s="314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5" t="s">
        <v>282</v>
      </c>
      <c r="C33" s="305"/>
      <c r="D33" s="257"/>
      <c r="E33" s="257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>
        <f t="shared" si="12"/>
        <v>-11989089</v>
      </c>
      <c r="M33" s="156">
        <f t="shared" si="12"/>
        <v>-11808105</v>
      </c>
      <c r="N33" s="156">
        <f t="shared" si="12"/>
        <v>-11213185</v>
      </c>
      <c r="O33" s="156">
        <f t="shared" si="12"/>
        <v>-11725363</v>
      </c>
      <c r="P33" s="156" t="e">
        <f t="shared" si="12"/>
        <v>#VALUE!</v>
      </c>
      <c r="Q33" s="156" t="e">
        <f t="shared" si="12"/>
        <v>#VALUE!</v>
      </c>
      <c r="R33" s="148"/>
    </row>
    <row r="34" spans="1:19" ht="30.75" hidden="1" customHeight="1" outlineLevel="1">
      <c r="A34" s="51" t="s">
        <v>102</v>
      </c>
      <c r="B34" s="315">
        <v>10000000</v>
      </c>
      <c r="C34" s="316" t="s">
        <v>103</v>
      </c>
      <c r="D34" s="258">
        <v>0.9</v>
      </c>
      <c r="E34" s="258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>
        <f t="shared" si="13"/>
        <v>-1989089</v>
      </c>
      <c r="M34" s="157">
        <f t="shared" si="13"/>
        <v>-1808105</v>
      </c>
      <c r="N34" s="157">
        <f t="shared" si="13"/>
        <v>-1213185</v>
      </c>
      <c r="O34" s="157">
        <f t="shared" si="13"/>
        <v>-1725363</v>
      </c>
      <c r="P34" s="157" t="e">
        <f t="shared" si="13"/>
        <v>#VALUE!</v>
      </c>
      <c r="Q34" s="157" t="e">
        <f t="shared" si="13"/>
        <v>#VALUE!</v>
      </c>
      <c r="R34" s="149"/>
      <c r="S34" s="317"/>
    </row>
    <row r="35" spans="1:19" ht="19.5" hidden="1" customHeight="1" outlineLevel="1">
      <c r="A35" s="51" t="s">
        <v>102</v>
      </c>
      <c r="B35" s="315">
        <v>4000000</v>
      </c>
      <c r="C35" s="316" t="str">
        <f>"to "&amp;TEXT(B34,"$#,##0,,")&amp;"M"</f>
        <v>to $10M</v>
      </c>
      <c r="D35" s="258">
        <v>0.5</v>
      </c>
      <c r="E35" s="258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>
        <f t="shared" si="14"/>
        <v>-6000000</v>
      </c>
      <c r="M35" s="157">
        <f t="shared" si="14"/>
        <v>-6000000</v>
      </c>
      <c r="N35" s="157">
        <f t="shared" si="14"/>
        <v>-6000000</v>
      </c>
      <c r="O35" s="157">
        <f t="shared" si="14"/>
        <v>-6000000</v>
      </c>
      <c r="P35" s="157" t="e">
        <f t="shared" si="14"/>
        <v>#VALUE!</v>
      </c>
      <c r="Q35" s="157" t="e">
        <f t="shared" si="14"/>
        <v>#VALUE!</v>
      </c>
      <c r="R35" s="149"/>
      <c r="S35" s="317"/>
    </row>
    <row r="36" spans="1:19" ht="21.75" hidden="1" customHeight="1" outlineLevel="1">
      <c r="A36" s="51" t="s">
        <v>102</v>
      </c>
      <c r="B36" s="315">
        <v>0</v>
      </c>
      <c r="C36" s="316" t="str">
        <f>"to "&amp;TEXT(B35,"$#,##0,,")&amp;"M"</f>
        <v>to $4M</v>
      </c>
      <c r="D36" s="258">
        <v>0</v>
      </c>
      <c r="E36" s="258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>
        <f t="shared" si="15"/>
        <v>-4000000</v>
      </c>
      <c r="M36" s="157">
        <f t="shared" si="15"/>
        <v>-4000000</v>
      </c>
      <c r="N36" s="157">
        <f t="shared" si="15"/>
        <v>-4000000</v>
      </c>
      <c r="O36" s="157">
        <f t="shared" si="15"/>
        <v>-4000000</v>
      </c>
      <c r="P36" s="157" t="e">
        <f t="shared" si="15"/>
        <v>#VALUE!</v>
      </c>
      <c r="Q36" s="157" t="e">
        <f t="shared" si="15"/>
        <v>#VALUE!</v>
      </c>
      <c r="R36" s="149"/>
    </row>
    <row r="37" spans="1:19" ht="15.95" hidden="1" customHeight="1" outlineLevel="1">
      <c r="A37" s="51"/>
      <c r="B37" s="318"/>
      <c r="C37" s="51" t="s">
        <v>104</v>
      </c>
      <c r="D37" s="259"/>
      <c r="E37" s="259"/>
      <c r="F37" s="260">
        <f t="shared" ref="F37:Q37" si="16">IF(F13=0," ",SUM(F34:F36)-F33)</f>
        <v>0</v>
      </c>
      <c r="G37" s="260">
        <f t="shared" si="16"/>
        <v>0</v>
      </c>
      <c r="H37" s="260">
        <f t="shared" si="16"/>
        <v>0</v>
      </c>
      <c r="I37" s="260">
        <f t="shared" si="16"/>
        <v>0</v>
      </c>
      <c r="J37" s="260">
        <f t="shared" si="16"/>
        <v>0</v>
      </c>
      <c r="K37" s="260">
        <f t="shared" si="16"/>
        <v>0</v>
      </c>
      <c r="L37" s="260">
        <f t="shared" si="16"/>
        <v>0</v>
      </c>
      <c r="M37" s="260">
        <f t="shared" si="16"/>
        <v>0</v>
      </c>
      <c r="N37" s="260">
        <f t="shared" si="16"/>
        <v>0</v>
      </c>
      <c r="O37" s="260">
        <f t="shared" si="16"/>
        <v>0</v>
      </c>
      <c r="P37" s="260" t="e">
        <f t="shared" si="16"/>
        <v>#VALUE!</v>
      </c>
      <c r="Q37" s="260" t="e">
        <f t="shared" si="16"/>
        <v>#VALUE!</v>
      </c>
      <c r="R37" s="151"/>
    </row>
    <row r="38" spans="1:19" ht="23.25" customHeight="1" collapsed="1">
      <c r="A38" s="51" t="s">
        <v>249</v>
      </c>
      <c r="D38" s="261"/>
      <c r="E38" s="261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>
        <f t="shared" si="17"/>
        <v>-6290180</v>
      </c>
      <c r="M38" s="157">
        <f t="shared" si="17"/>
        <v>-6127295</v>
      </c>
      <c r="N38" s="157">
        <f t="shared" si="17"/>
        <v>-5591867</v>
      </c>
      <c r="O38" s="157">
        <f t="shared" si="17"/>
        <v>-6052827</v>
      </c>
      <c r="P38" s="157" t="e">
        <f t="shared" si="17"/>
        <v>#VALUE!</v>
      </c>
      <c r="Q38" s="157" t="e">
        <f t="shared" si="17"/>
        <v>#VALUE!</v>
      </c>
      <c r="R38" s="149" t="s">
        <v>250</v>
      </c>
    </row>
    <row r="39" spans="1:19" ht="20.25" customHeight="1">
      <c r="A39" s="51" t="s">
        <v>358</v>
      </c>
      <c r="D39" s="262"/>
      <c r="E39" s="262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>
        <f t="shared" si="18"/>
        <v>1280865</v>
      </c>
      <c r="M39" s="157">
        <f t="shared" si="18"/>
        <v>162885</v>
      </c>
      <c r="N39" s="157">
        <f t="shared" si="18"/>
        <v>535428</v>
      </c>
      <c r="O39" s="157">
        <f t="shared" si="18"/>
        <v>-460960</v>
      </c>
      <c r="P39" s="157" t="e">
        <f t="shared" si="18"/>
        <v>#VALUE!</v>
      </c>
      <c r="Q39" s="157" t="e">
        <f t="shared" si="18"/>
        <v>#VALUE!</v>
      </c>
      <c r="R39" s="151"/>
    </row>
    <row r="40" spans="1:19" ht="24.75" customHeight="1">
      <c r="A40" s="415" t="s">
        <v>252</v>
      </c>
      <c r="B40" s="415"/>
      <c r="C40" s="415"/>
      <c r="D40" s="421">
        <f>SUM(F40:O40)</f>
        <v>6052827</v>
      </c>
      <c r="E40" s="421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>
        <f t="shared" si="19"/>
        <v>-1280865</v>
      </c>
      <c r="M40" s="171">
        <f t="shared" si="19"/>
        <v>-162885</v>
      </c>
      <c r="N40" s="171">
        <f t="shared" si="19"/>
        <v>-535428</v>
      </c>
      <c r="O40" s="171">
        <f t="shared" si="19"/>
        <v>460960</v>
      </c>
      <c r="P40" s="171" t="e">
        <f t="shared" si="19"/>
        <v>#VALUE!</v>
      </c>
      <c r="Q40" s="171" t="e">
        <f t="shared" si="19"/>
        <v>#VALUE!</v>
      </c>
      <c r="R40" s="149"/>
    </row>
    <row r="41" spans="1:19" ht="26.25" customHeight="1" thickBot="1">
      <c r="A41" s="413" t="s">
        <v>108</v>
      </c>
      <c r="B41" s="413"/>
      <c r="C41" s="413"/>
      <c r="D41" s="263"/>
      <c r="E41" s="263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>
        <f t="shared" si="20"/>
        <v>-5698909</v>
      </c>
      <c r="M41" s="173">
        <f t="shared" si="20"/>
        <v>-5680810</v>
      </c>
      <c r="N41" s="173">
        <f t="shared" si="20"/>
        <v>-5621318</v>
      </c>
      <c r="O41" s="173">
        <f t="shared" si="20"/>
        <v>-5672536</v>
      </c>
      <c r="P41" s="173" t="e">
        <f t="shared" si="20"/>
        <v>#VALUE!</v>
      </c>
      <c r="Q41" s="173" t="e">
        <f t="shared" si="20"/>
        <v>#VALUE!</v>
      </c>
      <c r="R41" s="51" t="s">
        <v>137</v>
      </c>
    </row>
    <row r="42" spans="1:19" ht="13.5" thickTop="1">
      <c r="A42" s="319"/>
    </row>
    <row r="43" spans="1:19">
      <c r="E43" s="320"/>
      <c r="F43" s="117"/>
      <c r="Q43" s="157"/>
      <c r="R43" s="148"/>
    </row>
    <row r="44" spans="1:19">
      <c r="E44" s="237"/>
      <c r="F44" s="71"/>
      <c r="H44" s="321"/>
      <c r="I44" s="321"/>
      <c r="J44" s="321"/>
      <c r="K44" s="321"/>
      <c r="Q44" s="200"/>
      <c r="R44" s="148"/>
    </row>
    <row r="45" spans="1:19">
      <c r="E45" s="320"/>
      <c r="F45" s="322"/>
      <c r="H45" s="321"/>
      <c r="I45" s="321"/>
      <c r="J45" s="321"/>
      <c r="K45" s="321"/>
      <c r="Q45" s="200"/>
      <c r="R45" s="148"/>
    </row>
    <row r="46" spans="1:19">
      <c r="H46" s="321"/>
      <c r="I46" s="321"/>
      <c r="J46" s="321"/>
      <c r="K46" s="321"/>
    </row>
    <row r="47" spans="1:19">
      <c r="F47" s="323"/>
      <c r="H47" s="321"/>
      <c r="I47" s="321"/>
      <c r="J47" s="321"/>
      <c r="K47" s="321"/>
    </row>
    <row r="48" spans="1:19">
      <c r="F48" s="323"/>
      <c r="H48" s="321"/>
      <c r="I48" s="321"/>
      <c r="J48" s="321"/>
      <c r="K48" s="321"/>
      <c r="Q48" s="148"/>
    </row>
    <row r="49" spans="8:11">
      <c r="H49" s="321"/>
      <c r="I49" s="321"/>
      <c r="J49" s="321"/>
      <c r="K49" s="321"/>
    </row>
    <row r="50" spans="8:11">
      <c r="H50" s="321"/>
      <c r="I50" s="321"/>
      <c r="J50" s="321"/>
      <c r="K50" s="321"/>
    </row>
    <row r="51" spans="8:11">
      <c r="H51" s="321"/>
      <c r="I51" s="321"/>
      <c r="J51" s="321"/>
      <c r="K51" s="32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1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69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2" t="s">
        <v>220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</row>
    <row r="2" spans="1:18">
      <c r="A2" s="432" t="s">
        <v>233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18" ht="38.25" customHeight="1">
      <c r="A3" s="71"/>
    </row>
    <row r="4" spans="1:18">
      <c r="A4" s="255" t="s">
        <v>0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5" spans="1:18">
      <c r="A5" s="360" t="s">
        <v>1</v>
      </c>
      <c r="C5" s="71" t="s">
        <v>238</v>
      </c>
      <c r="D5" s="361" t="s">
        <v>10</v>
      </c>
      <c r="E5" s="304">
        <v>43131</v>
      </c>
      <c r="F5" s="304">
        <f t="shared" ref="F5:P5" si="0">EOMONTH(E5,1)</f>
        <v>43159</v>
      </c>
      <c r="G5" s="304">
        <f t="shared" si="0"/>
        <v>43190</v>
      </c>
      <c r="H5" s="304">
        <f t="shared" si="0"/>
        <v>43220</v>
      </c>
      <c r="I5" s="304">
        <f t="shared" si="0"/>
        <v>43251</v>
      </c>
      <c r="J5" s="304">
        <f t="shared" si="0"/>
        <v>43281</v>
      </c>
      <c r="K5" s="304">
        <f t="shared" si="0"/>
        <v>43312</v>
      </c>
      <c r="L5" s="304">
        <f t="shared" si="0"/>
        <v>43343</v>
      </c>
      <c r="M5" s="304">
        <f t="shared" si="0"/>
        <v>43373</v>
      </c>
      <c r="N5" s="304">
        <f t="shared" si="0"/>
        <v>43404</v>
      </c>
      <c r="O5" s="304">
        <f t="shared" si="0"/>
        <v>43434</v>
      </c>
      <c r="P5" s="304">
        <f t="shared" si="0"/>
        <v>43465</v>
      </c>
      <c r="Q5" s="362"/>
      <c r="R5" s="304" t="s">
        <v>214</v>
      </c>
    </row>
    <row r="6" spans="1:18">
      <c r="A6" s="255"/>
      <c r="B6" s="239" t="s">
        <v>14</v>
      </c>
      <c r="C6" s="245"/>
    </row>
    <row r="7" spans="1:18">
      <c r="A7" s="255">
        <f>A6+1</f>
        <v>1</v>
      </c>
      <c r="B7" s="52" t="s">
        <v>251</v>
      </c>
      <c r="C7" s="186"/>
      <c r="D7" s="174">
        <f>SUM(E7:P7)</f>
        <v>29393677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45964</v>
      </c>
      <c r="L7" s="174">
        <f t="shared" si="1"/>
        <v>9116052</v>
      </c>
      <c r="M7" s="174">
        <f t="shared" si="1"/>
        <v>3059931</v>
      </c>
      <c r="N7" s="174">
        <f t="shared" si="1"/>
        <v>446709</v>
      </c>
      <c r="O7" s="174">
        <f t="shared" si="1"/>
        <v>31525</v>
      </c>
      <c r="P7" s="174">
        <f t="shared" si="1"/>
        <v>32573</v>
      </c>
      <c r="Q7" s="220"/>
      <c r="R7" s="363">
        <f t="shared" ref="R7:R22" si="2">SUM(E7:P7)</f>
        <v>29393677</v>
      </c>
    </row>
    <row r="8" spans="1:18">
      <c r="A8" s="255">
        <v>2</v>
      </c>
      <c r="B8" s="364" t="s">
        <v>258</v>
      </c>
      <c r="C8" s="365">
        <v>100096</v>
      </c>
      <c r="D8" s="174">
        <f t="shared" ref="D8:D22" si="3">SUM(E8:P8)</f>
        <v>11679175</v>
      </c>
      <c r="E8" s="366">
        <f>'Input Tab'!C19</f>
        <v>726733</v>
      </c>
      <c r="F8" s="366">
        <f>'Input Tab'!D19</f>
        <v>1216938</v>
      </c>
      <c r="G8" s="366">
        <f>'Input Tab'!E19</f>
        <v>1216938</v>
      </c>
      <c r="H8" s="366">
        <f>'Input Tab'!F19</f>
        <v>1216938</v>
      </c>
      <c r="I8" s="366">
        <f>'Input Tab'!G19</f>
        <v>1216938</v>
      </c>
      <c r="J8" s="366">
        <f>'Input Tab'!H19</f>
        <v>1216938</v>
      </c>
      <c r="K8" s="366">
        <f>'Input Tab'!I19</f>
        <v>1216938</v>
      </c>
      <c r="L8" s="366">
        <f>'Input Tab'!J19</f>
        <v>1216938</v>
      </c>
      <c r="M8" s="366">
        <f>'Input Tab'!K19</f>
        <v>1216938</v>
      </c>
      <c r="N8" s="366">
        <f>'Input Tab'!L19</f>
        <v>1216938</v>
      </c>
      <c r="O8" s="366">
        <f>'Input Tab'!M19</f>
        <v>0</v>
      </c>
      <c r="P8" s="366">
        <f>'Input Tab'!N19</f>
        <v>0</v>
      </c>
      <c r="Q8" s="220"/>
      <c r="R8" s="363">
        <f t="shared" si="2"/>
        <v>11679175</v>
      </c>
    </row>
    <row r="9" spans="1:18">
      <c r="A9" s="255">
        <v>3</v>
      </c>
      <c r="B9" s="364" t="s">
        <v>259</v>
      </c>
      <c r="C9" s="365">
        <v>107240</v>
      </c>
      <c r="D9" s="174">
        <f t="shared" si="3"/>
        <v>948409</v>
      </c>
      <c r="E9" s="366">
        <f>'Input Tab'!C20</f>
        <v>67917</v>
      </c>
      <c r="F9" s="366">
        <f>'Input Tab'!D20</f>
        <v>81241</v>
      </c>
      <c r="G9" s="366">
        <f>'Input Tab'!E20</f>
        <v>93498</v>
      </c>
      <c r="H9" s="366">
        <f>'Input Tab'!F20</f>
        <v>152574</v>
      </c>
      <c r="I9" s="366">
        <f>'Input Tab'!G20</f>
        <v>162897</v>
      </c>
      <c r="J9" s="366">
        <f>'Input Tab'!H20</f>
        <v>158630</v>
      </c>
      <c r="K9" s="366">
        <f>'Input Tab'!I20</f>
        <v>58962</v>
      </c>
      <c r="L9" s="366">
        <f>'Input Tab'!J20</f>
        <v>55518</v>
      </c>
      <c r="M9" s="366">
        <f>'Input Tab'!K20</f>
        <v>50510</v>
      </c>
      <c r="N9" s="366">
        <f>'Input Tab'!L20</f>
        <v>66662</v>
      </c>
      <c r="O9" s="366">
        <f>'Input Tab'!M20</f>
        <v>0</v>
      </c>
      <c r="P9" s="366">
        <f>'Input Tab'!N20</f>
        <v>0</v>
      </c>
      <c r="Q9" s="220"/>
      <c r="R9" s="363">
        <f>SUM(E9:P9)</f>
        <v>948409</v>
      </c>
    </row>
    <row r="10" spans="1:18">
      <c r="A10" s="255">
        <v>4</v>
      </c>
      <c r="B10" s="52" t="s">
        <v>262</v>
      </c>
      <c r="C10" s="186">
        <v>100131</v>
      </c>
      <c r="D10" s="174">
        <f t="shared" si="3"/>
        <v>1560356</v>
      </c>
      <c r="E10" s="366">
        <f>'Input Tab'!C21</f>
        <v>153740</v>
      </c>
      <c r="F10" s="366">
        <f>'Input Tab'!D21</f>
        <v>153740</v>
      </c>
      <c r="G10" s="366">
        <f>'Input Tab'!E21</f>
        <v>153740</v>
      </c>
      <c r="H10" s="366">
        <f>'Input Tab'!F21</f>
        <v>153740</v>
      </c>
      <c r="I10" s="366">
        <f>'Input Tab'!G21</f>
        <v>153740</v>
      </c>
      <c r="J10" s="366">
        <f>'Input Tab'!H21</f>
        <v>153740</v>
      </c>
      <c r="K10" s="366">
        <f>'Input Tab'!I21</f>
        <v>153740</v>
      </c>
      <c r="L10" s="366">
        <f>'Input Tab'!J21</f>
        <v>153740</v>
      </c>
      <c r="M10" s="366">
        <f>'Input Tab'!K21</f>
        <v>165218</v>
      </c>
      <c r="N10" s="366">
        <f>'Input Tab'!L21</f>
        <v>165218</v>
      </c>
      <c r="O10" s="366">
        <f>'Input Tab'!M21</f>
        <v>0</v>
      </c>
      <c r="P10" s="366">
        <f>'Input Tab'!N21</f>
        <v>0</v>
      </c>
      <c r="Q10" s="220"/>
      <c r="R10" s="363">
        <f t="shared" si="2"/>
        <v>1560356</v>
      </c>
    </row>
    <row r="11" spans="1:18" ht="13.5" customHeight="1">
      <c r="A11" s="255">
        <v>5</v>
      </c>
      <c r="B11" s="52" t="s">
        <v>260</v>
      </c>
      <c r="C11" s="186">
        <v>100085</v>
      </c>
      <c r="D11" s="174">
        <f t="shared" si="3"/>
        <v>6357200</v>
      </c>
      <c r="E11" s="367">
        <f>'Input Tab'!C22</f>
        <v>618454</v>
      </c>
      <c r="F11" s="367">
        <f>'Input Tab'!D22</f>
        <v>618454</v>
      </c>
      <c r="G11" s="367">
        <f>'Input Tab'!E22</f>
        <v>618454</v>
      </c>
      <c r="H11" s="367">
        <f>'Input Tab'!F22</f>
        <v>791114</v>
      </c>
      <c r="I11" s="367">
        <f>'Input Tab'!G22</f>
        <v>618454</v>
      </c>
      <c r="J11" s="367">
        <f>'Input Tab'!H22</f>
        <v>618454</v>
      </c>
      <c r="K11" s="367">
        <f>'Input Tab'!I22</f>
        <v>618454</v>
      </c>
      <c r="L11" s="367">
        <f>'Input Tab'!J22</f>
        <v>618454</v>
      </c>
      <c r="M11" s="367">
        <f>'Input Tab'!K22</f>
        <v>618454</v>
      </c>
      <c r="N11" s="367">
        <f>'Input Tab'!L22</f>
        <v>618454</v>
      </c>
      <c r="O11" s="367">
        <f>'Input Tab'!M22</f>
        <v>0</v>
      </c>
      <c r="P11" s="367">
        <f>'Input Tab'!N22</f>
        <v>0</v>
      </c>
      <c r="Q11" s="220"/>
      <c r="R11" s="363">
        <f t="shared" si="2"/>
        <v>6357200</v>
      </c>
    </row>
    <row r="12" spans="1:18" ht="14.25">
      <c r="A12" s="255">
        <f>A11+1</f>
        <v>6</v>
      </c>
      <c r="B12" s="52" t="s">
        <v>261</v>
      </c>
      <c r="C12" s="269" t="s">
        <v>239</v>
      </c>
      <c r="D12" s="174">
        <f t="shared" si="3"/>
        <v>10767601</v>
      </c>
      <c r="E12" s="367">
        <f>'Input Tab'!C23</f>
        <v>3744667</v>
      </c>
      <c r="F12" s="367">
        <f>'Input Tab'!D23</f>
        <v>3383687</v>
      </c>
      <c r="G12" s="367">
        <f>'Input Tab'!E23</f>
        <v>1848737</v>
      </c>
      <c r="H12" s="367">
        <f>'Input Tab'!F23</f>
        <v>1790510</v>
      </c>
      <c r="I12" s="367">
        <f>'Input Tab'!G23</f>
        <v>0</v>
      </c>
      <c r="J12" s="367">
        <f>'Input Tab'!H23</f>
        <v>0</v>
      </c>
      <c r="K12" s="367">
        <f>'Input Tab'!I23</f>
        <v>0</v>
      </c>
      <c r="L12" s="367">
        <f>'Input Tab'!J23</f>
        <v>0</v>
      </c>
      <c r="M12" s="366">
        <f>'Input Tab'!K23</f>
        <v>0</v>
      </c>
      <c r="N12" s="366">
        <f>'Input Tab'!L23</f>
        <v>0</v>
      </c>
      <c r="O12" s="367">
        <f>'Input Tab'!M23</f>
        <v>0</v>
      </c>
      <c r="P12" s="367">
        <f>'Input Tab'!N23</f>
        <v>0</v>
      </c>
      <c r="Q12" s="220"/>
      <c r="R12" s="363">
        <f t="shared" si="2"/>
        <v>10767601</v>
      </c>
    </row>
    <row r="13" spans="1:18">
      <c r="A13" s="255">
        <f t="shared" ref="A13:A23" si="4">A12+1</f>
        <v>7</v>
      </c>
      <c r="B13" s="71" t="s">
        <v>255</v>
      </c>
      <c r="C13" s="269">
        <v>100137</v>
      </c>
      <c r="D13" s="174">
        <f t="shared" si="3"/>
        <v>7413</v>
      </c>
      <c r="E13" s="367">
        <f>'Input Tab'!C24</f>
        <v>1068</v>
      </c>
      <c r="F13" s="367">
        <f>'Input Tab'!D24</f>
        <v>885</v>
      </c>
      <c r="G13" s="367">
        <f>'Input Tab'!E24</f>
        <v>1088</v>
      </c>
      <c r="H13" s="367">
        <f>'Input Tab'!F24</f>
        <v>717</v>
      </c>
      <c r="I13" s="367">
        <f>'Input Tab'!G24</f>
        <v>691</v>
      </c>
      <c r="J13" s="367">
        <f>'Input Tab'!H24</f>
        <v>444</v>
      </c>
      <c r="K13" s="367">
        <f>'Input Tab'!I24</f>
        <v>537</v>
      </c>
      <c r="L13" s="367">
        <f>'Input Tab'!J24</f>
        <v>656</v>
      </c>
      <c r="M13" s="367">
        <f>'Input Tab'!K24</f>
        <v>648</v>
      </c>
      <c r="N13" s="367">
        <f>'Input Tab'!L24</f>
        <v>679</v>
      </c>
      <c r="O13" s="367">
        <f>'Input Tab'!M24</f>
        <v>0</v>
      </c>
      <c r="P13" s="367">
        <f>'Input Tab'!N24</f>
        <v>0</v>
      </c>
      <c r="Q13" s="220"/>
      <c r="R13" s="363">
        <f t="shared" si="2"/>
        <v>7413</v>
      </c>
    </row>
    <row r="14" spans="1:18">
      <c r="A14" s="255">
        <f t="shared" si="4"/>
        <v>8</v>
      </c>
      <c r="B14" s="71" t="s">
        <v>18</v>
      </c>
      <c r="C14" s="186" t="s">
        <v>355</v>
      </c>
      <c r="D14" s="174">
        <f t="shared" si="3"/>
        <v>1170645</v>
      </c>
      <c r="E14" s="367">
        <f>'Input Tab'!C25</f>
        <v>196327</v>
      </c>
      <c r="F14" s="367">
        <f>'Input Tab'!D25</f>
        <v>176449</v>
      </c>
      <c r="G14" s="367">
        <f>'Input Tab'!E25</f>
        <v>137700</v>
      </c>
      <c r="H14" s="367">
        <f>'Input Tab'!F25</f>
        <v>145245</v>
      </c>
      <c r="I14" s="367">
        <f>'Input Tab'!G25</f>
        <v>118256</v>
      </c>
      <c r="J14" s="367">
        <f>'Input Tab'!H25</f>
        <v>119818</v>
      </c>
      <c r="K14" s="367">
        <f>'Input Tab'!I25</f>
        <v>109807</v>
      </c>
      <c r="L14" s="367">
        <f>'Input Tab'!J25</f>
        <v>71032</v>
      </c>
      <c r="M14" s="367">
        <f>'Input Tab'!K25</f>
        <v>47084</v>
      </c>
      <c r="N14" s="367">
        <f>'Input Tab'!L25</f>
        <v>48927</v>
      </c>
      <c r="O14" s="367">
        <f>'Input Tab'!M25</f>
        <v>0</v>
      </c>
      <c r="P14" s="367">
        <f>'Input Tab'!N25</f>
        <v>0</v>
      </c>
      <c r="Q14" s="220"/>
      <c r="R14" s="363">
        <f t="shared" si="2"/>
        <v>1170645</v>
      </c>
    </row>
    <row r="15" spans="1:18">
      <c r="A15" s="255">
        <f t="shared" si="4"/>
        <v>9</v>
      </c>
      <c r="B15" s="52" t="s">
        <v>118</v>
      </c>
      <c r="C15" s="186">
        <v>185895</v>
      </c>
      <c r="D15" s="174">
        <f t="shared" si="3"/>
        <v>1324657</v>
      </c>
      <c r="E15" s="367">
        <f>'Input Tab'!C34</f>
        <v>167411</v>
      </c>
      <c r="F15" s="367">
        <f>'Input Tab'!D34</f>
        <v>151142</v>
      </c>
      <c r="G15" s="367">
        <f>'Input Tab'!E34</f>
        <v>134752</v>
      </c>
      <c r="H15" s="367">
        <f>'Input Tab'!F34</f>
        <v>9639</v>
      </c>
      <c r="I15" s="367">
        <f>'Input Tab'!G34</f>
        <v>139720</v>
      </c>
      <c r="J15" s="367">
        <f>'Input Tab'!H34</f>
        <v>156195</v>
      </c>
      <c r="K15" s="367">
        <f>'Input Tab'!I34</f>
        <v>206662</v>
      </c>
      <c r="L15" s="367">
        <f>'Input Tab'!J34</f>
        <v>124688</v>
      </c>
      <c r="M15" s="367">
        <f>'Input Tab'!K34</f>
        <v>38427</v>
      </c>
      <c r="N15" s="367">
        <f>'Input Tab'!L34</f>
        <v>196021</v>
      </c>
      <c r="O15" s="367">
        <f>'Input Tab'!M34</f>
        <v>0</v>
      </c>
      <c r="P15" s="367">
        <f>'Input Tab'!N34</f>
        <v>0</v>
      </c>
      <c r="Q15" s="220"/>
      <c r="R15" s="363">
        <f t="shared" si="2"/>
        <v>1324657</v>
      </c>
    </row>
    <row r="16" spans="1:18" ht="12.75" customHeight="1">
      <c r="A16" s="255">
        <f t="shared" si="4"/>
        <v>10</v>
      </c>
      <c r="B16" s="71" t="s">
        <v>237</v>
      </c>
      <c r="C16" s="186">
        <v>186298</v>
      </c>
      <c r="D16" s="174">
        <f t="shared" si="3"/>
        <v>2429221</v>
      </c>
      <c r="E16" s="367">
        <f>'Input Tab'!C35</f>
        <v>509116</v>
      </c>
      <c r="F16" s="367">
        <f>'Input Tab'!D35</f>
        <v>428290</v>
      </c>
      <c r="G16" s="367">
        <f>'Input Tab'!E35</f>
        <v>551749</v>
      </c>
      <c r="H16" s="367">
        <f>'Input Tab'!F35</f>
        <v>336086</v>
      </c>
      <c r="I16" s="367">
        <f>'Input Tab'!G35</f>
        <v>237801</v>
      </c>
      <c r="J16" s="367">
        <f>'Input Tab'!H35</f>
        <v>242505</v>
      </c>
      <c r="K16" s="367">
        <f>'Input Tab'!I35</f>
        <v>18009</v>
      </c>
      <c r="L16" s="367">
        <f>'Input Tab'!J35</f>
        <v>61</v>
      </c>
      <c r="M16" s="367">
        <f>'Input Tab'!K35</f>
        <v>7399</v>
      </c>
      <c r="N16" s="367">
        <f>'Input Tab'!L35</f>
        <v>98205</v>
      </c>
      <c r="O16" s="367">
        <f>'Input Tab'!M35</f>
        <v>0</v>
      </c>
      <c r="P16" s="367">
        <f>'Input Tab'!N35</f>
        <v>0</v>
      </c>
      <c r="Q16" s="220"/>
      <c r="R16" s="363">
        <f t="shared" si="2"/>
        <v>2429221</v>
      </c>
    </row>
    <row r="17" spans="1:20">
      <c r="A17" s="255">
        <f>A16+1</f>
        <v>11</v>
      </c>
      <c r="B17" s="52" t="s">
        <v>284</v>
      </c>
      <c r="C17" s="186">
        <v>223063</v>
      </c>
      <c r="D17" s="174">
        <f t="shared" si="3"/>
        <v>4689159</v>
      </c>
      <c r="E17" s="367">
        <f>'Input Tab'!C36</f>
        <v>503270</v>
      </c>
      <c r="F17" s="367">
        <f>'Input Tab'!D36</f>
        <v>466388</v>
      </c>
      <c r="G17" s="367">
        <f>'Input Tab'!E36</f>
        <v>406268</v>
      </c>
      <c r="H17" s="367">
        <f>'Input Tab'!F36</f>
        <v>349209</v>
      </c>
      <c r="I17" s="367">
        <f>'Input Tab'!G36</f>
        <v>332411</v>
      </c>
      <c r="J17" s="367">
        <f>'Input Tab'!H36</f>
        <v>457880</v>
      </c>
      <c r="K17" s="367">
        <f>'Input Tab'!I36</f>
        <v>561311</v>
      </c>
      <c r="L17" s="367">
        <f>'Input Tab'!J36</f>
        <v>434208</v>
      </c>
      <c r="M17" s="367">
        <f>'Input Tab'!K36</f>
        <v>588005</v>
      </c>
      <c r="N17" s="367">
        <f>'Input Tab'!L36</f>
        <v>590209</v>
      </c>
      <c r="O17" s="367">
        <f>'Input Tab'!M36</f>
        <v>0</v>
      </c>
      <c r="P17" s="367">
        <f>'Input Tab'!N36</f>
        <v>0</v>
      </c>
      <c r="Q17" s="220"/>
      <c r="R17" s="363">
        <f t="shared" si="2"/>
        <v>4689159</v>
      </c>
    </row>
    <row r="18" spans="1:20">
      <c r="A18" s="255">
        <f>A17+1</f>
        <v>12</v>
      </c>
      <c r="B18" s="300" t="s">
        <v>394</v>
      </c>
      <c r="C18" s="186">
        <v>102475</v>
      </c>
      <c r="D18" s="174">
        <f t="shared" si="3"/>
        <v>10403</v>
      </c>
      <c r="E18" s="366">
        <f>'Input Tab'!C37</f>
        <v>0</v>
      </c>
      <c r="F18" s="366">
        <f>'Input Tab'!D37</f>
        <v>0</v>
      </c>
      <c r="G18" s="366">
        <f>'Input Tab'!E37</f>
        <v>2771</v>
      </c>
      <c r="H18" s="366">
        <f>'Input Tab'!F37</f>
        <v>1252</v>
      </c>
      <c r="I18" s="366">
        <f>'Input Tab'!G37</f>
        <v>1246</v>
      </c>
      <c r="J18" s="366">
        <f>'Input Tab'!H37</f>
        <v>1021</v>
      </c>
      <c r="K18" s="366">
        <f>'Input Tab'!I37</f>
        <v>1028</v>
      </c>
      <c r="L18" s="366">
        <f>'Input Tab'!J37</f>
        <v>1025</v>
      </c>
      <c r="M18" s="366">
        <f>'Input Tab'!K37</f>
        <v>1109</v>
      </c>
      <c r="N18" s="366">
        <f>'Input Tab'!L37</f>
        <v>951</v>
      </c>
      <c r="O18" s="366">
        <f>'Input Tab'!M37</f>
        <v>0</v>
      </c>
      <c r="P18" s="366">
        <f>'Input Tab'!N37</f>
        <v>0</v>
      </c>
      <c r="Q18" s="220"/>
      <c r="R18" s="363">
        <f t="shared" si="2"/>
        <v>10403</v>
      </c>
    </row>
    <row r="19" spans="1:20">
      <c r="A19" s="255">
        <f>A18+1</f>
        <v>13</v>
      </c>
      <c r="B19" s="52" t="s">
        <v>256</v>
      </c>
      <c r="C19" s="186" t="s">
        <v>257</v>
      </c>
      <c r="D19" s="174">
        <f t="shared" si="3"/>
        <v>22787513</v>
      </c>
      <c r="E19" s="366">
        <f>'Input Tab'!C38</f>
        <v>2326853</v>
      </c>
      <c r="F19" s="366">
        <f>'Input Tab'!D38</f>
        <v>2182871</v>
      </c>
      <c r="G19" s="366">
        <f>'Input Tab'!E38</f>
        <v>2357771</v>
      </c>
      <c r="H19" s="366">
        <f>'Input Tab'!F38</f>
        <v>2235770</v>
      </c>
      <c r="I19" s="366">
        <f>'Input Tab'!G38</f>
        <v>2098059</v>
      </c>
      <c r="J19" s="366">
        <f>'Input Tab'!H38</f>
        <v>2056390</v>
      </c>
      <c r="K19" s="366">
        <f>'Input Tab'!I38</f>
        <v>2377596</v>
      </c>
      <c r="L19" s="366">
        <f>'Input Tab'!J38</f>
        <v>2416248</v>
      </c>
      <c r="M19" s="366">
        <f>'Input Tab'!K38</f>
        <v>2425360</v>
      </c>
      <c r="N19" s="366">
        <f>'Input Tab'!L38</f>
        <v>2310595</v>
      </c>
      <c r="O19" s="366">
        <f>'Input Tab'!M38</f>
        <v>0</v>
      </c>
      <c r="P19" s="366">
        <f>'Input Tab'!N38</f>
        <v>0</v>
      </c>
      <c r="Q19" s="220"/>
      <c r="R19" s="363">
        <f t="shared" si="2"/>
        <v>22787513</v>
      </c>
    </row>
    <row r="20" spans="1:20">
      <c r="A20" s="255">
        <f>A19+1</f>
        <v>14</v>
      </c>
      <c r="B20" s="52" t="s">
        <v>283</v>
      </c>
      <c r="C20" s="186">
        <v>181462</v>
      </c>
      <c r="D20" s="174">
        <f t="shared" si="3"/>
        <v>16016812</v>
      </c>
      <c r="E20" s="366">
        <f>'Input Tab'!C39</f>
        <v>2365264</v>
      </c>
      <c r="F20" s="366">
        <f>'Input Tab'!D39</f>
        <v>2240478</v>
      </c>
      <c r="G20" s="366">
        <f>'Input Tab'!E39</f>
        <v>2072807</v>
      </c>
      <c r="H20" s="366">
        <f>'Input Tab'!F39</f>
        <v>2009810</v>
      </c>
      <c r="I20" s="366">
        <f>'Input Tab'!G39</f>
        <v>1146211</v>
      </c>
      <c r="J20" s="366">
        <f>'Input Tab'!H39</f>
        <v>1530959</v>
      </c>
      <c r="K20" s="366">
        <f>'Input Tab'!I39</f>
        <v>1018827</v>
      </c>
      <c r="L20" s="366">
        <f>'Input Tab'!J39</f>
        <v>1297090</v>
      </c>
      <c r="M20" s="366">
        <f>'Input Tab'!K39</f>
        <v>1187102</v>
      </c>
      <c r="N20" s="366">
        <f>'Input Tab'!L39</f>
        <v>1148264</v>
      </c>
      <c r="O20" s="366">
        <f>'Input Tab'!M39</f>
        <v>0</v>
      </c>
      <c r="P20" s="366">
        <f>'Input Tab'!N39</f>
        <v>0</v>
      </c>
      <c r="Q20" s="220"/>
      <c r="R20" s="363">
        <f t="shared" si="2"/>
        <v>16016812</v>
      </c>
    </row>
    <row r="21" spans="1:20">
      <c r="A21" s="255">
        <f>A20+1</f>
        <v>15</v>
      </c>
      <c r="B21" s="71" t="s">
        <v>34</v>
      </c>
      <c r="C21" s="269"/>
      <c r="D21" s="174">
        <f t="shared" si="3"/>
        <v>1947229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210888</v>
      </c>
      <c r="L21" s="176">
        <f t="shared" si="5"/>
        <v>216324</v>
      </c>
      <c r="M21" s="176">
        <f>M35</f>
        <v>162315</v>
      </c>
      <c r="N21" s="176">
        <f>N35</f>
        <v>177643</v>
      </c>
      <c r="O21" s="176">
        <f t="shared" si="5"/>
        <v>0</v>
      </c>
      <c r="P21" s="176">
        <f t="shared" si="5"/>
        <v>0</v>
      </c>
      <c r="Q21" s="176"/>
      <c r="R21" s="363">
        <f t="shared" si="2"/>
        <v>1947229</v>
      </c>
    </row>
    <row r="22" spans="1:20">
      <c r="A22" s="255">
        <f t="shared" si="4"/>
        <v>16</v>
      </c>
      <c r="B22" s="300" t="s">
        <v>19</v>
      </c>
      <c r="C22" s="368"/>
      <c r="D22" s="174">
        <f t="shared" si="3"/>
        <v>-243906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7510</v>
      </c>
      <c r="L22" s="177">
        <f t="shared" si="6"/>
        <v>25950</v>
      </c>
      <c r="M22" s="177">
        <f t="shared" si="6"/>
        <v>-40713</v>
      </c>
      <c r="N22" s="177">
        <f>N33</f>
        <v>-232912</v>
      </c>
      <c r="O22" s="177">
        <f t="shared" si="6"/>
        <v>0</v>
      </c>
      <c r="P22" s="177">
        <f t="shared" si="6"/>
        <v>0</v>
      </c>
      <c r="Q22" s="177"/>
      <c r="R22" s="363">
        <f t="shared" si="2"/>
        <v>-243906</v>
      </c>
    </row>
    <row r="23" spans="1:20" s="184" customFormat="1" ht="13.5" thickBot="1">
      <c r="A23" s="369">
        <f t="shared" si="4"/>
        <v>17</v>
      </c>
      <c r="B23" s="240" t="s">
        <v>227</v>
      </c>
      <c r="C23" s="240"/>
      <c r="D23" s="194">
        <f>SUM(E23:P23)</f>
        <v>110845564</v>
      </c>
      <c r="E23" s="370">
        <f>E37</f>
        <v>16833261</v>
      </c>
      <c r="F23" s="370">
        <f t="shared" ref="F23:P23" si="7">F37</f>
        <v>15418244</v>
      </c>
      <c r="G23" s="370">
        <f>G37</f>
        <v>12301548</v>
      </c>
      <c r="H23" s="370">
        <f t="shared" si="7"/>
        <v>11248597</v>
      </c>
      <c r="I23" s="370">
        <f t="shared" si="7"/>
        <v>7857289</v>
      </c>
      <c r="J23" s="370">
        <f t="shared" si="7"/>
        <v>8387960</v>
      </c>
      <c r="K23" s="370">
        <f t="shared" si="7"/>
        <v>6606233</v>
      </c>
      <c r="L23" s="370">
        <f t="shared" si="7"/>
        <v>15747984</v>
      </c>
      <c r="M23" s="370">
        <f>M37</f>
        <v>9527787</v>
      </c>
      <c r="N23" s="370">
        <f>N37</f>
        <v>6852563</v>
      </c>
      <c r="O23" s="370">
        <f t="shared" si="7"/>
        <v>31525</v>
      </c>
      <c r="P23" s="370">
        <f t="shared" si="7"/>
        <v>32573</v>
      </c>
      <c r="Q23" s="178"/>
      <c r="R23" s="371">
        <f>SUM(R7:R21)</f>
        <v>111089470</v>
      </c>
    </row>
    <row r="24" spans="1:20" ht="13.5" thickTop="1">
      <c r="A24" s="255"/>
      <c r="E24" s="193" t="s">
        <v>29</v>
      </c>
      <c r="F24" s="372" t="s">
        <v>29</v>
      </c>
      <c r="G24" s="372"/>
      <c r="H24" s="372"/>
      <c r="I24" s="372"/>
      <c r="J24" s="372"/>
      <c r="K24" s="372"/>
      <c r="L24" s="372"/>
      <c r="M24" s="372"/>
      <c r="N24" s="372"/>
      <c r="O24" s="372"/>
      <c r="P24" s="372"/>
    </row>
    <row r="25" spans="1:20">
      <c r="A25" s="255"/>
      <c r="B25" s="52" t="s">
        <v>228</v>
      </c>
      <c r="C25" s="5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T25" s="373"/>
    </row>
    <row r="26" spans="1:20" outlineLevel="1">
      <c r="A26" s="255"/>
      <c r="B26" s="236" t="s">
        <v>14</v>
      </c>
      <c r="C26" s="236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</row>
    <row r="27" spans="1:20" outlineLevel="1">
      <c r="A27" s="255"/>
      <c r="B27" s="71">
        <v>555000</v>
      </c>
      <c r="D27" s="372">
        <f>SUM(E27:P27)</f>
        <v>116616416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10641659</v>
      </c>
      <c r="L27" s="157">
        <f>_xll.Get_Balance(L$83,"PTD","USD","Total","A","","001","555000","ED","AN","DL")</f>
        <v>18089475</v>
      </c>
      <c r="M27" s="157">
        <f>_xll.Get_Balance(M$83,"PTD","USD","Total","A","","001","555000","ED","AN","DL")</f>
        <v>8495547</v>
      </c>
      <c r="N27" s="157">
        <f>_xll.Get_Balance(N$83,"PTD","USD","Total","A","","001","555000","ED","AN","DL")</f>
        <v>12522935</v>
      </c>
      <c r="O27" s="157">
        <f>_xll.Get_Balance(O$83,"PTD","USD","Total","A","","001","555000","ED","AN","DL")</f>
        <v>0</v>
      </c>
      <c r="P27" s="157">
        <f>_xll.Get_Balance(P$83,"PTD","USD","Total","A","","001","555000","ED","AN","DL")</f>
        <v>0</v>
      </c>
      <c r="Q27" s="220"/>
      <c r="R27" s="363">
        <f t="shared" ref="R27:R36" si="8">SUM(E27:P27)</f>
        <v>116616416</v>
      </c>
    </row>
    <row r="28" spans="1:20" outlineLevel="1">
      <c r="A28" s="255"/>
      <c r="B28" s="71">
        <v>555030</v>
      </c>
      <c r="D28" s="372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0"/>
      <c r="R28" s="363"/>
    </row>
    <row r="29" spans="1:20" outlineLevel="1">
      <c r="A29" s="255"/>
      <c r="B29" s="71">
        <v>555100</v>
      </c>
      <c r="C29" s="71" t="s">
        <v>240</v>
      </c>
      <c r="D29" s="372">
        <f t="shared" ref="D29:D36" si="9">SUM(E29:P29)</f>
        <v>-11439590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-5111900</v>
      </c>
      <c r="L29" s="157">
        <f>_xll.Get_Balance(L$83,"PTD","USD","Total","A","","001","555100","ED","AN","DL")</f>
        <v>-3610131</v>
      </c>
      <c r="M29" s="157">
        <f>_xll.Get_Balance(M$83,"PTD","USD","Total","A","","001","555100","ED","AN","DL")</f>
        <v>846658</v>
      </c>
      <c r="N29" s="157">
        <f>_xll.Get_Balance(N$83,"PTD","USD","Total","A","","001","555100","ED","AN","DL")</f>
        <v>-5673672</v>
      </c>
      <c r="O29" s="157">
        <f>_xll.Get_Balance(O$83,"PTD","USD","Total","A","","001","555100","ED","AN","DL")</f>
        <v>0</v>
      </c>
      <c r="P29" s="157">
        <f>_xll.Get_Balance(P$83,"PTD","USD","Total","A","","001","555100","ED","AN","DL")</f>
        <v>0</v>
      </c>
      <c r="Q29" s="220"/>
      <c r="R29" s="363">
        <f t="shared" si="8"/>
        <v>-11439590</v>
      </c>
    </row>
    <row r="30" spans="1:20" outlineLevel="1">
      <c r="A30" s="255"/>
      <c r="B30" s="52">
        <v>555312</v>
      </c>
      <c r="C30" s="52" t="s">
        <v>191</v>
      </c>
      <c r="D30" s="372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0"/>
      <c r="R30" s="363">
        <f>SUM(E30:P30)</f>
        <v>0</v>
      </c>
    </row>
    <row r="31" spans="1:20" outlineLevel="1">
      <c r="A31" s="255"/>
      <c r="B31" s="71">
        <v>555313</v>
      </c>
      <c r="C31" s="71" t="s">
        <v>191</v>
      </c>
      <c r="D31" s="372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0"/>
      <c r="R31" s="363">
        <f>SUM(E31:P31)</f>
        <v>0</v>
      </c>
    </row>
    <row r="32" spans="1:20" outlineLevel="1">
      <c r="A32" s="255"/>
      <c r="B32" s="71">
        <v>555380</v>
      </c>
      <c r="C32" s="71" t="s">
        <v>241</v>
      </c>
      <c r="D32" s="372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0"/>
      <c r="R32" s="363">
        <f>SUM(E32:P32)</f>
        <v>0</v>
      </c>
    </row>
    <row r="33" spans="1:18" outlineLevel="1">
      <c r="A33" s="255"/>
      <c r="B33" s="71">
        <v>555550</v>
      </c>
      <c r="C33" s="71" t="s">
        <v>242</v>
      </c>
      <c r="D33" s="372">
        <f t="shared" si="9"/>
        <v>-243906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7510</v>
      </c>
      <c r="L33" s="157">
        <f>_xll.Get_Balance(L$83,"PTD","USD","Total","A","","001","555550","ED","AN","DL")</f>
        <v>25950</v>
      </c>
      <c r="M33" s="157">
        <f>_xll.Get_Balance(M$83,"PTD","USD","Total","A","","001","555550","ED","AN","DL")</f>
        <v>-40713</v>
      </c>
      <c r="N33" s="157">
        <f>_xll.Get_Balance(N$83,"PTD","USD","Total","A","","001","555550","ED","AN","DL")</f>
        <v>-232912</v>
      </c>
      <c r="O33" s="157">
        <f>_xll.Get_Balance(O$83,"PTD","USD","Total","A","","001","555550","ED","AN","DL")</f>
        <v>0</v>
      </c>
      <c r="P33" s="157">
        <f>_xll.Get_Balance(P$83,"PTD","USD","Total","A","","001","555550","ED","AN","DL")</f>
        <v>0</v>
      </c>
      <c r="Q33" s="220"/>
      <c r="R33" s="363">
        <f>SUM(E33:P33)</f>
        <v>-243906</v>
      </c>
    </row>
    <row r="34" spans="1:18" outlineLevel="1">
      <c r="A34" s="255"/>
      <c r="B34" s="71">
        <v>555700</v>
      </c>
      <c r="C34" s="71" t="s">
        <v>243</v>
      </c>
      <c r="D34" s="372">
        <f t="shared" si="9"/>
        <v>3036316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858076</v>
      </c>
      <c r="L34" s="157">
        <f>_xll.Get_Balance(L$83,"PTD","USD","Total","A","","001","555700","ED","AN","DL")</f>
        <v>1026366</v>
      </c>
      <c r="M34" s="157">
        <f>_xll.Get_Balance(M$83,"PTD","USD","Total","A","","001","555700","ED","AN","DL")</f>
        <v>63980</v>
      </c>
      <c r="N34" s="157">
        <f>_xll.Get_Balance(N$83,"PTD","USD","Total","A","","001","555700","ED","AN","DL")</f>
        <v>58569</v>
      </c>
      <c r="O34" s="157">
        <f>_xll.Get_Balance(O$83,"PTD","USD","Total","A","","001","555700","ED","AN","DL")</f>
        <v>0</v>
      </c>
      <c r="P34" s="157">
        <f>_xll.Get_Balance(P$83,"PTD","USD","Total","A","","001","555700","ED","AN","DL")</f>
        <v>0</v>
      </c>
      <c r="Q34" s="220"/>
      <c r="R34" s="363">
        <f t="shared" si="8"/>
        <v>3036316</v>
      </c>
    </row>
    <row r="35" spans="1:18" outlineLevel="1">
      <c r="A35" s="255"/>
      <c r="B35" s="71">
        <v>555710</v>
      </c>
      <c r="C35" s="71" t="s">
        <v>244</v>
      </c>
      <c r="D35" s="372">
        <f t="shared" si="9"/>
        <v>1947229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210888</v>
      </c>
      <c r="L35" s="157">
        <f>_xll.Get_Balance(L$83,"PTD","USD","Total","A","","001","555710","ED","AN","DL")</f>
        <v>216324</v>
      </c>
      <c r="M35" s="157">
        <f>_xll.Get_Balance(M$83,"PTD","USD","Total","A","","001","555710","ED","AN","DL")</f>
        <v>162315</v>
      </c>
      <c r="N35" s="157">
        <f>_xll.Get_Balance(N$83,"PTD","USD","Total","A","","001","555710","ED","AN","DL")</f>
        <v>177643</v>
      </c>
      <c r="O35" s="157">
        <f>_xll.Get_Balance(O$83,"PTD","USD","Total","A","","001","555710","ED","AN","DL")</f>
        <v>0</v>
      </c>
      <c r="P35" s="157">
        <f>_xll.Get_Balance(P$83,"PTD","USD","Total","A","","001","555710","ED","AN","DL")</f>
        <v>0</v>
      </c>
      <c r="Q35" s="220"/>
      <c r="R35" s="363">
        <f t="shared" si="8"/>
        <v>1947229</v>
      </c>
    </row>
    <row r="36" spans="1:18" outlineLevel="1">
      <c r="A36" s="255"/>
      <c r="B36" s="237" t="s">
        <v>166</v>
      </c>
      <c r="C36" s="186" t="s">
        <v>346</v>
      </c>
      <c r="D36" s="374">
        <f t="shared" si="9"/>
        <v>929099</v>
      </c>
      <c r="E36" s="375">
        <f>'Input Tab'!C41</f>
        <v>300823.05</v>
      </c>
      <c r="F36" s="375">
        <f>'Input Tab'!D41</f>
        <v>271824.2</v>
      </c>
      <c r="G36" s="375">
        <f>'Input Tab'!E41</f>
        <v>148515.9</v>
      </c>
      <c r="H36" s="375">
        <f>'Input Tab'!F41</f>
        <v>143838.34</v>
      </c>
      <c r="I36" s="375">
        <f>'Input Tab'!G41</f>
        <v>0</v>
      </c>
      <c r="J36" s="375">
        <f>'Input Tab'!H41</f>
        <v>0</v>
      </c>
      <c r="K36" s="375">
        <f>'Input Tab'!I41</f>
        <v>0</v>
      </c>
      <c r="L36" s="375">
        <f>'Input Tab'!J41</f>
        <v>0</v>
      </c>
      <c r="M36" s="375">
        <f>'Input Tab'!K41</f>
        <v>0</v>
      </c>
      <c r="N36" s="375">
        <f>'Input Tab'!L41</f>
        <v>0</v>
      </c>
      <c r="O36" s="375">
        <f>'Input Tab'!M41</f>
        <v>31525.200000000001</v>
      </c>
      <c r="P36" s="375">
        <f>'Input Tab'!N41</f>
        <v>32572.799999999999</v>
      </c>
      <c r="Q36" s="308"/>
      <c r="R36" s="363">
        <f t="shared" si="8"/>
        <v>929099</v>
      </c>
    </row>
    <row r="37" spans="1:18" s="184" customFormat="1" outlineLevel="1">
      <c r="A37" s="376"/>
      <c r="B37" s="238"/>
      <c r="C37" s="238"/>
      <c r="D37" s="195">
        <f>SUM(E37:P37)</f>
        <v>110845564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6606233</v>
      </c>
      <c r="L37" s="195">
        <f t="shared" si="10"/>
        <v>15747984</v>
      </c>
      <c r="M37" s="195">
        <f>SUM(M27:M36)</f>
        <v>9527787</v>
      </c>
      <c r="N37" s="195">
        <f>SUM(N27:N36)</f>
        <v>6852563</v>
      </c>
      <c r="O37" s="195">
        <f t="shared" si="10"/>
        <v>31525</v>
      </c>
      <c r="P37" s="195">
        <f t="shared" si="10"/>
        <v>32573</v>
      </c>
      <c r="Q37" s="218"/>
      <c r="R37" s="195">
        <f>SUM(R27:R36)</f>
        <v>110845564</v>
      </c>
    </row>
    <row r="38" spans="1:18">
      <c r="A38" s="255"/>
      <c r="B38" s="238"/>
      <c r="C38" s="238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</row>
    <row r="39" spans="1:18" ht="19.5" customHeight="1">
      <c r="A39" s="255"/>
      <c r="B39" s="239" t="s">
        <v>26</v>
      </c>
      <c r="C39" s="239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</row>
    <row r="40" spans="1:18" ht="12.95" customHeight="1">
      <c r="A40" s="255">
        <f>A23+1</f>
        <v>18</v>
      </c>
      <c r="B40" s="71" t="s">
        <v>27</v>
      </c>
      <c r="C40" s="269"/>
      <c r="D40" s="372">
        <f t="shared" ref="D40:D45" si="11">SUM(E40:P40)</f>
        <v>-64678948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-1152037</v>
      </c>
      <c r="L40" s="177">
        <f t="shared" si="12"/>
        <v>-8024373</v>
      </c>
      <c r="M40" s="177">
        <f t="shared" si="12"/>
        <v>-4057183</v>
      </c>
      <c r="N40" s="177">
        <f t="shared" si="12"/>
        <v>193004</v>
      </c>
      <c r="O40" s="177">
        <f t="shared" si="12"/>
        <v>0</v>
      </c>
      <c r="P40" s="177">
        <f t="shared" si="12"/>
        <v>0</v>
      </c>
      <c r="Q40" s="377"/>
      <c r="R40" s="372">
        <f>SUM(E40:P40)</f>
        <v>-64678948</v>
      </c>
    </row>
    <row r="41" spans="1:18">
      <c r="A41" s="255">
        <f>A40+1</f>
        <v>19</v>
      </c>
      <c r="B41" s="71" t="s">
        <v>32</v>
      </c>
      <c r="C41" s="269" t="s">
        <v>245</v>
      </c>
      <c r="D41" s="372">
        <f t="shared" si="11"/>
        <v>1126325</v>
      </c>
      <c r="E41" s="367">
        <f>'Input Tab'!C44</f>
        <v>96850</v>
      </c>
      <c r="F41" s="367">
        <f>'Input Tab'!D44</f>
        <v>54051</v>
      </c>
      <c r="G41" s="367">
        <f>'Input Tab'!E44</f>
        <v>67735</v>
      </c>
      <c r="H41" s="367">
        <f>'Input Tab'!F44</f>
        <v>46838</v>
      </c>
      <c r="I41" s="367">
        <f>'Input Tab'!G44</f>
        <v>23444</v>
      </c>
      <c r="J41" s="367">
        <f>'Input Tab'!H44</f>
        <v>38086</v>
      </c>
      <c r="K41" s="367">
        <f>'Input Tab'!I44</f>
        <v>256173</v>
      </c>
      <c r="L41" s="367">
        <f>'Input Tab'!J44</f>
        <v>268722</v>
      </c>
      <c r="M41" s="367">
        <f>'Input Tab'!K44</f>
        <v>122395</v>
      </c>
      <c r="N41" s="367">
        <f>'Input Tab'!L44</f>
        <v>152031</v>
      </c>
      <c r="O41" s="367">
        <f>'Input Tab'!M44</f>
        <v>0</v>
      </c>
      <c r="P41" s="367">
        <f>'Input Tab'!N44</f>
        <v>0</v>
      </c>
      <c r="Q41" s="377"/>
      <c r="R41" s="372">
        <f>SUM(E41:P41)</f>
        <v>1126325</v>
      </c>
    </row>
    <row r="42" spans="1:18">
      <c r="A42" s="255">
        <f>A41+1</f>
        <v>20</v>
      </c>
      <c r="B42" s="52" t="s">
        <v>375</v>
      </c>
      <c r="C42" s="186" t="s">
        <v>345</v>
      </c>
      <c r="D42" s="372">
        <f t="shared" si="11"/>
        <v>134092</v>
      </c>
      <c r="E42" s="367">
        <f>'Input Tab'!C45</f>
        <v>12978</v>
      </c>
      <c r="F42" s="367">
        <f>'Input Tab'!D45</f>
        <v>11594</v>
      </c>
      <c r="G42" s="367">
        <f>'Input Tab'!E45</f>
        <v>12269</v>
      </c>
      <c r="H42" s="367">
        <f>'Input Tab'!F45</f>
        <v>23957</v>
      </c>
      <c r="I42" s="367">
        <f>'Input Tab'!G45</f>
        <v>12240</v>
      </c>
      <c r="J42" s="367">
        <f>'Input Tab'!H45</f>
        <v>11887</v>
      </c>
      <c r="K42" s="367">
        <f>'Input Tab'!I45</f>
        <v>12458</v>
      </c>
      <c r="L42" s="367">
        <f>'Input Tab'!J45</f>
        <v>12397</v>
      </c>
      <c r="M42" s="367">
        <f>'Input Tab'!K45</f>
        <v>11830</v>
      </c>
      <c r="N42" s="367">
        <f>'Input Tab'!L45</f>
        <v>12482</v>
      </c>
      <c r="O42" s="367">
        <f>'Input Tab'!M45</f>
        <v>0</v>
      </c>
      <c r="P42" s="367">
        <f>'Input Tab'!N45</f>
        <v>0</v>
      </c>
      <c r="Q42" s="377"/>
      <c r="R42" s="372">
        <f>SUM(E42:P42)</f>
        <v>134092</v>
      </c>
    </row>
    <row r="43" spans="1:18">
      <c r="A43" s="255">
        <f>A42+1</f>
        <v>21</v>
      </c>
      <c r="B43" s="71" t="s">
        <v>53</v>
      </c>
      <c r="C43" s="378" t="s">
        <v>344</v>
      </c>
      <c r="D43" s="372">
        <f t="shared" si="11"/>
        <v>558816</v>
      </c>
      <c r="E43" s="367">
        <f>'Input Tab'!C46</f>
        <v>61859</v>
      </c>
      <c r="F43" s="367">
        <f>'Input Tab'!D46</f>
        <v>59141</v>
      </c>
      <c r="G43" s="367">
        <f>'Input Tab'!E46</f>
        <v>65628</v>
      </c>
      <c r="H43" s="367">
        <f>'Input Tab'!F46</f>
        <v>58213</v>
      </c>
      <c r="I43" s="367">
        <f>'Input Tab'!G46</f>
        <v>48440</v>
      </c>
      <c r="J43" s="367">
        <f>'Input Tab'!H46</f>
        <v>49177</v>
      </c>
      <c r="K43" s="367">
        <f>'Input Tab'!I46</f>
        <v>56197</v>
      </c>
      <c r="L43" s="367">
        <f>'Input Tab'!J46</f>
        <v>50370</v>
      </c>
      <c r="M43" s="367">
        <f>'Input Tab'!K46</f>
        <v>50107</v>
      </c>
      <c r="N43" s="367">
        <f>'Input Tab'!L46</f>
        <v>59684</v>
      </c>
      <c r="O43" s="367">
        <f>'Input Tab'!M46</f>
        <v>0</v>
      </c>
      <c r="P43" s="367">
        <f>'Input Tab'!N46</f>
        <v>0</v>
      </c>
      <c r="Q43" s="377"/>
      <c r="R43" s="372">
        <f>SUM(E43:P43)</f>
        <v>558816</v>
      </c>
    </row>
    <row r="44" spans="1:18">
      <c r="A44" s="255">
        <f>A43+1</f>
        <v>22</v>
      </c>
      <c r="B44" s="71" t="s">
        <v>35</v>
      </c>
      <c r="C44" s="269"/>
      <c r="D44" s="372">
        <f t="shared" si="11"/>
        <v>-13552485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-1175743</v>
      </c>
      <c r="L44" s="175">
        <f t="shared" si="13"/>
        <v>-1019134</v>
      </c>
      <c r="M44" s="175">
        <f t="shared" si="13"/>
        <v>-874375</v>
      </c>
      <c r="N44" s="175">
        <f t="shared" si="13"/>
        <v>-830108</v>
      </c>
      <c r="O44" s="175">
        <f t="shared" si="13"/>
        <v>0</v>
      </c>
      <c r="P44" s="175">
        <f t="shared" si="13"/>
        <v>0</v>
      </c>
      <c r="Q44" s="377"/>
      <c r="R44" s="372">
        <f>SUM(E44:P44)</f>
        <v>-13552485</v>
      </c>
    </row>
    <row r="45" spans="1:18" s="184" customFormat="1" ht="24.75" customHeight="1" thickBot="1">
      <c r="A45" s="369">
        <f>A44+1</f>
        <v>23</v>
      </c>
      <c r="B45" s="240" t="s">
        <v>226</v>
      </c>
      <c r="C45" s="240"/>
      <c r="D45" s="194">
        <f t="shared" si="11"/>
        <v>-76412200</v>
      </c>
      <c r="E45" s="370">
        <f>E55</f>
        <v>-14027524</v>
      </c>
      <c r="F45" s="370">
        <f>F55</f>
        <v>-9676671</v>
      </c>
      <c r="G45" s="370">
        <f t="shared" ref="G45:P45" si="14">G55</f>
        <v>-11198097</v>
      </c>
      <c r="H45" s="370">
        <f>H55</f>
        <v>-11240332</v>
      </c>
      <c r="I45" s="370">
        <f>I55</f>
        <v>-6705953</v>
      </c>
      <c r="J45" s="370">
        <f t="shared" si="14"/>
        <v>-7688520</v>
      </c>
      <c r="K45" s="370">
        <f t="shared" si="14"/>
        <v>-2002952</v>
      </c>
      <c r="L45" s="370">
        <f t="shared" si="14"/>
        <v>-8712018</v>
      </c>
      <c r="M45" s="370">
        <f>M55</f>
        <v>-4747226</v>
      </c>
      <c r="N45" s="370">
        <f t="shared" si="14"/>
        <v>-412907</v>
      </c>
      <c r="O45" s="370">
        <f t="shared" si="14"/>
        <v>0</v>
      </c>
      <c r="P45" s="370">
        <f t="shared" si="14"/>
        <v>0</v>
      </c>
      <c r="Q45" s="379"/>
      <c r="R45" s="371">
        <f>SUM(R40:R44)</f>
        <v>-76412200</v>
      </c>
    </row>
    <row r="46" spans="1:18" ht="13.5" thickTop="1">
      <c r="A46" s="25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80"/>
    </row>
    <row r="47" spans="1:18" outlineLevel="2">
      <c r="A47" s="255"/>
      <c r="E47" s="372"/>
      <c r="F47" s="372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80"/>
    </row>
    <row r="48" spans="1:18" outlineLevel="2">
      <c r="A48" s="255"/>
      <c r="B48" s="241" t="s">
        <v>26</v>
      </c>
      <c r="C48" s="241"/>
      <c r="E48" s="372"/>
      <c r="F48" s="372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80"/>
    </row>
    <row r="49" spans="1:18" outlineLevel="2">
      <c r="A49" s="255"/>
      <c r="B49" s="71">
        <v>447000</v>
      </c>
      <c r="D49" s="372">
        <f t="shared" ref="D49:D55" si="15">SUM(E49:P49)</f>
        <v>-53868973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-7435346</v>
      </c>
      <c r="L49" s="157">
        <f>_xll.Get_Balance(L$83,"PTD","USD","Total","A","","001","447000","ED","AN","DL")</f>
        <v>-9019288</v>
      </c>
      <c r="M49" s="157">
        <f>_xll.Get_Balance(M$83,"PTD","USD","Total","A","","001","447000","ED","AN","DL")</f>
        <v>-2016175</v>
      </c>
      <c r="N49" s="157">
        <f>_xll.Get_Balance(N$83,"PTD","USD","Total","A","","001","447000","ED","AN","DL")</f>
        <v>-1820697</v>
      </c>
      <c r="O49" s="157">
        <f>_xll.Get_Balance(O$83,"PTD","USD","Total","A","","001","447000","ED","AN","DL")</f>
        <v>0</v>
      </c>
      <c r="P49" s="157">
        <f>_xll.Get_Balance(P$83,"PTD","USD","Total","A","","001","447000","ED","AN","DL")</f>
        <v>0</v>
      </c>
      <c r="Q49" s="381"/>
      <c r="R49" s="363">
        <f t="shared" ref="R49:R54" si="16">SUM(E49:P49)</f>
        <v>-53868973</v>
      </c>
    </row>
    <row r="50" spans="1:18" outlineLevel="2">
      <c r="A50" s="255"/>
      <c r="B50" s="71">
        <v>447100</v>
      </c>
      <c r="D50" s="372">
        <f t="shared" si="15"/>
        <v>13433132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10813550</v>
      </c>
      <c r="L50" s="157">
        <f>_xll.Get_Balance(L$83,"PTD","USD","Total","A","","001","447100","ED","AN","DL")</f>
        <v>5716003</v>
      </c>
      <c r="M50" s="157">
        <f>_xll.Get_Balance(M$83,"PTD","USD","Total","A","","001","447100","ED","AN","DL")</f>
        <v>-98830</v>
      </c>
      <c r="N50" s="157">
        <f>_xll.Get_Balance(N$83,"PTD","USD","Total","A","","001","447100","ED","AN","DL")</f>
        <v>4724616</v>
      </c>
      <c r="O50" s="157">
        <f>_xll.Get_Balance(O$83,"PTD","USD","Total","A","","001","447100","ED","AN","DL")</f>
        <v>0</v>
      </c>
      <c r="P50" s="157">
        <f>_xll.Get_Balance(P$83,"PTD","USD","Total","A","","001","447100","ED","AN","DL")</f>
        <v>0</v>
      </c>
      <c r="Q50" s="381"/>
      <c r="R50" s="363">
        <f t="shared" si="16"/>
        <v>13433132</v>
      </c>
    </row>
    <row r="51" spans="1:18" outlineLevel="2">
      <c r="A51" s="255"/>
      <c r="B51" s="71">
        <v>447150</v>
      </c>
      <c r="D51" s="372">
        <f t="shared" si="15"/>
        <v>-17077741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-3046570</v>
      </c>
      <c r="L51" s="157">
        <f>_xll.Get_Balance(L$83,"PTD","USD","Total","A","","001","447150","ED","AN","DL")</f>
        <v>-3103594</v>
      </c>
      <c r="M51" s="157">
        <f>_xll.Get_Balance(M$83,"PTD","USD","Total","A","","001","447150","ED","AN","DL")</f>
        <v>-1524851</v>
      </c>
      <c r="N51" s="157">
        <f>_xll.Get_Balance(N$83,"PTD","USD","Total","A","","001","447150","ED","AN","DL")</f>
        <v>-2241375</v>
      </c>
      <c r="O51" s="157">
        <f>_xll.Get_Balance(O$83,"PTD","USD","Total","A","","001","447150","ED","AN","DL")</f>
        <v>0</v>
      </c>
      <c r="P51" s="157">
        <f>_xll.Get_Balance(P$83,"PTD","USD","Total","A","","001","447150","ED","AN","DL")</f>
        <v>0</v>
      </c>
      <c r="Q51" s="381"/>
      <c r="R51" s="363">
        <f t="shared" si="16"/>
        <v>-17077741</v>
      </c>
    </row>
    <row r="52" spans="1:18" outlineLevel="2">
      <c r="A52" s="255"/>
      <c r="B52" s="71">
        <v>447700</v>
      </c>
      <c r="D52" s="372">
        <f t="shared" si="15"/>
        <v>-3398904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-947955</v>
      </c>
      <c r="L52" s="157">
        <f>_xll.Get_Balance(L$83,"PTD","USD","Total","A","","001","447700","ED","AN","DL")</f>
        <v>-1069681</v>
      </c>
      <c r="M52" s="157">
        <f>_xll.Get_Balance(M$83,"PTD","USD","Total","A","","001","447700","ED","AN","DL")</f>
        <v>-70680</v>
      </c>
      <c r="N52" s="157">
        <f>_xll.Get_Balance(N$83,"PTD","USD","Total","A","","001","447700","ED","AN","DL")</f>
        <v>-67700</v>
      </c>
      <c r="O52" s="157">
        <f>_xll.Get_Balance(O$83,"PTD","USD","Total","A","","001","447700","ED","AN","DL")</f>
        <v>0</v>
      </c>
      <c r="P52" s="157">
        <f>_xll.Get_Balance(P$83,"PTD","USD","Total","A","","001","447700","ED","AN","DL")</f>
        <v>0</v>
      </c>
      <c r="Q52" s="381"/>
      <c r="R52" s="363">
        <f t="shared" si="16"/>
        <v>-3398904</v>
      </c>
    </row>
    <row r="53" spans="1:18" outlineLevel="2">
      <c r="A53" s="255"/>
      <c r="B53" s="71">
        <v>447710</v>
      </c>
      <c r="D53" s="372">
        <f t="shared" si="15"/>
        <v>-1947229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-210888</v>
      </c>
      <c r="L53" s="157">
        <f>_xll.Get_Balance(L$83,"PTD","USD","Total","A","","001","447710","ED","AN","DL")</f>
        <v>-216324</v>
      </c>
      <c r="M53" s="157">
        <f>_xll.Get_Balance(M$83,"PTD","USD","Total","A","","001","447710","ED","AN","DL")</f>
        <v>-162315</v>
      </c>
      <c r="N53" s="157">
        <f>_xll.Get_Balance(N$83,"PTD","USD","Total","A","","001","447710","ED","AN","DL")</f>
        <v>-177643</v>
      </c>
      <c r="O53" s="157">
        <f>_xll.Get_Balance(O$83,"PTD","USD","Total","A","","001","447710","ED","AN","DL")</f>
        <v>0</v>
      </c>
      <c r="P53" s="157">
        <f>_xll.Get_Balance(P$83,"PTD","USD","Total","A","","001","447710","ED","AN","DL")</f>
        <v>0</v>
      </c>
      <c r="Q53" s="381"/>
      <c r="R53" s="363">
        <f t="shared" si="16"/>
        <v>-1947229</v>
      </c>
    </row>
    <row r="54" spans="1:18" outlineLevel="2">
      <c r="A54" s="255"/>
      <c r="B54" s="71">
        <v>447720</v>
      </c>
      <c r="C54" s="52" t="s">
        <v>356</v>
      </c>
      <c r="D54" s="374">
        <f t="shared" si="15"/>
        <v>-13552485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-1175743</v>
      </c>
      <c r="L54" s="180">
        <f>_xll.Get_Balance(L$83,"PTD","USD","Total","A","","001","447720","ED","AN","DL")</f>
        <v>-1019134</v>
      </c>
      <c r="M54" s="180">
        <f>_xll.Get_Balance(M$83,"PTD","USD","Total","A","","001","447720","ED","AN","DL")</f>
        <v>-874375</v>
      </c>
      <c r="N54" s="180">
        <f>_xll.Get_Balance(N$83,"PTD","USD","Total","A","","001","447720","ED","AN","DL")</f>
        <v>-830108</v>
      </c>
      <c r="O54" s="180">
        <f>_xll.Get_Balance(O$83,"PTD","USD","Total","A","","001","447720","ED","AN","DL")</f>
        <v>0</v>
      </c>
      <c r="P54" s="180">
        <f>_xll.Get_Balance(P$83,"PTD","USD","Total","A","","001","447720","ED","AN","DL")</f>
        <v>0</v>
      </c>
      <c r="Q54" s="381"/>
      <c r="R54" s="382">
        <f t="shared" si="16"/>
        <v>-13552485</v>
      </c>
    </row>
    <row r="55" spans="1:18" s="184" customFormat="1" outlineLevel="2">
      <c r="A55" s="376"/>
      <c r="D55" s="195">
        <f t="shared" si="15"/>
        <v>-76412200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-2002952</v>
      </c>
      <c r="L55" s="181">
        <f t="shared" si="17"/>
        <v>-8712018</v>
      </c>
      <c r="M55" s="181">
        <f>SUM(M49:M54)</f>
        <v>-4747226</v>
      </c>
      <c r="N55" s="181">
        <f t="shared" si="17"/>
        <v>-412907</v>
      </c>
      <c r="O55" s="181">
        <f t="shared" si="17"/>
        <v>0</v>
      </c>
      <c r="P55" s="181">
        <f t="shared" si="17"/>
        <v>0</v>
      </c>
      <c r="Q55" s="383"/>
      <c r="R55" s="195">
        <f>SUM(R49:R54)</f>
        <v>-76412200</v>
      </c>
    </row>
    <row r="56" spans="1:18" outlineLevel="2">
      <c r="A56" s="255"/>
      <c r="E56" s="372"/>
      <c r="F56" s="37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81"/>
      <c r="R56" s="372"/>
    </row>
    <row r="57" spans="1:18">
      <c r="A57" s="255"/>
      <c r="B57" s="239" t="s">
        <v>20</v>
      </c>
      <c r="C57" s="239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81"/>
      <c r="R57" s="372"/>
    </row>
    <row r="58" spans="1:18">
      <c r="A58" s="255">
        <f>A45+1</f>
        <v>24</v>
      </c>
      <c r="B58" s="52" t="s">
        <v>236</v>
      </c>
      <c r="C58" s="52"/>
      <c r="D58" s="372">
        <f>SUM(E58:P58)</f>
        <v>5395410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666074</v>
      </c>
      <c r="L58" s="157">
        <f>_xll.Get_Balance(L$83,"PTD","USD","Total","A","","001","501110","ED","AN","DL")</f>
        <v>714243</v>
      </c>
      <c r="M58" s="157">
        <f>_xll.Get_Balance(M$83,"PTD","USD","Total","A","","001","501110","ED","AN","DL")</f>
        <v>706827</v>
      </c>
      <c r="N58" s="157">
        <f>_xll.Get_Balance(N$83,"PTD","USD","Total","A","","001","501110","ED","AN","DL")</f>
        <v>656511</v>
      </c>
      <c r="O58" s="157">
        <f>_xll.Get_Balance(O$83,"PTD","USD","Total","A","","001","501110","ED","AN","DL")</f>
        <v>0</v>
      </c>
      <c r="P58" s="157">
        <f>_xll.Get_Balance(P$83,"PTD","USD","Total","A","","001","501110","ED","AN","DL")</f>
        <v>0</v>
      </c>
      <c r="Q58" s="384"/>
      <c r="R58" s="196">
        <f>SUM(E58:P58)</f>
        <v>5395410</v>
      </c>
    </row>
    <row r="59" spans="1:18">
      <c r="A59" s="255">
        <f>+A58+1</f>
        <v>25</v>
      </c>
      <c r="B59" s="52" t="s">
        <v>235</v>
      </c>
      <c r="C59" s="52"/>
      <c r="D59" s="372">
        <f>SUM(E59:P59)</f>
        <v>6593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1199</v>
      </c>
      <c r="L59" s="157">
        <f>_xll.Get_Balance(L$83,"PTD","USD","Total","A","","001","501120","ED","AN","DL")</f>
        <v>50</v>
      </c>
      <c r="M59" s="157">
        <f>_xll.Get_Balance(M$83,"PTD","USD","Total","A","","001","501120","ED","AN","DL")</f>
        <v>-52</v>
      </c>
      <c r="N59" s="157">
        <f>_xll.Get_Balance(N$83,"PTD","USD","Total","A","","001","501120","ED","AN","DL")</f>
        <v>487</v>
      </c>
      <c r="O59" s="157">
        <f>_xll.Get_Balance(O$83,"PTD","USD","Total","A","","001","501120","ED","AN","DL")</f>
        <v>0</v>
      </c>
      <c r="P59" s="157">
        <f>_xll.Get_Balance(P$83,"PTD","USD","Total","A","","001","501120","ED","AN","DL")</f>
        <v>0</v>
      </c>
      <c r="Q59" s="384"/>
      <c r="R59" s="196">
        <f>SUM(E59:P59)</f>
        <v>6593</v>
      </c>
    </row>
    <row r="60" spans="1:18">
      <c r="A60" s="255">
        <f>+A59+1</f>
        <v>26</v>
      </c>
      <c r="B60" s="73" t="s">
        <v>164</v>
      </c>
      <c r="C60" s="73"/>
      <c r="D60" s="372">
        <f>SUM(E60:P60)</f>
        <v>15128453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847317</v>
      </c>
      <c r="L60" s="157">
        <f>_xll.Get_Balance(L$83,"PTD","USD","Total","A","","001","501140","ED","AN","DL")</f>
        <v>1275042</v>
      </c>
      <c r="M60" s="157">
        <f>_xll.Get_Balance(M$83,"PTD","USD","Total","A","","001","501140","ED","AN","DL")</f>
        <v>1879646</v>
      </c>
      <c r="N60" s="157">
        <f>_xll.Get_Balance(N$83,"PTD","USD","Total","A","","001","501140","ED","AN","DL")</f>
        <v>2362829</v>
      </c>
      <c r="O60" s="157">
        <f>_xll.Get_Balance(O$83,"PTD","USD","Total","A","","001","501140","ED","AN","DL")</f>
        <v>0</v>
      </c>
      <c r="P60" s="157">
        <f>_xll.Get_Balance(P$83,"PTD","USD","Total","A","","001","501140","ED","AN","DL")</f>
        <v>0</v>
      </c>
      <c r="Q60" s="384"/>
      <c r="R60" s="385">
        <f>SUM(E60:P60)</f>
        <v>15128453</v>
      </c>
    </row>
    <row r="61" spans="1:18">
      <c r="A61" s="255">
        <f>+A60+1</f>
        <v>27</v>
      </c>
      <c r="B61" s="73" t="s">
        <v>163</v>
      </c>
      <c r="C61" s="73"/>
      <c r="D61" s="372">
        <f>SUM(E61:P61)</f>
        <v>248894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6518</v>
      </c>
      <c r="L61" s="157">
        <f>_xll.Get_Balance(L$83,"PTD","USD","Total","A","","001","501160","ED","AN","DL")</f>
        <v>104521</v>
      </c>
      <c r="M61" s="157">
        <f>_xll.Get_Balance(M$83,"PTD","USD","Total","A","","001","501160","ED","AN","DL")</f>
        <v>70983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0</v>
      </c>
      <c r="P61" s="157">
        <f>_xll.Get_Balance(P$83,"PTD","USD","Total","A","","001","501160","ED","AN","DL")</f>
        <v>0</v>
      </c>
      <c r="Q61" s="384"/>
      <c r="R61" s="385">
        <f>SUM(E61:P61)</f>
        <v>248894</v>
      </c>
    </row>
    <row r="62" spans="1:18" s="184" customFormat="1" ht="27.75" customHeight="1" thickBot="1">
      <c r="A62" s="369">
        <f>+A61+1</f>
        <v>28</v>
      </c>
      <c r="B62" s="240" t="s">
        <v>225</v>
      </c>
      <c r="C62" s="240"/>
      <c r="D62" s="194">
        <f>SUM(E62:P62)</f>
        <v>20779350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1521108</v>
      </c>
      <c r="L62" s="171">
        <f t="shared" si="18"/>
        <v>2093856</v>
      </c>
      <c r="M62" s="171">
        <f t="shared" si="18"/>
        <v>2657404</v>
      </c>
      <c r="N62" s="171">
        <f t="shared" si="18"/>
        <v>3019827</v>
      </c>
      <c r="O62" s="171">
        <f t="shared" si="18"/>
        <v>0</v>
      </c>
      <c r="P62" s="171">
        <f t="shared" si="18"/>
        <v>0</v>
      </c>
      <c r="Q62" s="386"/>
      <c r="R62" s="371">
        <f>SUM(E62:P62)</f>
        <v>20779350</v>
      </c>
    </row>
    <row r="63" spans="1:18" ht="8.25" customHeight="1" thickTop="1">
      <c r="A63" s="25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80"/>
    </row>
    <row r="64" spans="1:18" ht="18.75" customHeight="1">
      <c r="A64" s="255"/>
      <c r="B64" s="239" t="s">
        <v>28</v>
      </c>
      <c r="C64" s="239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80"/>
    </row>
    <row r="65" spans="1:18">
      <c r="A65" s="255">
        <f>A62+1</f>
        <v>29</v>
      </c>
      <c r="B65" s="71" t="s">
        <v>21</v>
      </c>
      <c r="C65" s="52" t="s">
        <v>264</v>
      </c>
      <c r="D65" s="341">
        <f>SUM(E65:P65)</f>
        <v>454821</v>
      </c>
      <c r="E65" s="387">
        <f>'Input Tab'!C49</f>
        <v>53359</v>
      </c>
      <c r="F65" s="387">
        <f>'Input Tab'!D49</f>
        <v>48502</v>
      </c>
      <c r="G65" s="387">
        <f>'Input Tab'!E49</f>
        <v>58811</v>
      </c>
      <c r="H65" s="387">
        <f>'Input Tab'!F49</f>
        <v>52478</v>
      </c>
      <c r="I65" s="387">
        <f>'Input Tab'!G49</f>
        <v>0</v>
      </c>
      <c r="J65" s="387">
        <f>'Input Tab'!H49</f>
        <v>16710</v>
      </c>
      <c r="K65" s="387">
        <f>'Input Tab'!I49</f>
        <v>56362</v>
      </c>
      <c r="L65" s="387">
        <f>'Input Tab'!J49</f>
        <v>58199</v>
      </c>
      <c r="M65" s="387">
        <f>'Input Tab'!K49</f>
        <v>57315</v>
      </c>
      <c r="N65" s="387">
        <f>'Input Tab'!L49</f>
        <v>53085</v>
      </c>
      <c r="O65" s="387">
        <f>'Input Tab'!M49</f>
        <v>0</v>
      </c>
      <c r="P65" s="387">
        <f>'Input Tab'!N49</f>
        <v>0</v>
      </c>
      <c r="Q65" s="380"/>
      <c r="R65" s="63">
        <f>SUM(E65:P65)</f>
        <v>454821</v>
      </c>
    </row>
    <row r="66" spans="1:18">
      <c r="A66" s="255">
        <f>A65+1</f>
        <v>30</v>
      </c>
      <c r="B66" s="71" t="s">
        <v>30</v>
      </c>
      <c r="C66" s="52" t="s">
        <v>263</v>
      </c>
      <c r="D66" s="341">
        <f>SUM(E66:P66)</f>
        <v>706503</v>
      </c>
      <c r="E66" s="387">
        <f>'Input Tab'!C50</f>
        <v>99606</v>
      </c>
      <c r="F66" s="387">
        <f>'Input Tab'!D50</f>
        <v>73063</v>
      </c>
      <c r="G66" s="387">
        <f>'Input Tab'!E50</f>
        <v>96702</v>
      </c>
      <c r="H66" s="387">
        <f>'Input Tab'!F50</f>
        <v>72391</v>
      </c>
      <c r="I66" s="387">
        <f>'Input Tab'!G50</f>
        <v>52614</v>
      </c>
      <c r="J66" s="387">
        <f>'Input Tab'!H50</f>
        <v>61022</v>
      </c>
      <c r="K66" s="387">
        <f>'Input Tab'!I50</f>
        <v>23288</v>
      </c>
      <c r="L66" s="387">
        <f>'Input Tab'!J50</f>
        <v>49111</v>
      </c>
      <c r="M66" s="387">
        <f>'Input Tab'!K50</f>
        <v>82493</v>
      </c>
      <c r="N66" s="387">
        <f>'Input Tab'!L50</f>
        <v>96213</v>
      </c>
      <c r="O66" s="387">
        <f>'Input Tab'!M50</f>
        <v>0</v>
      </c>
      <c r="P66" s="387">
        <f>'Input Tab'!N50</f>
        <v>0</v>
      </c>
      <c r="Q66" s="380"/>
      <c r="R66" s="63">
        <f>SUM(E66:P66)</f>
        <v>706503</v>
      </c>
    </row>
    <row r="67" spans="1:18" ht="9" customHeight="1">
      <c r="A67" s="25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80"/>
    </row>
    <row r="68" spans="1:18" ht="21" customHeight="1">
      <c r="A68" s="255"/>
      <c r="B68" s="239" t="s">
        <v>31</v>
      </c>
      <c r="C68" s="239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80"/>
    </row>
    <row r="69" spans="1:18">
      <c r="A69" s="255">
        <f>A66+1</f>
        <v>31</v>
      </c>
      <c r="B69" s="71" t="s">
        <v>21</v>
      </c>
      <c r="D69" s="388" t="s">
        <v>22</v>
      </c>
      <c r="E69" s="389">
        <f>IF(E65=0," ",E58/E65)</f>
        <v>11.74</v>
      </c>
      <c r="F69" s="389">
        <f>IF(F65=0," ",F58/F65)</f>
        <v>11.44</v>
      </c>
      <c r="G69" s="389">
        <f>IF(G65=0," ",G58/G65)</f>
        <v>11.55</v>
      </c>
      <c r="H69" s="389">
        <f t="shared" ref="H69:P69" si="19">IF(H65=0," ",H58/H65)</f>
        <v>11.15</v>
      </c>
      <c r="I69" s="389" t="str">
        <f>IF(I65=0," ",I58/I65)</f>
        <v xml:space="preserve"> </v>
      </c>
      <c r="J69" s="389">
        <f t="shared" si="19"/>
        <v>11.74</v>
      </c>
      <c r="K69" s="389">
        <f>IF(K65=0," ",K58/K65)</f>
        <v>11.82</v>
      </c>
      <c r="L69" s="389">
        <f t="shared" si="19"/>
        <v>12.27</v>
      </c>
      <c r="M69" s="389">
        <f t="shared" si="19"/>
        <v>12.33</v>
      </c>
      <c r="N69" s="389">
        <f t="shared" si="19"/>
        <v>12.37</v>
      </c>
      <c r="O69" s="389" t="str">
        <f t="shared" si="19"/>
        <v xml:space="preserve"> </v>
      </c>
      <c r="P69" s="389" t="str">
        <f t="shared" si="19"/>
        <v xml:space="preserve"> </v>
      </c>
      <c r="Q69" s="390"/>
      <c r="R69" s="391">
        <f>R58/R65</f>
        <v>11.86</v>
      </c>
    </row>
    <row r="70" spans="1:18">
      <c r="A70" s="255">
        <f>A69+1</f>
        <v>32</v>
      </c>
      <c r="B70" s="71" t="s">
        <v>24</v>
      </c>
      <c r="D70" s="255" t="s">
        <v>23</v>
      </c>
      <c r="E70" s="389">
        <f>IF(E66=0," ",E60/E66)</f>
        <v>21.92</v>
      </c>
      <c r="F70" s="389">
        <f>IF(F66=0," ",F60/F66)</f>
        <v>12.26</v>
      </c>
      <c r="G70" s="389">
        <f t="shared" ref="G70:P70" si="20">IF(G66=0," ",G60/G66)</f>
        <v>22.04</v>
      </c>
      <c r="H70" s="389">
        <f t="shared" si="20"/>
        <v>21.03</v>
      </c>
      <c r="I70" s="389">
        <f>IF(I66=0," ",I60/I66)</f>
        <v>10.92</v>
      </c>
      <c r="J70" s="389">
        <f t="shared" si="20"/>
        <v>23.87</v>
      </c>
      <c r="K70" s="389">
        <f t="shared" si="20"/>
        <v>36.380000000000003</v>
      </c>
      <c r="L70" s="389">
        <f t="shared" si="20"/>
        <v>25.96</v>
      </c>
      <c r="M70" s="389">
        <f t="shared" si="20"/>
        <v>22.79</v>
      </c>
      <c r="N70" s="389">
        <f t="shared" si="20"/>
        <v>24.56</v>
      </c>
      <c r="O70" s="389" t="str">
        <f t="shared" si="20"/>
        <v xml:space="preserve"> </v>
      </c>
      <c r="P70" s="389" t="str">
        <f t="shared" si="20"/>
        <v xml:space="preserve"> </v>
      </c>
      <c r="Q70" s="390"/>
      <c r="R70" s="391">
        <f>R60/R66</f>
        <v>21.41</v>
      </c>
    </row>
    <row r="71" spans="1:18">
      <c r="A71" s="25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80"/>
    </row>
    <row r="72" spans="1:18">
      <c r="A72" s="255"/>
      <c r="B72" s="239" t="s">
        <v>25</v>
      </c>
      <c r="C72" s="239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80"/>
    </row>
    <row r="73" spans="1:18">
      <c r="A73" s="255">
        <f>A70+1</f>
        <v>33</v>
      </c>
      <c r="B73" s="71" t="s">
        <v>183</v>
      </c>
      <c r="D73" s="372">
        <f t="shared" ref="D73:D79" si="21">SUM(E73:P73)</f>
        <v>32733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1300</v>
      </c>
      <c r="L73" s="157">
        <f>_xll.Get_Balance(L$83,"PTD","USD","Total","A","","001","547213","ED","AN","DL")</f>
        <v>1328</v>
      </c>
      <c r="M73" s="157">
        <f>_xll.Get_Balance(M$83,"PTD","USD","Total","A","","001","547213","ED","AN","DL")</f>
        <v>1181</v>
      </c>
      <c r="N73" s="157">
        <f>_xll.Get_Balance(N$83,"PTD","USD","Total","A","","001","547213","ED","AN","DL")</f>
        <v>2148</v>
      </c>
      <c r="O73" s="157">
        <f>_xll.Get_Balance(O$83,"PTD","USD","Total","A","","001","547213","ED","AN","DL")</f>
        <v>0</v>
      </c>
      <c r="P73" s="157">
        <f>_xll.Get_Balance(P$83,"PTD","USD","Total","A","","001","547213","ED","AN","DL")</f>
        <v>0</v>
      </c>
      <c r="Q73" s="392"/>
      <c r="R73" s="393">
        <f t="shared" ref="R73:R78" si="22">SUM(E73:P73)</f>
        <v>32733</v>
      </c>
    </row>
    <row r="74" spans="1:18">
      <c r="A74" s="255">
        <f t="shared" ref="A74:A79" si="23">A73+1</f>
        <v>34</v>
      </c>
      <c r="B74" s="71" t="s">
        <v>176</v>
      </c>
      <c r="D74" s="372">
        <f t="shared" si="21"/>
        <v>906345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161056</v>
      </c>
      <c r="L74" s="157">
        <f>_xll.Get_Balance(L$83,"PTD","USD","Total","A","","001","547216","ED","AN","DL")</f>
        <v>186465</v>
      </c>
      <c r="M74" s="157">
        <f>_xll.Get_Balance(M$83,"PTD","USD","Total","A","","001","547216","ED","AN","DL")</f>
        <v>142461</v>
      </c>
      <c r="N74" s="157">
        <f>_xll.Get_Balance(N$83,"PTD","USD","Total","A","","001","547216","ED","AN","DL")</f>
        <v>266208</v>
      </c>
      <c r="O74" s="157">
        <f>_xll.Get_Balance(O$83,"PTD","USD","Total","A","","001","547216","ED","AN","DL")</f>
        <v>0</v>
      </c>
      <c r="P74" s="157">
        <f>_xll.Get_Balance(P$83,"PTD","USD","Total","A","","001","547216","ED","AN","DL")</f>
        <v>0</v>
      </c>
      <c r="Q74" s="392"/>
      <c r="R74" s="393">
        <f t="shared" si="22"/>
        <v>906345</v>
      </c>
    </row>
    <row r="75" spans="1:18">
      <c r="A75" s="255">
        <f t="shared" si="23"/>
        <v>35</v>
      </c>
      <c r="B75" s="71" t="s">
        <v>175</v>
      </c>
      <c r="D75" s="372">
        <f t="shared" si="21"/>
        <v>175161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48328</v>
      </c>
      <c r="L75" s="157">
        <f>_xll.Get_Balance(L83,"PTD","USD","Total","A","","001","547211","ED","AN","DL")</f>
        <v>61499</v>
      </c>
      <c r="M75" s="157">
        <f>_xll.Get_Balance(M83,"PTD","USD","Total","A","","001","547211","ED","AN","DL")</f>
        <v>34991</v>
      </c>
      <c r="N75" s="157">
        <f>_xll.Get_Balance(N83,"PTD","USD","Total","A","","001","547211","ED","AN","DL")</f>
        <v>14934</v>
      </c>
      <c r="O75" s="157">
        <f>_xll.Get_Balance(O83,"PTD","USD","Total","A","","001","547211","ED","AN","DL")</f>
        <v>0</v>
      </c>
      <c r="P75" s="157">
        <f>_xll.Get_Balance(P83,"PTD","USD","Total","A","","001","547211","ED","AN","DL")</f>
        <v>0</v>
      </c>
      <c r="Q75" s="392"/>
      <c r="R75" s="393">
        <f t="shared" si="22"/>
        <v>175161</v>
      </c>
    </row>
    <row r="76" spans="1:18">
      <c r="A76" s="255">
        <f t="shared" si="23"/>
        <v>36</v>
      </c>
      <c r="B76" s="71" t="s">
        <v>177</v>
      </c>
      <c r="D76" s="372">
        <f t="shared" si="21"/>
        <v>23414576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3342340</v>
      </c>
      <c r="L76" s="157">
        <f>_xll.Get_Balance(L$83,"PTD","USD","Total","A","","001","547610","ED","AN","DL")</f>
        <v>3561575</v>
      </c>
      <c r="M76" s="157">
        <f>_xll.Get_Balance(M$83,"PTD","USD","Total","A","","001","547610","ED","AN","DL")</f>
        <v>2427012</v>
      </c>
      <c r="N76" s="157">
        <f>_xll.Get_Balance(N$83,"PTD","USD","Total","A","","001","547610","ED","AN","DL")</f>
        <v>610298</v>
      </c>
      <c r="O76" s="157">
        <f>_xll.Get_Balance(O$83,"PTD","USD","Total","A","","001","547610","ED","AN","DL")</f>
        <v>0</v>
      </c>
      <c r="P76" s="157">
        <f>_xll.Get_Balance(P$83,"PTD","USD","Total","A","","001","547610","ED","AN","DL")</f>
        <v>0</v>
      </c>
      <c r="Q76" s="392"/>
      <c r="R76" s="393">
        <f t="shared" si="22"/>
        <v>23414576</v>
      </c>
    </row>
    <row r="77" spans="1:18">
      <c r="A77" s="255">
        <f>A76+1</f>
        <v>37</v>
      </c>
      <c r="B77" s="52" t="s">
        <v>189</v>
      </c>
      <c r="C77" s="52"/>
      <c r="D77" s="372">
        <f t="shared" si="21"/>
        <v>23597219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3017772</v>
      </c>
      <c r="L77" s="157">
        <f>_xll.Get_Balance(L$83,"PTD","USD","Total","A","","001","547312","ED","AN","DL")</f>
        <v>2993539</v>
      </c>
      <c r="M77" s="157">
        <f>_xll.Get_Balance(M$83,"PTD","USD","Total","A","","001","547312","ED","AN","DL")</f>
        <v>2764033</v>
      </c>
      <c r="N77" s="157">
        <f>_xll.Get_Balance(N$83,"PTD","USD","Total","A","","001","547312","ED","AN","DL")</f>
        <v>2606766</v>
      </c>
      <c r="O77" s="157">
        <f>_xll.Get_Balance(O$83,"PTD","USD","Total","A","","001","547312","ED","AN","DL")</f>
        <v>0</v>
      </c>
      <c r="P77" s="157">
        <f>_xll.Get_Balance(P$83,"PTD","USD","Total","A","","001","547312","ED","AN","DL")</f>
        <v>0</v>
      </c>
      <c r="Q77" s="392"/>
      <c r="R77" s="393">
        <f>SUM(E77:P77)</f>
        <v>23597219</v>
      </c>
    </row>
    <row r="78" spans="1:18">
      <c r="A78" s="255">
        <f>A77+1</f>
        <v>38</v>
      </c>
      <c r="B78" s="242" t="s">
        <v>178</v>
      </c>
      <c r="C78" s="242"/>
      <c r="D78" s="372">
        <f t="shared" si="21"/>
        <v>3489405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806059</v>
      </c>
      <c r="L78" s="180">
        <f>_xll.Get_Balance(L$83,"PTD","USD","Total","A","","001","547310","ED","AN","DL")</f>
        <v>904957</v>
      </c>
      <c r="M78" s="180">
        <f>_xll.Get_Balance(M$83,"PTD","USD","Total","A","","001","547310","ED","AN","DL")</f>
        <v>467318</v>
      </c>
      <c r="N78" s="180">
        <f>_xll.Get_Balance(N$83,"PTD","USD","Total","A","","001","547310","ED","AN","DL")</f>
        <v>1006715</v>
      </c>
      <c r="O78" s="180">
        <f>_xll.Get_Balance(O$83,"PTD","USD","Total","A","","001","547310","ED","AN","DL")</f>
        <v>0</v>
      </c>
      <c r="P78" s="180">
        <f>_xll.Get_Balance(P$83,"PTD","USD","Total","A","","001","547310","ED","AN","DL")</f>
        <v>0</v>
      </c>
      <c r="Q78" s="392"/>
      <c r="R78" s="394">
        <f t="shared" si="22"/>
        <v>3489405</v>
      </c>
    </row>
    <row r="79" spans="1:18" s="184" customFormat="1" ht="21.75" customHeight="1">
      <c r="A79" s="369">
        <f t="shared" si="23"/>
        <v>39</v>
      </c>
      <c r="B79" s="240" t="s">
        <v>224</v>
      </c>
      <c r="C79" s="240"/>
      <c r="D79" s="194">
        <f t="shared" si="21"/>
        <v>51615439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7376855</v>
      </c>
      <c r="L79" s="171">
        <f t="shared" si="24"/>
        <v>7709363</v>
      </c>
      <c r="M79" s="171">
        <f t="shared" si="24"/>
        <v>5836996</v>
      </c>
      <c r="N79" s="171">
        <f t="shared" si="24"/>
        <v>4507069</v>
      </c>
      <c r="O79" s="171">
        <f t="shared" si="24"/>
        <v>0</v>
      </c>
      <c r="P79" s="171">
        <f t="shared" si="24"/>
        <v>0</v>
      </c>
      <c r="Q79" s="395"/>
      <c r="R79" s="396">
        <f>SUM(R73:R78)</f>
        <v>51615439</v>
      </c>
    </row>
    <row r="80" spans="1:18" ht="15.75" customHeight="1">
      <c r="A80" s="255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92"/>
      <c r="R80" s="397"/>
    </row>
    <row r="81" spans="1:18" ht="21" customHeight="1">
      <c r="A81" s="369">
        <f>A79+1</f>
        <v>40</v>
      </c>
      <c r="B81" s="243" t="s">
        <v>54</v>
      </c>
      <c r="C81" s="243"/>
      <c r="D81" s="398">
        <f>SUM(E81:P81)</f>
        <v>106828153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13501244</v>
      </c>
      <c r="L81" s="171">
        <f t="shared" si="25"/>
        <v>16839185</v>
      </c>
      <c r="M81" s="171">
        <f t="shared" si="25"/>
        <v>13274961</v>
      </c>
      <c r="N81" s="171">
        <f t="shared" si="25"/>
        <v>13966552</v>
      </c>
      <c r="O81" s="171">
        <f t="shared" si="25"/>
        <v>31525</v>
      </c>
      <c r="P81" s="171">
        <f t="shared" si="25"/>
        <v>32573</v>
      </c>
      <c r="Q81" s="399"/>
      <c r="R81" s="400">
        <f>R23-R45+R62+R79</f>
        <v>259896459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80"/>
    </row>
    <row r="83" spans="1:18" outlineLevel="1">
      <c r="B83" s="244" t="s">
        <v>29</v>
      </c>
      <c r="C83" s="244"/>
      <c r="E83" s="401">
        <v>201801</v>
      </c>
      <c r="F83" s="401">
        <v>201802</v>
      </c>
      <c r="G83" s="401">
        <v>201803</v>
      </c>
      <c r="H83" s="401">
        <v>201804</v>
      </c>
      <c r="I83" s="401">
        <v>201805</v>
      </c>
      <c r="J83" s="401">
        <v>201806</v>
      </c>
      <c r="K83" s="401">
        <v>201807</v>
      </c>
      <c r="L83" s="401">
        <v>201808</v>
      </c>
      <c r="M83" s="401">
        <v>201809</v>
      </c>
      <c r="N83" s="401">
        <v>201810</v>
      </c>
      <c r="O83" s="401">
        <v>201811</v>
      </c>
      <c r="P83" s="401">
        <v>201812</v>
      </c>
      <c r="Q83" s="380"/>
    </row>
    <row r="84" spans="1:18">
      <c r="B84" s="245" t="s">
        <v>231</v>
      </c>
      <c r="C84" s="245"/>
      <c r="D84" s="402"/>
      <c r="E84" s="377"/>
      <c r="F84" s="176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380"/>
    </row>
    <row r="85" spans="1:18">
      <c r="A85" s="255">
        <f>A81+1</f>
        <v>41</v>
      </c>
      <c r="B85" s="244" t="s">
        <v>156</v>
      </c>
      <c r="C85" s="244"/>
      <c r="D85" s="220">
        <f t="shared" ref="D85:D92" si="26">SUM(E85:P85)</f>
        <v>-9755185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-1447941</v>
      </c>
      <c r="L85" s="157">
        <f>_xll.Get_Balance(L$83,"PTD","USD","Total","A","","001","456100","ED","AN","DL")</f>
        <v>-1294522</v>
      </c>
      <c r="M85" s="157">
        <f>_xll.Get_Balance(M$83,"PTD","USD","Total","A","","001","456100","ED","AN","DL")</f>
        <v>-809430</v>
      </c>
      <c r="N85" s="157">
        <f>_xll.Get_Balance(N$83,"PTD","USD","Total","A","","001","456100","ED","AN","DL")</f>
        <v>-830529</v>
      </c>
      <c r="O85" s="157">
        <f>_xll.Get_Balance(O$83,"PTD","USD","Total","A","","001","456100","ED","AN","DL")</f>
        <v>0</v>
      </c>
      <c r="P85" s="157">
        <f>_xll.Get_Balance(P$83,"PTD","USD","Total","A","","001","456100","ED","AN","DL")</f>
        <v>0</v>
      </c>
      <c r="Q85" s="392"/>
      <c r="R85" s="393">
        <f t="shared" ref="R85:R92" si="27">SUM(E85:P85)</f>
        <v>-9755185</v>
      </c>
    </row>
    <row r="86" spans="1:18">
      <c r="A86" s="255">
        <v>45</v>
      </c>
      <c r="B86" s="244" t="s">
        <v>286</v>
      </c>
      <c r="C86" s="244"/>
      <c r="D86" s="220">
        <f t="shared" si="26"/>
        <v>-770000</v>
      </c>
      <c r="E86" s="231">
        <f>_xll.Get_Balance(E$83,"PTD","USD","Total","A","","001","456120","ED","AN","DL")</f>
        <v>-77000</v>
      </c>
      <c r="F86" s="231">
        <f>_xll.Get_Balance(F$83,"PTD","USD","Total","A","","001","456120","ED","AN","DL")</f>
        <v>-77000</v>
      </c>
      <c r="G86" s="231">
        <f>_xll.Get_Balance(G$83,"PTD","USD","Total","A","","001","456120","ED","AN","DL")</f>
        <v>-77000</v>
      </c>
      <c r="H86" s="231">
        <f>_xll.Get_Balance(H$83,"PTD","USD","Total","A","","001","456120","ED","AN","DL")</f>
        <v>-77000</v>
      </c>
      <c r="I86" s="231">
        <f>_xll.Get_Balance(I$83,"PTD","USD","Total","A","","001","456120","ED","AN","DL")</f>
        <v>-77000</v>
      </c>
      <c r="J86" s="231">
        <f>_xll.Get_Balance(J$83,"PTD","USD","Total","A","","001","456120","ED","AN","DL")</f>
        <v>-77000</v>
      </c>
      <c r="K86" s="231">
        <f>_xll.Get_Balance(K$83,"PTD","USD","Total","A","","001","456120","ED","AN","DL")</f>
        <v>-77000</v>
      </c>
      <c r="L86" s="231">
        <f>_xll.Get_Balance(L$83,"PTD","USD","Total","A","","001","456120","ED","AN","DL")</f>
        <v>-77000</v>
      </c>
      <c r="M86" s="231">
        <f>_xll.Get_Balance(M$83,"PTD","USD","Total","A","","001","456120","ED","AN","DL")</f>
        <v>-77000</v>
      </c>
      <c r="N86" s="231">
        <f>_xll.Get_Balance(N$83,"PTD","USD","Total","A","","001","456120","ED","AN","DL")</f>
        <v>-77000</v>
      </c>
      <c r="O86" s="231">
        <f>_xll.Get_Balance(O$83,"PTD","USD","Total","A","","001","456120","ED","AN","DL")</f>
        <v>0</v>
      </c>
      <c r="P86" s="231">
        <f>_xll.Get_Balance(P$83,"PTD","USD","Total","A","","001","456120","ED","AN","DL")</f>
        <v>0</v>
      </c>
      <c r="Q86" s="392"/>
      <c r="R86" s="393">
        <f t="shared" si="27"/>
        <v>-770000</v>
      </c>
    </row>
    <row r="87" spans="1:18">
      <c r="A87" s="255">
        <f>A86+1</f>
        <v>46</v>
      </c>
      <c r="B87" s="244" t="s">
        <v>360</v>
      </c>
      <c r="C87" s="244"/>
      <c r="D87" s="220">
        <f t="shared" si="26"/>
        <v>-267161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-939</v>
      </c>
      <c r="L87" s="157">
        <f>_xll.Get_Balance(L$83,"PTD","USD","Total","A","","001","456020","ED","AN","DL")</f>
        <v>-371</v>
      </c>
      <c r="M87" s="157">
        <f>_xll.Get_Balance(M$83,"PTD","USD","Total","A","","001","456020","ED","AN","DL")</f>
        <v>-12320</v>
      </c>
      <c r="N87" s="157">
        <f>_xll.Get_Balance(N$83,"PTD","USD","Total","A","","001","456020","ED","AN","DL")</f>
        <v>-71692</v>
      </c>
      <c r="O87" s="157">
        <f>_xll.Get_Balance(O$83,"PTD","USD","Total","A","","001","456020","ED","AN","DL")</f>
        <v>0</v>
      </c>
      <c r="P87" s="157">
        <f>_xll.Get_Balance(P$83,"PTD","USD","Total","A","","001","456020","ED","AN","DL")</f>
        <v>0</v>
      </c>
      <c r="Q87" s="157"/>
      <c r="R87" s="393">
        <f t="shared" si="27"/>
        <v>-267161</v>
      </c>
    </row>
    <row r="88" spans="1:18">
      <c r="A88" s="255">
        <f>+A87+1</f>
        <v>47</v>
      </c>
      <c r="B88" s="244" t="s">
        <v>359</v>
      </c>
      <c r="C88" s="244"/>
      <c r="D88" s="220">
        <f t="shared" si="26"/>
        <v>-1947903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-210888</v>
      </c>
      <c r="L88" s="157">
        <f>_xll.Get_Balance(L$83,"PTD","USD","Total","A","","001","456130","ED","AN","DL")</f>
        <v>-216324</v>
      </c>
      <c r="M88" s="157">
        <f>_xll.Get_Balance(M$83,"PTD","USD","Total","A","","001","456130","ED","AN","DL")</f>
        <v>-162989</v>
      </c>
      <c r="N88" s="157">
        <f>_xll.Get_Balance(N$83,"PTD","USD","Total","A","","001","456130","ED","AN","DL")</f>
        <v>-177643</v>
      </c>
      <c r="O88" s="157">
        <f>_xll.Get_Balance(O$83,"PTD","USD","Total","A","","001","456130","ED","AN","DL")</f>
        <v>0</v>
      </c>
      <c r="P88" s="157">
        <f>_xll.Get_Balance(P$83,"PTD","USD","Total","A","","001","456130","ED","AN","DL")</f>
        <v>0</v>
      </c>
      <c r="Q88" s="392"/>
      <c r="R88" s="393">
        <f t="shared" si="27"/>
        <v>-1947903</v>
      </c>
    </row>
    <row r="89" spans="1:18">
      <c r="A89" s="255">
        <f>+A88+1</f>
        <v>48</v>
      </c>
      <c r="B89" s="52" t="s">
        <v>289</v>
      </c>
      <c r="C89" s="52"/>
      <c r="D89" s="196">
        <f>SUM(E89:P89)</f>
        <v>-50200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-5020</v>
      </c>
      <c r="L89" s="197">
        <f>_xll.Get_Balance(L$83,"PTD","USD","Total","A","","001","456017","ED","AN","DL")</f>
        <v>-5020</v>
      </c>
      <c r="M89" s="197">
        <f>_xll.Get_Balance(M$83,"PTD","USD","Total","A","","001","456017","ED","AN","DL")</f>
        <v>-5020</v>
      </c>
      <c r="N89" s="197">
        <f>_xll.Get_Balance(N$83,"PTD","USD","Total","A","","001","456017","ED","AN","DL")</f>
        <v>-5020</v>
      </c>
      <c r="O89" s="197">
        <f>_xll.Get_Balance(O$83,"PTD","USD","Total","A","","001","456017","ED","AN","DL")</f>
        <v>0</v>
      </c>
      <c r="P89" s="197">
        <f>_xll.Get_Balance(P$83,"PTD","USD","Total","A","","001","456017","ED","AN","DL")</f>
        <v>0</v>
      </c>
      <c r="Q89" s="392"/>
      <c r="R89" s="393">
        <f t="shared" si="27"/>
        <v>-50200</v>
      </c>
    </row>
    <row r="90" spans="1:18">
      <c r="A90" s="255">
        <f>+A89+1</f>
        <v>49</v>
      </c>
      <c r="B90" s="265" t="s">
        <v>376</v>
      </c>
      <c r="C90" s="244"/>
      <c r="D90" s="220">
        <f t="shared" si="26"/>
        <v>-87810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-8781</v>
      </c>
      <c r="L90" s="157">
        <f>_xll.Get_Balance(L$83,"PTD","USD","Total","A","","001","456700","ED","WA","DL")</f>
        <v>-8781</v>
      </c>
      <c r="M90" s="157">
        <f>_xll.Get_Balance(M$83,"PTD","USD","Total","A","","001","456700","ED","WA","DL")</f>
        <v>-8781</v>
      </c>
      <c r="N90" s="157">
        <f>_xll.Get_Balance(N$83,"PTD","USD","Total","A","","001","456700","ED","WA","DL")</f>
        <v>-8781</v>
      </c>
      <c r="O90" s="157">
        <f>_xll.Get_Balance(O$83,"PTD","USD","Total","A","","001","456700","ED","WA","DL")</f>
        <v>0</v>
      </c>
      <c r="P90" s="157">
        <f>_xll.Get_Balance(P$83,"PTD","USD","Total","A","","001","456700","ED","WA","DL")</f>
        <v>0</v>
      </c>
      <c r="Q90" s="404"/>
      <c r="R90" s="393">
        <f t="shared" si="27"/>
        <v>-87810</v>
      </c>
    </row>
    <row r="91" spans="1:18">
      <c r="A91" s="255">
        <f>+A90+1</f>
        <v>50</v>
      </c>
      <c r="B91" s="246" t="s">
        <v>290</v>
      </c>
      <c r="C91" s="246" t="s">
        <v>246</v>
      </c>
      <c r="D91" s="220">
        <f t="shared" si="26"/>
        <v>-1468020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-139973</v>
      </c>
      <c r="L91" s="180">
        <f>_xll.Get_Balance(L$83,"PTD","USD","Total","A","","001","456705","ED","AN","DL")</f>
        <v>-139973</v>
      </c>
      <c r="M91" s="180">
        <f>_xll.Get_Balance(M$83,"PTD","USD","Total","A","","001","456705","ED","AN","DL")</f>
        <v>-139973</v>
      </c>
      <c r="N91" s="180">
        <f>_xll.Get_Balance(N$83,"PTD","USD","Total","A","","001","456705","ED","AN","DL")</f>
        <v>-139973</v>
      </c>
      <c r="O91" s="180">
        <f>_xll.Get_Balance(O$83,"PTD","USD","Total","A","","001","456705","ED","AN","DL")</f>
        <v>0</v>
      </c>
      <c r="P91" s="180">
        <f>_xll.Get_Balance(P$83,"PTD","USD","Total","A","","001","456705","ED","AN","DL")</f>
        <v>0</v>
      </c>
      <c r="Q91" s="392"/>
      <c r="R91" s="394">
        <f t="shared" si="27"/>
        <v>-1468020</v>
      </c>
    </row>
    <row r="92" spans="1:18" s="184" customFormat="1" ht="20.25" customHeight="1">
      <c r="A92" s="369">
        <f>A91+1</f>
        <v>51</v>
      </c>
      <c r="B92" s="247" t="s">
        <v>230</v>
      </c>
      <c r="C92" s="247"/>
      <c r="D92" s="194">
        <f t="shared" si="26"/>
        <v>-14346279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-1890542</v>
      </c>
      <c r="L92" s="194">
        <f t="shared" si="28"/>
        <v>-1741991</v>
      </c>
      <c r="M92" s="194">
        <f t="shared" si="28"/>
        <v>-1215513</v>
      </c>
      <c r="N92" s="194">
        <f t="shared" si="28"/>
        <v>-1310638</v>
      </c>
      <c r="O92" s="194">
        <f t="shared" si="28"/>
        <v>0</v>
      </c>
      <c r="P92" s="194">
        <f t="shared" si="28"/>
        <v>0</v>
      </c>
      <c r="Q92" s="395"/>
      <c r="R92" s="396">
        <f t="shared" si="27"/>
        <v>-14346279</v>
      </c>
    </row>
    <row r="93" spans="1:18">
      <c r="A93" s="255"/>
      <c r="D93" s="73"/>
      <c r="E93" s="220"/>
      <c r="F93" s="372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92"/>
      <c r="R93" s="393"/>
    </row>
    <row r="94" spans="1:18">
      <c r="A94" s="255"/>
      <c r="B94" s="239" t="s">
        <v>232</v>
      </c>
      <c r="C94" s="239"/>
      <c r="D94" s="73"/>
      <c r="E94" s="220"/>
      <c r="F94" s="372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92"/>
      <c r="R94" s="393"/>
    </row>
    <row r="95" spans="1:18">
      <c r="A95" s="255">
        <f>A92+1</f>
        <v>52</v>
      </c>
      <c r="B95" s="52" t="s">
        <v>157</v>
      </c>
      <c r="C95" s="52"/>
      <c r="D95" s="220">
        <f>SUM(E95:P95)</f>
        <v>14611265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1426836</v>
      </c>
      <c r="L95" s="192">
        <f>_xll.Get_Balance(L$83,"PTD","USD","Total","A","","001","565000","ED","AN","DL")</f>
        <v>1466731</v>
      </c>
      <c r="M95" s="192">
        <f>_xll.Get_Balance(M$83,"PTD","USD","Total","A","","001","565000","ED","AN","DL")</f>
        <v>1502930</v>
      </c>
      <c r="N95" s="192">
        <f>_xll.Get_Balance(N$83,"PTD","USD","Total","A","","001","565000","ED","AN","DL")</f>
        <v>1415387</v>
      </c>
      <c r="O95" s="192">
        <f>_xll.Get_Balance(O$83,"PTD","USD","Total","A","","001","565000","ED","AN","DL")</f>
        <v>0</v>
      </c>
      <c r="P95" s="192">
        <f>_xll.Get_Balance(P$83,"PTD","USD","Total","A","","001","565000","ED","AN","DL")</f>
        <v>0</v>
      </c>
      <c r="Q95" s="392"/>
      <c r="R95" s="393">
        <f>SUM(E95:P95)</f>
        <v>14611265</v>
      </c>
    </row>
    <row r="96" spans="1:18">
      <c r="A96" s="255">
        <f>A95+1</f>
        <v>53</v>
      </c>
      <c r="B96" s="52" t="s">
        <v>190</v>
      </c>
      <c r="C96" s="52" t="s">
        <v>191</v>
      </c>
      <c r="D96" s="220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92"/>
      <c r="R96" s="393">
        <f>SUM(E96:P96)</f>
        <v>0</v>
      </c>
    </row>
    <row r="97" spans="1:18">
      <c r="A97" s="256">
        <f>A96+1</f>
        <v>54</v>
      </c>
      <c r="B97" s="248" t="s">
        <v>158</v>
      </c>
      <c r="C97" s="248"/>
      <c r="D97" s="220">
        <f>SUM(E97:P97)</f>
        <v>45360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4536</v>
      </c>
      <c r="L97" s="180">
        <f>_xll.Get_Balance(L$83,"PTD","USD","Total","A","","001","565710","ED","AN","DL")</f>
        <v>4536</v>
      </c>
      <c r="M97" s="180">
        <f>_xll.Get_Balance(M$83,"PTD","USD","Total","A","","001","565710","ED","AN","DL")</f>
        <v>4536</v>
      </c>
      <c r="N97" s="180">
        <f>_xll.Get_Balance(N$83,"PTD","USD","Total","A","","001","565710","ED","AN","DL")</f>
        <v>4536</v>
      </c>
      <c r="O97" s="180">
        <f>_xll.Get_Balance(O$83,"PTD","USD","Total","A","","001","565710","ED","AN","DL")</f>
        <v>0</v>
      </c>
      <c r="P97" s="180">
        <f>_xll.Get_Balance(P$83,"PTD","USD","Total","A","","001","565710","ED","AN","DL")</f>
        <v>0</v>
      </c>
      <c r="Q97" s="392"/>
      <c r="R97" s="394">
        <f>SUM(E97:P97)</f>
        <v>45360</v>
      </c>
    </row>
    <row r="98" spans="1:18" s="184" customFormat="1" ht="20.25" customHeight="1">
      <c r="A98" s="369">
        <f>A97+1</f>
        <v>55</v>
      </c>
      <c r="B98" s="247" t="s">
        <v>229</v>
      </c>
      <c r="C98" s="247"/>
      <c r="D98" s="194">
        <f>SUM(E98:P98)</f>
        <v>14656625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1431372</v>
      </c>
      <c r="L98" s="171">
        <f t="shared" si="29"/>
        <v>1471267</v>
      </c>
      <c r="M98" s="171">
        <f t="shared" si="29"/>
        <v>1507466</v>
      </c>
      <c r="N98" s="171">
        <f t="shared" si="29"/>
        <v>1419923</v>
      </c>
      <c r="O98" s="171">
        <f t="shared" si="29"/>
        <v>0</v>
      </c>
      <c r="P98" s="171">
        <f t="shared" si="29"/>
        <v>0</v>
      </c>
      <c r="Q98" s="395"/>
      <c r="R98" s="396">
        <f>SUM(E98:P98)</f>
        <v>14656625</v>
      </c>
    </row>
    <row r="99" spans="1:18">
      <c r="A99" s="25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92"/>
      <c r="R99" s="393"/>
    </row>
    <row r="100" spans="1:18">
      <c r="A100" s="255"/>
      <c r="B100" s="239" t="s">
        <v>351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92"/>
      <c r="R100" s="393"/>
    </row>
    <row r="101" spans="1:18">
      <c r="A101" s="255">
        <f>A98+1</f>
        <v>56</v>
      </c>
      <c r="B101" s="52" t="s">
        <v>354</v>
      </c>
      <c r="D101" s="372">
        <f>SUM(E101:P101)</f>
        <v>405262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33991</v>
      </c>
      <c r="L101" s="176">
        <f>_xll.Get_Balance(L$83,"PTD","USD","Total","A","","001","557170","ED","AN","DL")</f>
        <v>45069</v>
      </c>
      <c r="M101" s="176">
        <f>_xll.Get_Balance(M$83,"PTD","USD","Total","A","","001","557170","ED","AN","DL")</f>
        <v>39699</v>
      </c>
      <c r="N101" s="176">
        <f>_xll.Get_Balance(N$83,"PTD","USD","Total","A","","001","557170","ED","AN","DL")</f>
        <v>33612</v>
      </c>
      <c r="O101" s="176">
        <f>_xll.Get_Balance(O$83,"PTD","USD","Total","A","","001","557170","ED","AN","DL")</f>
        <v>0</v>
      </c>
      <c r="P101" s="176">
        <f>_xll.Get_Balance(P$83,"PTD","USD","Total","A","","001","557170","ED","AN","DL")</f>
        <v>0</v>
      </c>
      <c r="Q101" s="392"/>
      <c r="R101" s="393"/>
    </row>
    <row r="102" spans="1:18">
      <c r="A102" s="255">
        <f>A101+1</f>
        <v>57</v>
      </c>
      <c r="B102" s="254" t="s">
        <v>353</v>
      </c>
      <c r="D102" s="372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92"/>
      <c r="R102" s="393"/>
    </row>
    <row r="103" spans="1:18">
      <c r="A103" s="255">
        <f>A102+1</f>
        <v>58</v>
      </c>
      <c r="B103" s="254" t="s">
        <v>381</v>
      </c>
      <c r="C103" s="71" t="s">
        <v>382</v>
      </c>
      <c r="D103" s="372">
        <f>SUM(E103:P103)</f>
        <v>87095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4109</v>
      </c>
      <c r="L103" s="176">
        <f>_xll.Get_Balance(L$83,"PTD","USD","Total","A","","001","557165","ED","AN","DL")</f>
        <v>5832</v>
      </c>
      <c r="M103" s="176">
        <f>_xll.Get_Balance(M$83,"PTD","USD","Total","A","","001","557165","ED","AN","DL")</f>
        <v>23300</v>
      </c>
      <c r="N103" s="176">
        <f>_xll.Get_Balance(N$83,"PTD","USD","Total","A","","001","557165","ED","AN","DL")</f>
        <v>2610</v>
      </c>
      <c r="O103" s="176">
        <f>_xll.Get_Balance(O$83,"PTD","USD","Total","A","","001","557165","ED","AN","DL")</f>
        <v>0</v>
      </c>
      <c r="P103" s="176">
        <f>_xll.Get_Balance(P$83,"PTD","USD","Total","A","","001","557165","ED","AN","DL")</f>
        <v>0</v>
      </c>
      <c r="Q103" s="392"/>
      <c r="R103" s="393"/>
    </row>
    <row r="104" spans="1:18">
      <c r="A104" s="255">
        <f>A103+1</f>
        <v>59</v>
      </c>
      <c r="B104" s="254" t="s">
        <v>385</v>
      </c>
      <c r="C104" s="71" t="s">
        <v>386</v>
      </c>
      <c r="D104" s="372">
        <f>SUM(E104:P104)</f>
        <v>38770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4417</v>
      </c>
      <c r="L104" s="176">
        <f>_xll.Get_Balance(L$83,"PTD","USD","Total","A","","001","557018","ED","AN","DL")</f>
        <v>3737</v>
      </c>
      <c r="M104" s="176">
        <f>_xll.Get_Balance(M$83,"PTD","USD","Total","A","","001","557018","ED","AN","DL")</f>
        <v>4391</v>
      </c>
      <c r="N104" s="176">
        <f>_xll.Get_Balance(N$83,"PTD","USD","Total","A","","001","557018","ED","AN","DL")</f>
        <v>4129</v>
      </c>
      <c r="O104" s="176">
        <f>_xll.Get_Balance(O$83,"PTD","USD","Total","A","","001","557018","ED","AN","DL")</f>
        <v>0</v>
      </c>
      <c r="P104" s="176">
        <f>_xll.Get_Balance(P$83,"PTD","USD","Total","A","","001","557018","ED","AN","DL")</f>
        <v>0</v>
      </c>
      <c r="Q104" s="392"/>
      <c r="R104" s="393"/>
    </row>
    <row r="105" spans="1:18" s="184" customFormat="1" ht="20.25" customHeight="1">
      <c r="A105" s="255">
        <f>A104+1</f>
        <v>60</v>
      </c>
      <c r="B105" s="247" t="s">
        <v>352</v>
      </c>
      <c r="C105" s="247"/>
      <c r="D105" s="194">
        <f>D101+D102+D103+D104</f>
        <v>531127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42517</v>
      </c>
      <c r="L105" s="194">
        <f t="shared" si="30"/>
        <v>54638</v>
      </c>
      <c r="M105" s="194">
        <f t="shared" si="30"/>
        <v>67390</v>
      </c>
      <c r="N105" s="194">
        <f t="shared" si="30"/>
        <v>40351</v>
      </c>
      <c r="O105" s="194">
        <f t="shared" si="30"/>
        <v>0</v>
      </c>
      <c r="P105" s="194">
        <f t="shared" si="30"/>
        <v>0</v>
      </c>
      <c r="Q105" s="395"/>
      <c r="R105" s="396"/>
    </row>
    <row r="106" spans="1:18" ht="9" customHeight="1">
      <c r="A106" s="25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92"/>
      <c r="R106" s="393"/>
    </row>
    <row r="107" spans="1:18">
      <c r="A107" s="255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92"/>
      <c r="R107" s="393"/>
    </row>
    <row r="108" spans="1:18">
      <c r="A108" s="255">
        <f>A105+1</f>
        <v>61</v>
      </c>
      <c r="B108" s="71" t="s">
        <v>208</v>
      </c>
      <c r="D108" s="372">
        <f>SUM(E108:P108)</f>
        <v>17744486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1833937</v>
      </c>
      <c r="L108" s="174">
        <f>_xll.Get_Balance(L$83,"PTD","USD","Total","A","","001","557010","ED","AN","DL")</f>
        <v>973692</v>
      </c>
      <c r="M108" s="174">
        <f>_xll.Get_Balance(M$83,"PTD","USD","Total","A","","001","557010","ED","AN","DL")</f>
        <v>1907615</v>
      </c>
      <c r="N108" s="174">
        <f>_xll.Get_Balance(N$83,"PTD","USD","Total","A","","001","557010","ED","AN","DL")</f>
        <v>1755516</v>
      </c>
      <c r="O108" s="174">
        <f>_xll.Get_Balance(O$83,"PTD","USD","Total","A","","001","557010","ED","AN","DL")</f>
        <v>0</v>
      </c>
      <c r="P108" s="174">
        <f>_xll.Get_Balance(P$83,"PTD","USD","Total","A","","001","557010","ED","AN","DL")</f>
        <v>0</v>
      </c>
      <c r="Q108" s="392"/>
      <c r="R108" s="393">
        <f t="shared" ref="R108:R118" si="31">SUM(E108:P108)</f>
        <v>17744486</v>
      </c>
    </row>
    <row r="109" spans="1:18">
      <c r="A109" s="255">
        <f>A108+1</f>
        <v>62</v>
      </c>
      <c r="B109" s="71" t="s">
        <v>179</v>
      </c>
      <c r="D109" s="372">
        <f t="shared" ref="D109:D118" si="32">SUM(E109:P109)</f>
        <v>-2037436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-2218714</v>
      </c>
      <c r="L109" s="174">
        <f>_xll.Get_Balance(L$83,"PTD","USD","Total","A","","001","557150","ED","AN","DL")</f>
        <v>-914639</v>
      </c>
      <c r="M109" s="174">
        <f>_xll.Get_Balance(M$83,"PTD","USD","Total","A","","001","557150","ED","AN","DL")</f>
        <v>86436</v>
      </c>
      <c r="N109" s="174">
        <f>_xll.Get_Balance(N$83,"PTD","USD","Total","A","","001","557150","ED","AN","DL")</f>
        <v>509676</v>
      </c>
      <c r="O109" s="174">
        <f>_xll.Get_Balance(O$83,"PTD","USD","Total","A","","001","557150","ED","AN","DL")</f>
        <v>0</v>
      </c>
      <c r="P109" s="174">
        <f>_xll.Get_Balance(P$83,"PTD","USD","Total","A","","001","557150","ED","AN","DL")</f>
        <v>0</v>
      </c>
      <c r="Q109" s="392"/>
      <c r="R109" s="393">
        <f t="shared" si="31"/>
        <v>-2037436</v>
      </c>
    </row>
    <row r="110" spans="1:18">
      <c r="A110" s="255">
        <f t="shared" ref="A110:A118" si="33">A109+1</f>
        <v>63</v>
      </c>
      <c r="B110" s="71" t="s">
        <v>180</v>
      </c>
      <c r="D110" s="372">
        <f t="shared" si="32"/>
        <v>5935933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357663</v>
      </c>
      <c r="L110" s="174">
        <f>_xll.Get_Balance(L$83,"PTD","USD","Total","A","","001","557700","ED","AN","DL")</f>
        <v>1564964</v>
      </c>
      <c r="M110" s="174">
        <f>_xll.Get_Balance(M$83,"PTD","USD","Total","A","","001","557700","ED","AN","DL")</f>
        <v>817656</v>
      </c>
      <c r="N110" s="174">
        <f>_xll.Get_Balance(N$83,"PTD","USD","Total","A","","001","557700","ED","AN","DL")</f>
        <v>1806503</v>
      </c>
      <c r="O110" s="174">
        <f>_xll.Get_Balance(O$83,"PTD","USD","Total","A","","001","557700","ED","AN","DL")</f>
        <v>0</v>
      </c>
      <c r="P110" s="174">
        <f>_xll.Get_Balance(P$83,"PTD","USD","Total","A","","001","557700","ED","AN","DL")</f>
        <v>0</v>
      </c>
      <c r="Q110" s="392"/>
      <c r="R110" s="393">
        <f t="shared" si="31"/>
        <v>5935933</v>
      </c>
    </row>
    <row r="111" spans="1:18">
      <c r="A111" s="255">
        <f t="shared" si="33"/>
        <v>64</v>
      </c>
      <c r="B111" s="52" t="s">
        <v>217</v>
      </c>
      <c r="C111" s="52"/>
      <c r="D111" s="372">
        <f t="shared" si="32"/>
        <v>-5935933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-357663</v>
      </c>
      <c r="L111" s="174">
        <f>_xll.Get_Balance(L$83,"PTD","USD","Total","A","","001","557711","ED","AN","DL")</f>
        <v>-1564964</v>
      </c>
      <c r="M111" s="174">
        <f>_xll.Get_Balance(M$83,"PTD","USD","Total","A","","001","557711","ED","AN","DL")</f>
        <v>-817656</v>
      </c>
      <c r="N111" s="174">
        <f>_xll.Get_Balance(N$83,"PTD","USD","Total","A","","001","557711","ED","AN","DL")</f>
        <v>-1806503</v>
      </c>
      <c r="O111" s="174">
        <f>_xll.Get_Balance(O$83,"PTD","USD","Total","A","","001","557711","ED","AN","DL")</f>
        <v>0</v>
      </c>
      <c r="P111" s="174">
        <f>_xll.Get_Balance(P$83,"PTD","USD","Total","A","","001","557711","ED","AN","DL")</f>
        <v>0</v>
      </c>
      <c r="Q111" s="392"/>
      <c r="R111" s="393">
        <f>SUM(E111:P111)</f>
        <v>-5935933</v>
      </c>
    </row>
    <row r="112" spans="1:18">
      <c r="A112" s="255">
        <f t="shared" si="33"/>
        <v>65</v>
      </c>
      <c r="B112" s="71" t="s">
        <v>212</v>
      </c>
      <c r="D112" s="372">
        <f t="shared" si="32"/>
        <v>35466057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4667489</v>
      </c>
      <c r="L112" s="174">
        <f>_xll.Get_Balance(L$83,"PTD","USD","Total","A","","001","557730","ED","AN","DL")</f>
        <v>5198705</v>
      </c>
      <c r="M112" s="174">
        <f>_xll.Get_Balance(M$83,"PTD","USD","Total","A","","001","557730","ED","AN","DL")</f>
        <v>2580244</v>
      </c>
      <c r="N112" s="174">
        <f>_xll.Get_Balance(N$83,"PTD","USD","Total","A","","001","557730","ED","AN","DL")</f>
        <v>5426961</v>
      </c>
      <c r="O112" s="174">
        <f>_xll.Get_Balance(O$83,"PTD","USD","Total","A","","001","557730","ED","AN","DL")</f>
        <v>0</v>
      </c>
      <c r="P112" s="174">
        <f>_xll.Get_Balance(P$83,"PTD","USD","Total","A","","001","557730","ED","AN","DL")</f>
        <v>0</v>
      </c>
      <c r="Q112" s="392"/>
      <c r="R112" s="393">
        <f t="shared" si="31"/>
        <v>35466057</v>
      </c>
    </row>
    <row r="113" spans="1:19">
      <c r="A113" s="255">
        <f t="shared" si="33"/>
        <v>66</v>
      </c>
      <c r="B113" s="52" t="s">
        <v>215</v>
      </c>
      <c r="C113" s="52"/>
      <c r="D113" s="372">
        <f t="shared" si="32"/>
        <v>-10470187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-1059625</v>
      </c>
      <c r="L113" s="174">
        <f>_xll.Get_Balance(L$83,"PTD","USD","Total","A","","001","456010","ED","AN","DL")</f>
        <v>-315640</v>
      </c>
      <c r="M113" s="174">
        <f>_xll.Get_Balance(M$83,"PTD","USD","Total","A","","001","456010","ED","AN","DL")</f>
        <v>-834788</v>
      </c>
      <c r="N113" s="174">
        <f>_xll.Get_Balance(N$83,"PTD","USD","Total","A","","001","456010","ED","AN","DL")</f>
        <v>-1154925</v>
      </c>
      <c r="O113" s="174">
        <f>_xll.Get_Balance(O$83,"PTD","USD","Total","A","","001","456010","ED","AN","DL")</f>
        <v>0</v>
      </c>
      <c r="P113" s="174">
        <f>_xll.Get_Balance(P$83,"PTD","USD","Total","A","","001","456010","ED","AN","DL")</f>
        <v>0</v>
      </c>
      <c r="Q113" s="392"/>
      <c r="R113" s="393">
        <f t="shared" si="31"/>
        <v>-10470187</v>
      </c>
    </row>
    <row r="114" spans="1:19">
      <c r="A114" s="255">
        <f t="shared" si="33"/>
        <v>67</v>
      </c>
      <c r="B114" s="71" t="s">
        <v>181</v>
      </c>
      <c r="D114" s="372">
        <f t="shared" si="32"/>
        <v>-29867480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-1141788</v>
      </c>
      <c r="L114" s="174">
        <f>_xll.Get_Balance(L$83,"PTD","USD","Total","A","","001","456015","ED","AN","DL")</f>
        <v>-1251787</v>
      </c>
      <c r="M114" s="174">
        <f>_xll.Get_Balance(M$83,"PTD","USD","Total","A","","001","456015","ED","AN","DL")</f>
        <v>-1233448</v>
      </c>
      <c r="N114" s="174">
        <f>_xll.Get_Balance(N$83,"PTD","USD","Total","A","","001","456015","ED","AN","DL")</f>
        <v>-6461511</v>
      </c>
      <c r="O114" s="174">
        <f>_xll.Get_Balance(O$83,"PTD","USD","Total","A","","001","456015","ED","AN","DL")</f>
        <v>0</v>
      </c>
      <c r="P114" s="174">
        <f>_xll.Get_Balance(P$83,"PTD","USD","Total","A","","001","456015","ED","AN","DL")</f>
        <v>0</v>
      </c>
      <c r="Q114" s="392"/>
      <c r="R114" s="393">
        <f t="shared" si="31"/>
        <v>-29867480</v>
      </c>
    </row>
    <row r="115" spans="1:19">
      <c r="A115" s="255">
        <f t="shared" si="33"/>
        <v>68</v>
      </c>
      <c r="B115" s="71" t="s">
        <v>395</v>
      </c>
      <c r="D115" s="372">
        <f t="shared" si="32"/>
        <v>-639807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-67171</v>
      </c>
      <c r="L115" s="174">
        <f>_xll.Get_Balance(L$83,"PTD","USD","Total","A","","001","456018","ED","AN","DL")</f>
        <v>-62167</v>
      </c>
      <c r="M115" s="174">
        <f>_xll.Get_Balance(M$83,"PTD","USD","Total","A","","001","456018","ED","AN","DL")</f>
        <v>-78295</v>
      </c>
      <c r="N115" s="174">
        <f>_xll.Get_Balance(N$83,"PTD","USD","Total","A","","001","456018","ED","AN","DL")</f>
        <v>-74042</v>
      </c>
      <c r="O115" s="174">
        <f>_xll.Get_Balance(O$83,"PTD","USD","Total","A","","001","456018","ED","AN","DL")</f>
        <v>0</v>
      </c>
      <c r="P115" s="174">
        <f>_xll.Get_Balance(P$83,"PTD","USD","Total","A","","001","456018","ED","AN","DL")</f>
        <v>0</v>
      </c>
      <c r="Q115" s="392"/>
      <c r="R115" s="393"/>
    </row>
    <row r="116" spans="1:19">
      <c r="A116" s="255">
        <f t="shared" si="33"/>
        <v>69</v>
      </c>
      <c r="B116" s="71" t="s">
        <v>213</v>
      </c>
      <c r="D116" s="372">
        <f t="shared" si="32"/>
        <v>-22064038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-3408554</v>
      </c>
      <c r="L116" s="174">
        <f>_xll.Get_Balance(L$83,"PTD","USD","Total","A","","001","456730","ED","AN","DL")</f>
        <v>-4540587</v>
      </c>
      <c r="M116" s="174">
        <f>_xll.Get_Balance(M$83,"PTD","USD","Total","A","","001","456730","ED","AN","DL")</f>
        <v>-3692298</v>
      </c>
      <c r="N116" s="174">
        <f>_xll.Get_Balance(N$83,"PTD","USD","Total","A","","001","456730","ED","AN","DL")</f>
        <v>-1562158</v>
      </c>
      <c r="O116" s="174">
        <f>_xll.Get_Balance(O$83,"PTD","USD","Total","A","","001","456730","ED","AN","DL")</f>
        <v>0</v>
      </c>
      <c r="P116" s="174">
        <f>_xll.Get_Balance(P$83,"PTD","USD","Total","A","","001","456730","ED","AN","DL")</f>
        <v>0</v>
      </c>
      <c r="Q116" s="392"/>
      <c r="R116" s="393">
        <f t="shared" si="31"/>
        <v>-22064038</v>
      </c>
    </row>
    <row r="117" spans="1:19">
      <c r="A117" s="255">
        <f t="shared" si="33"/>
        <v>70</v>
      </c>
      <c r="B117" s="52" t="s">
        <v>216</v>
      </c>
      <c r="C117" s="52"/>
      <c r="D117" s="372">
        <f t="shared" si="32"/>
        <v>4812250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356500</v>
      </c>
      <c r="L117" s="160">
        <f>_xll.Get_Balance(L$83,"PTD","USD","Total","A","","001","456711","ED","AN","DL")</f>
        <v>1156300</v>
      </c>
      <c r="M117" s="160">
        <f>_xll.Get_Balance(M$83,"PTD","USD","Total","A","","001","456711","ED","AN","DL")</f>
        <v>709500</v>
      </c>
      <c r="N117" s="160">
        <f>_xll.Get_Balance(N$83,"PTD","USD","Total","A","","001","456711","ED","AN","DL")</f>
        <v>1432550</v>
      </c>
      <c r="O117" s="160">
        <f>_xll.Get_Balance(O$83,"PTD","USD","Total","A","","001","456711","ED","AN","DL")</f>
        <v>0</v>
      </c>
      <c r="P117" s="160">
        <f>_xll.Get_Balance(P$83,"PTD","USD","Total","A","","001","456711","ED","AN","DL")</f>
        <v>0</v>
      </c>
      <c r="Q117" s="392"/>
      <c r="R117" s="397">
        <f>SUM(E117:P117)</f>
        <v>4812250</v>
      </c>
    </row>
    <row r="118" spans="1:19">
      <c r="A118" s="255">
        <f t="shared" si="33"/>
        <v>71</v>
      </c>
      <c r="B118" s="242" t="s">
        <v>182</v>
      </c>
      <c r="C118" s="242"/>
      <c r="D118" s="372">
        <f t="shared" si="32"/>
        <v>-4812250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-356500</v>
      </c>
      <c r="L118" s="191">
        <f>_xll.Get_Balance(L$83,"PTD","USD","Total","A","","001","456720","ED","AN","DL")</f>
        <v>-1156300</v>
      </c>
      <c r="M118" s="191">
        <f>_xll.Get_Balance(M$83,"PTD","USD","Total","A","","001","456720","ED","AN","DL")</f>
        <v>-709500</v>
      </c>
      <c r="N118" s="191">
        <f>_xll.Get_Balance(N$83,"PTD","USD","Total","A","","001","456720","ED","AN","DL")</f>
        <v>-1432550</v>
      </c>
      <c r="O118" s="191">
        <f>_xll.Get_Balance(O$83,"PTD","USD","Total","A","","001","456720","ED","AN","DL")</f>
        <v>0</v>
      </c>
      <c r="P118" s="191">
        <f>_xll.Get_Balance(P$83,"PTD","USD","Total","A","","001","456720","ED","AN","DL")</f>
        <v>0</v>
      </c>
      <c r="Q118" s="392"/>
      <c r="R118" s="394">
        <f t="shared" si="31"/>
        <v>-4812250</v>
      </c>
    </row>
    <row r="119" spans="1:19" ht="22.5" customHeight="1">
      <c r="A119" s="405">
        <f>+A118+1</f>
        <v>72</v>
      </c>
      <c r="B119" s="247" t="s">
        <v>247</v>
      </c>
      <c r="C119" s="247"/>
      <c r="D119" s="194">
        <f>SUM(E119:P119)</f>
        <v>-11868405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-1394426</v>
      </c>
      <c r="L119" s="172">
        <f t="shared" si="34"/>
        <v>-912423</v>
      </c>
      <c r="M119" s="172">
        <f t="shared" si="34"/>
        <v>-1264534</v>
      </c>
      <c r="N119" s="172">
        <f t="shared" si="34"/>
        <v>-1560483</v>
      </c>
      <c r="O119" s="172">
        <f t="shared" si="34"/>
        <v>0</v>
      </c>
      <c r="P119" s="172">
        <f t="shared" si="34"/>
        <v>0</v>
      </c>
      <c r="Q119" s="392"/>
      <c r="R119" s="406">
        <f>SUM(R108:R118)</f>
        <v>-11228598</v>
      </c>
    </row>
    <row r="120" spans="1:19" ht="9" customHeight="1">
      <c r="A120" s="25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92"/>
      <c r="R120" s="393"/>
    </row>
    <row r="121" spans="1:19" ht="9" customHeight="1">
      <c r="A121" s="25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92"/>
      <c r="R121" s="393"/>
    </row>
    <row r="122" spans="1:19">
      <c r="A122" s="255">
        <f>A119+1</f>
        <v>73</v>
      </c>
      <c r="B122" s="249" t="s">
        <v>280</v>
      </c>
      <c r="C122" s="249"/>
      <c r="D122" s="284">
        <f>SUM(E122:P122)</f>
        <v>176</v>
      </c>
      <c r="E122" s="206">
        <f>_xll.Get_Balance(E$83,"PTD","USD","Total","A","","001","557160","ED","AN","DL")</f>
        <v>0</v>
      </c>
      <c r="F122" s="206">
        <f>_xll.Get_Balance(F$83,"PTD","USD","Total","A","","001","557160","ED","AN","DL")</f>
        <v>0</v>
      </c>
      <c r="G122" s="206">
        <f>_xll.Get_Balance(G$83,"PTD","USD","Total","A","","001","557160","ED","AN","DL")</f>
        <v>176</v>
      </c>
      <c r="H122" s="206">
        <f>_xll.Get_Balance(H$83,"PTD","USD","Total","A","","001","557160","ED","AN","DL")</f>
        <v>0</v>
      </c>
      <c r="I122" s="206">
        <f>_xll.Get_Balance(I$83,"PTD","USD","Total","A","","001","557160","ED","AN","DL")</f>
        <v>0</v>
      </c>
      <c r="J122" s="206">
        <f>_xll.Get_Balance(J$83,"PTD","USD","Total","A","","001","557160","ED","AN","DL")</f>
        <v>0</v>
      </c>
      <c r="K122" s="206">
        <f>_xll.Get_Balance(K$83,"PTD","USD","Total","A","","001","557160","ED","AN","DL")</f>
        <v>0</v>
      </c>
      <c r="L122" s="206">
        <f>_xll.Get_Balance(L$83,"PTD","USD","Total","A","","001","557160","ED","AN","DL")</f>
        <v>0</v>
      </c>
      <c r="M122" s="206">
        <f>_xll.Get_Balance(M$83,"PTD","USD","Total","A","","001","557160","ED","AN","DL")</f>
        <v>0</v>
      </c>
      <c r="N122" s="206">
        <f>_xll.Get_Balance(N$83,"PTD","USD","Total","A","","001","557160","ED","AN","DL")</f>
        <v>0</v>
      </c>
      <c r="O122" s="206">
        <f>_xll.Get_Balance(O$83,"PTD","USD","Total","A","","001","557160","ED","AN","DL")</f>
        <v>0</v>
      </c>
      <c r="P122" s="206">
        <f>_xll.Get_Balance(P$83,"PTD","USD","Total","A","","001","557160","ED","AN","DL")</f>
        <v>0</v>
      </c>
      <c r="Q122" s="392"/>
      <c r="R122" s="397">
        <f>SUM(E122:P122)</f>
        <v>176</v>
      </c>
    </row>
    <row r="123" spans="1:19" ht="18.75" customHeight="1">
      <c r="A123" s="405">
        <f>A122+1</f>
        <v>74</v>
      </c>
      <c r="B123" s="247" t="s">
        <v>287</v>
      </c>
      <c r="C123" s="247"/>
      <c r="D123" s="232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>
        <f t="shared" si="35"/>
        <v>0</v>
      </c>
      <c r="L123" s="171">
        <f t="shared" si="35"/>
        <v>0</v>
      </c>
      <c r="M123" s="171">
        <f t="shared" si="35"/>
        <v>0</v>
      </c>
      <c r="N123" s="171">
        <f t="shared" si="35"/>
        <v>0</v>
      </c>
      <c r="O123" s="171">
        <f t="shared" si="35"/>
        <v>0</v>
      </c>
      <c r="P123" s="171">
        <f t="shared" si="35"/>
        <v>0</v>
      </c>
      <c r="Q123" s="392"/>
      <c r="R123" s="393">
        <f>SUM(E123:P123)</f>
        <v>176</v>
      </c>
    </row>
    <row r="124" spans="1:19" ht="9" customHeight="1">
      <c r="A124" s="25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92"/>
      <c r="R124" s="393"/>
    </row>
    <row r="125" spans="1:19" ht="9" customHeight="1">
      <c r="A125" s="255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92"/>
      <c r="R125" s="393"/>
    </row>
    <row r="126" spans="1:19">
      <c r="A126" s="255">
        <f>A123+1</f>
        <v>75</v>
      </c>
      <c r="B126" s="244" t="s">
        <v>211</v>
      </c>
      <c r="C126" s="244"/>
      <c r="D126" s="206">
        <f>SUM(E126:P126)</f>
        <v>0</v>
      </c>
      <c r="E126" s="407">
        <v>0</v>
      </c>
      <c r="F126" s="407">
        <v>0</v>
      </c>
      <c r="G126" s="407">
        <v>0</v>
      </c>
      <c r="H126" s="407">
        <v>0</v>
      </c>
      <c r="I126" s="407">
        <v>0</v>
      </c>
      <c r="J126" s="407">
        <v>0</v>
      </c>
      <c r="K126" s="407">
        <v>0</v>
      </c>
      <c r="L126" s="407">
        <v>0</v>
      </c>
      <c r="M126" s="407">
        <v>0</v>
      </c>
      <c r="N126" s="407">
        <v>0</v>
      </c>
      <c r="O126" s="407">
        <v>0</v>
      </c>
      <c r="P126" s="407">
        <v>0</v>
      </c>
      <c r="Q126" s="392"/>
      <c r="R126" s="393">
        <f>SUM(E126:P126)</f>
        <v>0</v>
      </c>
      <c r="S126" s="199" t="s">
        <v>29</v>
      </c>
    </row>
    <row r="127" spans="1:19">
      <c r="A127" s="256">
        <f>A126+1</f>
        <v>76</v>
      </c>
      <c r="B127" s="250" t="s">
        <v>222</v>
      </c>
      <c r="C127" s="250"/>
      <c r="D127" s="232">
        <f>SUM(E127:P127)</f>
        <v>641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196</v>
      </c>
      <c r="L127" s="180">
        <f>_xll.Get_Balance(L$83,"PTD","USD","Total","A","","001","557395","ED","AN","DL")</f>
        <v>160</v>
      </c>
      <c r="M127" s="180">
        <f>_xll.Get_Balance(M$83,"PTD","USD","Total","A","","001","557395","ED","AN","DL")</f>
        <v>61</v>
      </c>
      <c r="N127" s="180">
        <f>_xll.Get_Balance(N$83,"PTD","USD","Total","A","","001","557395","ED","AN","DL")</f>
        <v>69</v>
      </c>
      <c r="O127" s="180">
        <f>_xll.Get_Balance(O$83,"PTD","USD","Total","A","","001","557395","ED","AN","DL")</f>
        <v>0</v>
      </c>
      <c r="P127" s="180">
        <f>_xll.Get_Balance(P$83,"PTD","USD","Total","A","","001","557395","ED","AN","DL")</f>
        <v>0</v>
      </c>
      <c r="Q127" s="392"/>
      <c r="R127" s="394">
        <f>SUM(E127:P127)</f>
        <v>641</v>
      </c>
    </row>
    <row r="128" spans="1:19" ht="17.25" customHeight="1">
      <c r="A128" s="255">
        <f>A127+1</f>
        <v>77</v>
      </c>
      <c r="B128" s="251" t="s">
        <v>223</v>
      </c>
      <c r="C128" s="251"/>
      <c r="D128" s="181">
        <f>SUM(E128:P128)</f>
        <v>641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196</v>
      </c>
      <c r="L128" s="181">
        <f t="shared" si="36"/>
        <v>160</v>
      </c>
      <c r="M128" s="181">
        <f t="shared" si="36"/>
        <v>61</v>
      </c>
      <c r="N128" s="181">
        <f t="shared" si="36"/>
        <v>69</v>
      </c>
      <c r="O128" s="181">
        <f t="shared" si="36"/>
        <v>0</v>
      </c>
      <c r="P128" s="181">
        <f t="shared" si="36"/>
        <v>0</v>
      </c>
      <c r="Q128" s="392"/>
      <c r="R128" s="393">
        <f>SUM(E128:P128)</f>
        <v>641</v>
      </c>
    </row>
    <row r="129" spans="1:19" ht="17.25" customHeight="1">
      <c r="A129" s="255"/>
      <c r="B129" s="251"/>
      <c r="C129" s="25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92"/>
      <c r="R129" s="393"/>
    </row>
    <row r="130" spans="1:19">
      <c r="A130" s="255">
        <f>A128+1</f>
        <v>78</v>
      </c>
      <c r="B130" s="244" t="s">
        <v>348</v>
      </c>
      <c r="C130" s="244"/>
      <c r="D130" s="206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92"/>
      <c r="R130" s="393">
        <f>SUM(E130:P130)</f>
        <v>0</v>
      </c>
      <c r="S130" s="199" t="s">
        <v>29</v>
      </c>
    </row>
    <row r="131" spans="1:19">
      <c r="A131" s="255">
        <f>A130+1</f>
        <v>79</v>
      </c>
      <c r="B131" s="244" t="s">
        <v>349</v>
      </c>
      <c r="C131" s="244"/>
      <c r="D131" s="206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92"/>
      <c r="R131" s="393"/>
      <c r="S131" s="199"/>
    </row>
    <row r="132" spans="1:19">
      <c r="A132" s="256">
        <f>A131+1</f>
        <v>80</v>
      </c>
      <c r="B132" s="246" t="s">
        <v>350</v>
      </c>
      <c r="C132" s="250"/>
      <c r="D132" s="232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92"/>
      <c r="R132" s="394">
        <f>SUM(E132:P132)</f>
        <v>0</v>
      </c>
    </row>
    <row r="133" spans="1:19" ht="17.25" customHeight="1">
      <c r="A133" s="255">
        <f>A132+1</f>
        <v>81</v>
      </c>
      <c r="B133" s="251" t="s">
        <v>347</v>
      </c>
      <c r="C133" s="251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5"/>
      <c r="B134" s="252"/>
      <c r="C134" s="252"/>
      <c r="D134" s="408"/>
      <c r="E134" s="20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92"/>
      <c r="R134" s="393"/>
    </row>
    <row r="135" spans="1:19" ht="23.25" customHeight="1">
      <c r="A135" s="369">
        <f>A133+1</f>
        <v>82</v>
      </c>
      <c r="B135" s="240" t="s">
        <v>192</v>
      </c>
      <c r="C135" s="240"/>
      <c r="D135" s="194">
        <f>SUM(E135:P135)</f>
        <v>-11867588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>
        <f t="shared" si="38"/>
        <v>-1394230</v>
      </c>
      <c r="L135" s="171">
        <f t="shared" si="38"/>
        <v>-912263</v>
      </c>
      <c r="M135" s="171">
        <f t="shared" si="38"/>
        <v>-1264473</v>
      </c>
      <c r="N135" s="171">
        <f t="shared" si="38"/>
        <v>-1560414</v>
      </c>
      <c r="O135" s="171">
        <f t="shared" si="38"/>
        <v>0</v>
      </c>
      <c r="P135" s="171">
        <f t="shared" si="38"/>
        <v>0</v>
      </c>
      <c r="Q135" s="392"/>
      <c r="R135" s="393">
        <f>SUM(F135:Q135)</f>
        <v>-11225676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92"/>
      <c r="R136" s="393"/>
    </row>
    <row r="137" spans="1:19" s="184" customFormat="1" ht="25.5" customHeight="1" thickBot="1">
      <c r="A137" s="409">
        <f>A135+1</f>
        <v>83</v>
      </c>
      <c r="B137" s="253" t="s">
        <v>11</v>
      </c>
      <c r="C137" s="253"/>
      <c r="D137" s="410">
        <f>SUM(E137:P137)</f>
        <v>95802038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>
        <f t="shared" si="39"/>
        <v>11690361</v>
      </c>
      <c r="L137" s="198">
        <f t="shared" si="39"/>
        <v>15710836</v>
      </c>
      <c r="M137" s="198">
        <f t="shared" si="39"/>
        <v>12369831</v>
      </c>
      <c r="N137" s="198">
        <f t="shared" si="39"/>
        <v>12555774</v>
      </c>
      <c r="O137" s="198">
        <f t="shared" si="39"/>
        <v>31525</v>
      </c>
      <c r="P137" s="198">
        <f t="shared" si="39"/>
        <v>32573</v>
      </c>
      <c r="Q137" s="395"/>
      <c r="R137" s="411"/>
    </row>
    <row r="138" spans="1:19" ht="13.5" thickTop="1"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80"/>
    </row>
    <row r="139" spans="1:19">
      <c r="Q139" s="380"/>
    </row>
    <row r="140" spans="1:19">
      <c r="E140" s="373"/>
      <c r="F140" s="373"/>
      <c r="G140" s="373"/>
      <c r="H140" s="373"/>
      <c r="I140" s="373"/>
      <c r="J140" s="113"/>
      <c r="K140" s="373"/>
      <c r="L140" s="373"/>
      <c r="M140" s="373"/>
      <c r="N140" s="373"/>
      <c r="O140" s="373"/>
      <c r="P140" s="373"/>
      <c r="Q140" s="380"/>
    </row>
    <row r="141" spans="1:19">
      <c r="E141" s="373"/>
      <c r="F141" s="373"/>
      <c r="G141" s="373"/>
      <c r="H141" s="373"/>
      <c r="I141" s="373"/>
      <c r="J141" s="113"/>
      <c r="K141" s="373"/>
      <c r="L141" s="373"/>
      <c r="M141" s="373"/>
      <c r="N141" s="373"/>
      <c r="O141" s="373"/>
      <c r="P141" s="373"/>
      <c r="Q141" s="380"/>
    </row>
    <row r="142" spans="1:19">
      <c r="E142" s="373"/>
      <c r="F142" s="373"/>
      <c r="G142" s="373"/>
      <c r="H142" s="373"/>
      <c r="I142" s="373"/>
      <c r="J142" s="113"/>
      <c r="K142" s="373"/>
      <c r="L142" s="373"/>
      <c r="M142" s="373"/>
      <c r="N142" s="373"/>
      <c r="O142" s="373"/>
      <c r="P142" s="373"/>
      <c r="Q142" s="380"/>
    </row>
    <row r="143" spans="1:19">
      <c r="E143" s="373"/>
      <c r="F143" s="373"/>
      <c r="G143" s="373"/>
      <c r="H143" s="373"/>
      <c r="I143" s="373"/>
      <c r="J143" s="113"/>
      <c r="K143" s="373"/>
      <c r="L143" s="373"/>
      <c r="M143" s="373"/>
      <c r="N143" s="373"/>
      <c r="O143" s="373"/>
      <c r="P143" s="373"/>
      <c r="Q143" s="380"/>
    </row>
    <row r="144" spans="1:19">
      <c r="E144" s="373"/>
      <c r="F144" s="373"/>
      <c r="G144" s="373"/>
      <c r="H144" s="373"/>
      <c r="I144" s="373"/>
      <c r="J144" s="113"/>
      <c r="K144" s="373"/>
      <c r="L144" s="373"/>
      <c r="M144" s="373"/>
      <c r="N144" s="373"/>
      <c r="O144" s="373"/>
      <c r="P144" s="373"/>
      <c r="Q144" s="380"/>
    </row>
    <row r="145" spans="5:17">
      <c r="E145" s="373"/>
      <c r="F145" s="373"/>
      <c r="G145" s="373"/>
      <c r="H145" s="373"/>
      <c r="I145" s="373"/>
      <c r="J145" s="113"/>
      <c r="K145" s="373"/>
      <c r="L145" s="373"/>
      <c r="M145" s="373"/>
      <c r="N145" s="373"/>
      <c r="O145" s="373"/>
      <c r="P145" s="373"/>
      <c r="Q145" s="380"/>
    </row>
    <row r="146" spans="5:17">
      <c r="E146" s="373"/>
      <c r="F146" s="373"/>
      <c r="G146" s="373"/>
      <c r="H146" s="373"/>
      <c r="I146" s="373"/>
      <c r="J146" s="113"/>
      <c r="K146" s="373"/>
      <c r="L146" s="373"/>
      <c r="M146" s="373"/>
      <c r="N146" s="373"/>
      <c r="O146" s="373"/>
      <c r="P146" s="373"/>
      <c r="Q146" s="380"/>
    </row>
    <row r="147" spans="5:17">
      <c r="E147" s="373"/>
      <c r="F147" s="373"/>
      <c r="G147" s="373"/>
      <c r="H147" s="373"/>
      <c r="I147" s="373"/>
      <c r="J147" s="113"/>
      <c r="K147" s="373"/>
      <c r="L147" s="373"/>
      <c r="M147" s="373"/>
      <c r="N147" s="373"/>
      <c r="O147" s="373"/>
      <c r="P147" s="373"/>
      <c r="Q147" s="380"/>
    </row>
    <row r="148" spans="5:17">
      <c r="E148" s="373"/>
      <c r="F148" s="373"/>
      <c r="G148" s="373"/>
      <c r="H148" s="373"/>
      <c r="I148" s="373"/>
      <c r="J148" s="113"/>
      <c r="K148" s="373"/>
      <c r="L148" s="373"/>
      <c r="M148" s="373"/>
      <c r="N148" s="373"/>
      <c r="O148" s="373"/>
      <c r="P148" s="373"/>
      <c r="Q148" s="380"/>
    </row>
    <row r="149" spans="5:17">
      <c r="E149" s="373"/>
      <c r="F149" s="373"/>
      <c r="G149" s="373"/>
      <c r="H149" s="373"/>
      <c r="I149" s="373"/>
      <c r="J149" s="113"/>
      <c r="K149" s="373"/>
      <c r="L149" s="373"/>
      <c r="M149" s="373"/>
      <c r="N149" s="373"/>
      <c r="O149" s="373"/>
      <c r="P149" s="373"/>
      <c r="Q149" s="380"/>
    </row>
    <row r="150" spans="5:17"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80"/>
    </row>
    <row r="151" spans="5:17"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80"/>
    </row>
    <row r="152" spans="5:17"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80"/>
    </row>
    <row r="153" spans="5:17"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80"/>
    </row>
    <row r="154" spans="5:17"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80"/>
    </row>
    <row r="155" spans="5:17"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80"/>
    </row>
    <row r="156" spans="5:17"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80"/>
    </row>
    <row r="157" spans="5:17"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80"/>
    </row>
    <row r="158" spans="5:17"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80"/>
    </row>
    <row r="159" spans="5:17"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80"/>
    </row>
    <row r="160" spans="5:17"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80"/>
    </row>
    <row r="161" spans="5:17"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80"/>
    </row>
    <row r="162" spans="5:17"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80"/>
    </row>
    <row r="163" spans="5:17"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80"/>
    </row>
    <row r="164" spans="5:17"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80"/>
    </row>
    <row r="165" spans="5:17"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80"/>
    </row>
    <row r="166" spans="5:17"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80"/>
    </row>
    <row r="167" spans="5:17"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80"/>
    </row>
    <row r="168" spans="5:17"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80"/>
    </row>
    <row r="169" spans="5:17"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80"/>
    </row>
    <row r="170" spans="5:17"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80"/>
    </row>
    <row r="171" spans="5:17"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80"/>
    </row>
    <row r="172" spans="5:17"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80"/>
    </row>
    <row r="173" spans="5:17"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80"/>
    </row>
    <row r="174" spans="5:17"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80"/>
    </row>
    <row r="175" spans="5:17"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80"/>
    </row>
    <row r="176" spans="5:17"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80"/>
    </row>
    <row r="177" spans="5:17"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80"/>
    </row>
    <row r="178" spans="5:17"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80"/>
    </row>
    <row r="179" spans="5:17"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80"/>
    </row>
    <row r="180" spans="5:17"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80"/>
    </row>
    <row r="181" spans="5:17"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80"/>
    </row>
    <row r="182" spans="5:17"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80"/>
    </row>
    <row r="183" spans="5:17"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80"/>
    </row>
    <row r="184" spans="5:17"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80"/>
    </row>
    <row r="185" spans="5:17"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80"/>
    </row>
    <row r="186" spans="5:17"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80"/>
    </row>
    <row r="187" spans="5:17"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80"/>
    </row>
    <row r="188" spans="5:17"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80"/>
    </row>
    <row r="189" spans="5:17"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80"/>
    </row>
    <row r="190" spans="5:17"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80"/>
    </row>
    <row r="191" spans="5:17"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80"/>
    </row>
    <row r="192" spans="5:17"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80"/>
    </row>
    <row r="193" spans="5:17"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80"/>
    </row>
    <row r="194" spans="5:17"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80"/>
    </row>
    <row r="195" spans="5:17"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80"/>
    </row>
    <row r="196" spans="5:17"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80"/>
    </row>
    <row r="197" spans="5:17"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80"/>
    </row>
    <row r="198" spans="5:17"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80"/>
    </row>
    <row r="199" spans="5:17"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80"/>
    </row>
    <row r="200" spans="5:17"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80"/>
    </row>
    <row r="201" spans="5:17"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80"/>
    </row>
    <row r="202" spans="5:17"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80"/>
    </row>
    <row r="203" spans="5:17"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80"/>
    </row>
    <row r="204" spans="5:17"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80"/>
    </row>
    <row r="205" spans="5:17"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80"/>
    </row>
    <row r="206" spans="5:17"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80"/>
    </row>
    <row r="207" spans="5:17"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80"/>
    </row>
    <row r="208" spans="5:17"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80"/>
    </row>
    <row r="209" spans="5:17"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80"/>
    </row>
    <row r="210" spans="5:17"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80"/>
    </row>
    <row r="211" spans="5:17"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80"/>
    </row>
    <row r="212" spans="5:17"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80"/>
    </row>
    <row r="213" spans="5:17"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80"/>
    </row>
    <row r="214" spans="5:17"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80"/>
    </row>
    <row r="215" spans="5:17"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80"/>
    </row>
    <row r="216" spans="5:17"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80"/>
    </row>
    <row r="217" spans="5:17"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80"/>
    </row>
    <row r="218" spans="5:17"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80"/>
    </row>
    <row r="219" spans="5:17"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80"/>
    </row>
    <row r="220" spans="5:17"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80"/>
    </row>
    <row r="221" spans="5:17"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80"/>
    </row>
    <row r="222" spans="5:17"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80"/>
    </row>
    <row r="223" spans="5:17"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80"/>
    </row>
    <row r="224" spans="5:17"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80"/>
    </row>
    <row r="225" spans="5:17"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80"/>
    </row>
    <row r="226" spans="5:17"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80"/>
    </row>
    <row r="227" spans="5:17"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80"/>
    </row>
    <row r="228" spans="5:17"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80"/>
    </row>
    <row r="229" spans="5:17"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80"/>
    </row>
    <row r="230" spans="5:17"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80"/>
    </row>
    <row r="231" spans="5:17"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80"/>
    </row>
    <row r="232" spans="5:17"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80"/>
    </row>
    <row r="233" spans="5:17"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80"/>
    </row>
    <row r="234" spans="5:17"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80"/>
    </row>
    <row r="235" spans="5:17"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80"/>
    </row>
    <row r="236" spans="5:17"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80"/>
    </row>
    <row r="237" spans="5:17"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80"/>
    </row>
    <row r="238" spans="5:17"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80"/>
    </row>
    <row r="239" spans="5:17"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80"/>
    </row>
    <row r="240" spans="5:17"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80"/>
    </row>
    <row r="241" spans="6:17"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80"/>
    </row>
    <row r="242" spans="6:17"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80"/>
    </row>
    <row r="243" spans="6:17"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80"/>
    </row>
    <row r="244" spans="6:17"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80"/>
    </row>
    <row r="245" spans="6:17"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80"/>
    </row>
    <row r="246" spans="6:17"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80"/>
    </row>
    <row r="247" spans="6:17"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80"/>
    </row>
    <row r="248" spans="6:17"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80"/>
    </row>
    <row r="249" spans="6:17"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80"/>
    </row>
    <row r="250" spans="6:17"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80"/>
    </row>
    <row r="251" spans="6:17"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80"/>
    </row>
    <row r="252" spans="6:17"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80"/>
    </row>
    <row r="253" spans="6:17"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80"/>
    </row>
    <row r="254" spans="6:17"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80"/>
    </row>
    <row r="255" spans="6:17"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80"/>
    </row>
    <row r="256" spans="6:17"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80"/>
    </row>
    <row r="257" spans="6:17"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80"/>
    </row>
    <row r="258" spans="6:17"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80"/>
    </row>
    <row r="259" spans="6:17"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80"/>
    </row>
    <row r="260" spans="6:17"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80"/>
    </row>
    <row r="261" spans="6:17"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80"/>
    </row>
    <row r="262" spans="6:17"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80"/>
    </row>
    <row r="263" spans="6:17"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80"/>
    </row>
    <row r="264" spans="6:17"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80"/>
    </row>
    <row r="265" spans="6:17"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80"/>
    </row>
    <row r="266" spans="6:17"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80"/>
    </row>
    <row r="267" spans="6:17"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80"/>
    </row>
    <row r="268" spans="6:17"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80"/>
    </row>
    <row r="269" spans="6:17"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80"/>
    </row>
    <row r="270" spans="6:17"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80"/>
    </row>
    <row r="271" spans="6:17"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80"/>
    </row>
    <row r="272" spans="6:17"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80"/>
    </row>
    <row r="273" spans="6:17"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80"/>
    </row>
    <row r="274" spans="6:17"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80"/>
    </row>
    <row r="275" spans="6:17"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80"/>
    </row>
    <row r="276" spans="6:17"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80"/>
    </row>
    <row r="277" spans="6:17"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80"/>
    </row>
    <row r="278" spans="6:17"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80"/>
    </row>
    <row r="279" spans="6:17"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80"/>
    </row>
    <row r="280" spans="6:17"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80"/>
    </row>
    <row r="281" spans="6:17"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80"/>
    </row>
    <row r="282" spans="6:17"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80"/>
    </row>
    <row r="283" spans="6:17"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80"/>
    </row>
    <row r="284" spans="6:17"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80"/>
    </row>
    <row r="285" spans="6:17"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80"/>
    </row>
    <row r="286" spans="6:17"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80"/>
    </row>
    <row r="287" spans="6:17"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80"/>
    </row>
    <row r="288" spans="6:17"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80"/>
    </row>
    <row r="289" spans="6:17"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80"/>
    </row>
    <row r="290" spans="6:17"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80"/>
    </row>
    <row r="291" spans="6:17"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80"/>
    </row>
    <row r="292" spans="6:17"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80"/>
    </row>
    <row r="293" spans="6:17"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80"/>
    </row>
    <row r="294" spans="6:17"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80"/>
    </row>
    <row r="295" spans="6:17"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80"/>
    </row>
    <row r="296" spans="6:17"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80"/>
    </row>
    <row r="297" spans="6:17"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80"/>
    </row>
    <row r="298" spans="6:17"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80"/>
    </row>
    <row r="299" spans="6:17"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80"/>
    </row>
    <row r="300" spans="6:17"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80"/>
    </row>
    <row r="301" spans="6:17"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80"/>
    </row>
    <row r="302" spans="6:17"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80"/>
    </row>
    <row r="303" spans="6:17"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80"/>
    </row>
    <row r="304" spans="6:17"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80"/>
    </row>
    <row r="305" spans="6:17"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80"/>
    </row>
    <row r="306" spans="6:17"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80"/>
    </row>
    <row r="307" spans="6:17"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80"/>
    </row>
    <row r="308" spans="6:17"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80"/>
    </row>
    <row r="309" spans="6:17"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80"/>
    </row>
    <row r="310" spans="6:17"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80"/>
    </row>
    <row r="311" spans="6:17"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80"/>
    </row>
    <row r="312" spans="6:17"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80"/>
    </row>
    <row r="313" spans="6:17"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80"/>
    </row>
    <row r="314" spans="6:17"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80"/>
    </row>
    <row r="315" spans="6:17"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80"/>
    </row>
    <row r="316" spans="6:17"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80"/>
    </row>
    <row r="317" spans="6:17"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80"/>
    </row>
    <row r="318" spans="6:17"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80"/>
    </row>
    <row r="319" spans="6:17"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80"/>
    </row>
    <row r="320" spans="6:17"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80"/>
    </row>
    <row r="321" spans="6:17"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80"/>
    </row>
    <row r="322" spans="6:17"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80"/>
    </row>
    <row r="323" spans="6:17"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80"/>
    </row>
    <row r="324" spans="6:17"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80"/>
    </row>
    <row r="325" spans="6:17"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80"/>
    </row>
    <row r="326" spans="6:17"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80"/>
    </row>
    <row r="327" spans="6:17"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80"/>
    </row>
    <row r="328" spans="6:17"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80"/>
    </row>
    <row r="329" spans="6:17"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80"/>
    </row>
    <row r="330" spans="6:17"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80"/>
    </row>
    <row r="331" spans="6:17"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80"/>
    </row>
    <row r="332" spans="6:17"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80"/>
    </row>
    <row r="333" spans="6:17"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80"/>
    </row>
    <row r="334" spans="6:17"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80"/>
    </row>
    <row r="335" spans="6:17"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80"/>
    </row>
    <row r="336" spans="6:17"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80"/>
    </row>
    <row r="337" spans="6:17"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80"/>
    </row>
    <row r="338" spans="6:17"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80"/>
    </row>
    <row r="339" spans="6:17"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80"/>
    </row>
    <row r="340" spans="6:17"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80"/>
    </row>
    <row r="341" spans="6:17"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80"/>
    </row>
    <row r="342" spans="6:17"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80"/>
    </row>
    <row r="343" spans="6:17"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80"/>
    </row>
    <row r="344" spans="6:17"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80"/>
    </row>
    <row r="345" spans="6:17"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80"/>
    </row>
    <row r="346" spans="6:17"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80"/>
    </row>
    <row r="347" spans="6:17"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80"/>
    </row>
    <row r="348" spans="6:17"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80"/>
    </row>
    <row r="349" spans="6:17"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80"/>
    </row>
    <row r="350" spans="6:17"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80"/>
    </row>
    <row r="351" spans="6:17"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80"/>
    </row>
    <row r="352" spans="6:17"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80"/>
    </row>
    <row r="353" spans="6:17"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80"/>
    </row>
    <row r="354" spans="6:17"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80"/>
    </row>
    <row r="355" spans="6:17"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80"/>
    </row>
    <row r="356" spans="6:17"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80"/>
    </row>
    <row r="357" spans="6:17"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80"/>
    </row>
    <row r="358" spans="6:17"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80"/>
    </row>
    <row r="359" spans="6:17"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80"/>
    </row>
    <row r="360" spans="6:17"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80"/>
    </row>
    <row r="361" spans="6:17"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80"/>
    </row>
    <row r="362" spans="6:17"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80"/>
    </row>
    <row r="363" spans="6:17"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80"/>
    </row>
    <row r="364" spans="6:17"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80"/>
    </row>
    <row r="365" spans="6:17"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80"/>
    </row>
    <row r="366" spans="6:17"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80"/>
    </row>
    <row r="367" spans="6:17"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80"/>
    </row>
    <row r="368" spans="6:17"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80"/>
    </row>
    <row r="369" spans="6:17"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80"/>
    </row>
    <row r="370" spans="6:17"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80"/>
    </row>
    <row r="371" spans="6:17"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80"/>
    </row>
    <row r="372" spans="6:17"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80"/>
    </row>
    <row r="373" spans="6:17"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80"/>
    </row>
    <row r="374" spans="6:17"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80"/>
    </row>
    <row r="375" spans="6:17"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80"/>
    </row>
    <row r="376" spans="6:17"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80"/>
    </row>
    <row r="377" spans="6:17"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80"/>
    </row>
    <row r="378" spans="6:17"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80"/>
    </row>
    <row r="379" spans="6:17"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80"/>
    </row>
    <row r="380" spans="6:17"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80"/>
    </row>
    <row r="381" spans="6:17"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80"/>
    </row>
    <row r="382" spans="6:17"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80"/>
    </row>
    <row r="383" spans="6:17"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80"/>
    </row>
    <row r="384" spans="6:17"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80"/>
    </row>
    <row r="385" spans="6:17"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80"/>
    </row>
    <row r="386" spans="6:17"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80"/>
    </row>
    <row r="387" spans="6:17"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80"/>
    </row>
    <row r="388" spans="6:17"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80"/>
    </row>
    <row r="389" spans="6:17"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80"/>
    </row>
    <row r="390" spans="6:17"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80"/>
    </row>
    <row r="391" spans="6:17"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80"/>
    </row>
    <row r="392" spans="6:17"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80"/>
    </row>
    <row r="393" spans="6:17"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80"/>
    </row>
    <row r="394" spans="6:17"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80"/>
    </row>
    <row r="395" spans="6:17"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80"/>
    </row>
    <row r="396" spans="6:17"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80"/>
    </row>
    <row r="397" spans="6:17"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80"/>
    </row>
    <row r="398" spans="6:17"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80"/>
    </row>
    <row r="399" spans="6:17"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80"/>
    </row>
    <row r="400" spans="6:17"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80"/>
    </row>
    <row r="401" spans="6:17"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80"/>
    </row>
    <row r="402" spans="6:17"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80"/>
    </row>
    <row r="403" spans="6:17"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80"/>
    </row>
    <row r="404" spans="6:17"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80"/>
    </row>
    <row r="405" spans="6:17"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80"/>
    </row>
    <row r="406" spans="6:17"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80"/>
    </row>
    <row r="407" spans="6:17"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80"/>
    </row>
    <row r="408" spans="6:17"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80"/>
    </row>
    <row r="409" spans="6:17"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80"/>
    </row>
    <row r="410" spans="6:17"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80"/>
    </row>
    <row r="411" spans="6:17"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80"/>
    </row>
    <row r="412" spans="6:17"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80"/>
    </row>
    <row r="413" spans="6:17"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80"/>
    </row>
    <row r="414" spans="6:17"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80"/>
    </row>
    <row r="415" spans="6:17"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80"/>
    </row>
    <row r="416" spans="6:17"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80"/>
    </row>
    <row r="417" spans="6:17"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80"/>
    </row>
    <row r="418" spans="6:17"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80"/>
    </row>
    <row r="419" spans="6:17"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80"/>
    </row>
    <row r="420" spans="6:17"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80"/>
    </row>
    <row r="421" spans="6:17"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80"/>
    </row>
    <row r="422" spans="6:17"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80"/>
    </row>
    <row r="423" spans="6:17"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80"/>
    </row>
    <row r="424" spans="6:17"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80"/>
    </row>
    <row r="425" spans="6:17"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80"/>
    </row>
    <row r="426" spans="6:17"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80"/>
    </row>
    <row r="427" spans="6:17"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80"/>
    </row>
    <row r="428" spans="6:17"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80"/>
    </row>
    <row r="429" spans="6:17"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80"/>
    </row>
    <row r="430" spans="6:17"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80"/>
    </row>
    <row r="431" spans="6:17"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80"/>
    </row>
    <row r="432" spans="6:17"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80"/>
    </row>
    <row r="433" spans="6:17"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80"/>
    </row>
    <row r="434" spans="6:17"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80"/>
    </row>
    <row r="435" spans="6:17"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80"/>
    </row>
    <row r="436" spans="6:17"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80"/>
    </row>
    <row r="437" spans="6:17"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80"/>
    </row>
    <row r="438" spans="6:17"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80"/>
    </row>
    <row r="439" spans="6:17"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80"/>
    </row>
    <row r="440" spans="6:17"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80"/>
    </row>
    <row r="441" spans="6:17"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80"/>
    </row>
    <row r="442" spans="6:17"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80"/>
    </row>
    <row r="443" spans="6:17"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80"/>
    </row>
    <row r="444" spans="6:17"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80"/>
    </row>
    <row r="445" spans="6:17"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80"/>
    </row>
    <row r="446" spans="6:17"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80"/>
    </row>
    <row r="447" spans="6:17"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80"/>
    </row>
    <row r="448" spans="6:17"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80"/>
    </row>
    <row r="449" spans="6:17"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80"/>
    </row>
    <row r="450" spans="6:17"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80"/>
    </row>
    <row r="451" spans="6:17"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80"/>
    </row>
    <row r="452" spans="6:17"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80"/>
    </row>
    <row r="453" spans="6:17"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80"/>
    </row>
    <row r="454" spans="6:17"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80"/>
    </row>
    <row r="455" spans="6:17"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80"/>
    </row>
    <row r="456" spans="6:17"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80"/>
    </row>
    <row r="457" spans="6:17"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80"/>
    </row>
    <row r="458" spans="6:17"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80"/>
    </row>
    <row r="459" spans="6:17"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80"/>
    </row>
    <row r="460" spans="6:17"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80"/>
    </row>
    <row r="461" spans="6:17"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80"/>
    </row>
    <row r="462" spans="6:17"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80"/>
    </row>
    <row r="463" spans="6:17"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80"/>
    </row>
    <row r="464" spans="6:17"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80"/>
    </row>
    <row r="465" spans="6:17"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80"/>
    </row>
    <row r="466" spans="6:17"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80"/>
    </row>
    <row r="467" spans="6:17"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80"/>
    </row>
    <row r="468" spans="6:17"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80"/>
    </row>
    <row r="469" spans="6:17"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80"/>
    </row>
    <row r="470" spans="6:17"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80"/>
    </row>
    <row r="471" spans="6:17"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80"/>
    </row>
    <row r="472" spans="6:17"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80"/>
    </row>
    <row r="473" spans="6:17"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80"/>
    </row>
    <row r="474" spans="6:17"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80"/>
    </row>
    <row r="475" spans="6:17"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80"/>
    </row>
    <row r="476" spans="6:17"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80"/>
    </row>
    <row r="477" spans="6:17"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80"/>
    </row>
    <row r="478" spans="6:17"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80"/>
    </row>
    <row r="479" spans="6:17"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80"/>
    </row>
    <row r="480" spans="6:17"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80"/>
    </row>
    <row r="481" spans="6:17"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80"/>
    </row>
    <row r="482" spans="6:17"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80"/>
    </row>
    <row r="483" spans="6:17"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80"/>
    </row>
    <row r="484" spans="6:17"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80"/>
    </row>
    <row r="485" spans="6:17"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80"/>
    </row>
    <row r="486" spans="6:17"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80"/>
    </row>
    <row r="487" spans="6:17"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80"/>
    </row>
    <row r="488" spans="6:17"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80"/>
    </row>
    <row r="489" spans="6:17"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80"/>
    </row>
    <row r="490" spans="6:17"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80"/>
    </row>
    <row r="491" spans="6:17"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80"/>
    </row>
    <row r="492" spans="6:17"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80"/>
    </row>
    <row r="493" spans="6:17"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80"/>
    </row>
    <row r="494" spans="6:17"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80"/>
    </row>
    <row r="495" spans="6:17"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80"/>
    </row>
    <row r="496" spans="6:17"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8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324" customWidth="1"/>
    <col min="2" max="2" width="15.7109375" style="324" bestFit="1" customWidth="1"/>
    <col min="3" max="3" width="15.85546875" style="324" bestFit="1" customWidth="1"/>
    <col min="4" max="4" width="15.140625" style="324" bestFit="1" customWidth="1"/>
    <col min="5" max="5" width="16.42578125" style="324" bestFit="1" customWidth="1"/>
    <col min="6" max="6" width="16.5703125" style="324" bestFit="1" customWidth="1"/>
    <col min="7" max="7" width="15" style="324" bestFit="1" customWidth="1"/>
    <col min="8" max="8" width="15.140625" style="324" bestFit="1" customWidth="1"/>
    <col min="9" max="9" width="16.42578125" style="324" bestFit="1" customWidth="1"/>
    <col min="10" max="10" width="15" style="324" bestFit="1" customWidth="1"/>
    <col min="11" max="11" width="15.140625" style="324" bestFit="1" customWidth="1"/>
    <col min="12" max="12" width="15.5703125" style="324" customWidth="1"/>
    <col min="13" max="13" width="15" style="324" bestFit="1" customWidth="1"/>
    <col min="14" max="14" width="17" style="324" bestFit="1" customWidth="1"/>
    <col min="15" max="15" width="7.7109375" style="324"/>
    <col min="16" max="16" width="23" style="324" bestFit="1" customWidth="1"/>
    <col min="17" max="17" width="10.85546875" style="324" bestFit="1" customWidth="1"/>
    <col min="18" max="16384" width="7.7109375" style="324"/>
  </cols>
  <sheetData>
    <row r="1" spans="1:17" ht="15.75">
      <c r="A1" s="433" t="s">
        <v>220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7" ht="20.25">
      <c r="A2" s="434" t="s">
        <v>325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7" ht="23.25">
      <c r="A3" s="435" t="s">
        <v>387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</row>
    <row r="4" spans="1:17" ht="15.75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7" spans="1:17" ht="27" customHeight="1">
      <c r="A7" s="325" t="s">
        <v>326</v>
      </c>
      <c r="B7" s="326">
        <v>43131</v>
      </c>
      <c r="C7" s="326">
        <f>EOMONTH(B7,1)</f>
        <v>43159</v>
      </c>
      <c r="D7" s="326">
        <f t="shared" ref="D7:M7" si="0">EOMONTH(C7,1)</f>
        <v>43190</v>
      </c>
      <c r="E7" s="326">
        <f t="shared" si="0"/>
        <v>43220</v>
      </c>
      <c r="F7" s="326">
        <f t="shared" si="0"/>
        <v>43251</v>
      </c>
      <c r="G7" s="326">
        <f t="shared" si="0"/>
        <v>43281</v>
      </c>
      <c r="H7" s="326">
        <f t="shared" si="0"/>
        <v>43312</v>
      </c>
      <c r="I7" s="326">
        <f t="shared" si="0"/>
        <v>43343</v>
      </c>
      <c r="J7" s="326">
        <f t="shared" si="0"/>
        <v>43373</v>
      </c>
      <c r="K7" s="326">
        <f t="shared" si="0"/>
        <v>43404</v>
      </c>
      <c r="L7" s="326">
        <f t="shared" si="0"/>
        <v>43434</v>
      </c>
      <c r="M7" s="326">
        <f t="shared" si="0"/>
        <v>43465</v>
      </c>
      <c r="N7" s="327" t="s">
        <v>319</v>
      </c>
    </row>
    <row r="8" spans="1:17" ht="24.95" customHeight="1">
      <c r="A8" s="328" t="s">
        <v>296</v>
      </c>
      <c r="B8" s="329">
        <f>'Input Tab'!C53</f>
        <v>574460</v>
      </c>
      <c r="C8" s="329">
        <f>'Input Tab'!D53</f>
        <v>485123</v>
      </c>
      <c r="D8" s="329">
        <f>'Input Tab'!E53</f>
        <v>466253</v>
      </c>
      <c r="E8" s="329">
        <f>'Input Tab'!F53</f>
        <v>456157</v>
      </c>
      <c r="F8" s="329">
        <f>'Input Tab'!G53</f>
        <v>380976</v>
      </c>
      <c r="G8" s="329">
        <f>'Input Tab'!H53</f>
        <v>422918</v>
      </c>
      <c r="H8" s="329">
        <f>'Input Tab'!I53</f>
        <v>442082</v>
      </c>
      <c r="I8" s="329">
        <f>'Input Tab'!J53</f>
        <v>510132</v>
      </c>
      <c r="J8" s="329">
        <f>'Input Tab'!K53</f>
        <v>452187</v>
      </c>
      <c r="K8" s="329">
        <f>'Input Tab'!L53</f>
        <v>409389</v>
      </c>
      <c r="L8" s="329">
        <f>'Input Tab'!M53</f>
        <v>0</v>
      </c>
      <c r="M8" s="329">
        <f>'Input Tab'!N53</f>
        <v>0</v>
      </c>
      <c r="N8" s="221">
        <f t="shared" ref="N8:N13" si="1">SUM(B8:M8)</f>
        <v>4599677</v>
      </c>
      <c r="P8" s="330"/>
    </row>
    <row r="9" spans="1:17" ht="24.95" customHeight="1">
      <c r="A9" s="331" t="s">
        <v>320</v>
      </c>
      <c r="B9" s="329">
        <f>-261455979/1000</f>
        <v>-261456</v>
      </c>
      <c r="C9" s="332">
        <f>IF(C8=0,0,-B10)</f>
        <v>-232280</v>
      </c>
      <c r="D9" s="332">
        <f t="shared" ref="D9:M9" si="2">IF(D8=0,0,-C10)</f>
        <v>-228151</v>
      </c>
      <c r="E9" s="332">
        <f t="shared" si="2"/>
        <v>-250554</v>
      </c>
      <c r="F9" s="332">
        <f t="shared" si="2"/>
        <v>-228167</v>
      </c>
      <c r="G9" s="332">
        <f t="shared" si="2"/>
        <v>-264393</v>
      </c>
      <c r="H9" s="332">
        <f t="shared" si="2"/>
        <v>-261603</v>
      </c>
      <c r="I9" s="332">
        <f t="shared" si="2"/>
        <v>-303871</v>
      </c>
      <c r="J9" s="332">
        <f t="shared" si="2"/>
        <v>-290570</v>
      </c>
      <c r="K9" s="332">
        <f t="shared" si="2"/>
        <v>-237419</v>
      </c>
      <c r="L9" s="332">
        <f t="shared" si="2"/>
        <v>0</v>
      </c>
      <c r="M9" s="332">
        <f t="shared" si="2"/>
        <v>0</v>
      </c>
      <c r="N9" s="221">
        <f t="shared" si="1"/>
        <v>-2558464</v>
      </c>
    </row>
    <row r="10" spans="1:17" ht="24.95" customHeight="1">
      <c r="A10" s="331" t="s">
        <v>321</v>
      </c>
      <c r="B10" s="329">
        <f>'Input Tab'!C54</f>
        <v>232280</v>
      </c>
      <c r="C10" s="329">
        <f>'Input Tab'!D54</f>
        <v>228151</v>
      </c>
      <c r="D10" s="329">
        <f>'Input Tab'!E54</f>
        <v>250554</v>
      </c>
      <c r="E10" s="329">
        <f>'Input Tab'!F54</f>
        <v>228167</v>
      </c>
      <c r="F10" s="329">
        <f>'Input Tab'!G54</f>
        <v>264393</v>
      </c>
      <c r="G10" s="329">
        <f>'Input Tab'!H54</f>
        <v>261603</v>
      </c>
      <c r="H10" s="329">
        <f>'Input Tab'!I54</f>
        <v>303871</v>
      </c>
      <c r="I10" s="329">
        <f>'Input Tab'!J54</f>
        <v>290570</v>
      </c>
      <c r="J10" s="329">
        <f>'Input Tab'!K54</f>
        <v>237419</v>
      </c>
      <c r="K10" s="329">
        <f>'Input Tab'!L54</f>
        <v>267643</v>
      </c>
      <c r="L10" s="329">
        <f>'Input Tab'!M54</f>
        <v>0</v>
      </c>
      <c r="M10" s="329">
        <f>'Input Tab'!N54</f>
        <v>0</v>
      </c>
      <c r="N10" s="221">
        <f t="shared" si="1"/>
        <v>2564651</v>
      </c>
      <c r="P10" s="333"/>
      <c r="Q10" s="333"/>
    </row>
    <row r="11" spans="1:17" ht="30.75" customHeight="1">
      <c r="A11" s="334" t="s">
        <v>327</v>
      </c>
      <c r="B11" s="335">
        <f t="shared" ref="B11:L11" si="3">SUM(B8:B10)</f>
        <v>545284</v>
      </c>
      <c r="C11" s="335">
        <f t="shared" si="3"/>
        <v>480994</v>
      </c>
      <c r="D11" s="335">
        <f t="shared" si="3"/>
        <v>488656</v>
      </c>
      <c r="E11" s="335">
        <f t="shared" si="3"/>
        <v>433770</v>
      </c>
      <c r="F11" s="335">
        <f t="shared" si="3"/>
        <v>417202</v>
      </c>
      <c r="G11" s="335">
        <f t="shared" si="3"/>
        <v>420128</v>
      </c>
      <c r="H11" s="335">
        <f t="shared" si="3"/>
        <v>484350</v>
      </c>
      <c r="I11" s="335">
        <f t="shared" si="3"/>
        <v>496831</v>
      </c>
      <c r="J11" s="335">
        <f t="shared" si="3"/>
        <v>399036</v>
      </c>
      <c r="K11" s="335">
        <f t="shared" si="3"/>
        <v>439613</v>
      </c>
      <c r="L11" s="335">
        <f t="shared" si="3"/>
        <v>0</v>
      </c>
      <c r="M11" s="335">
        <f>SUM(M8:M10)</f>
        <v>0</v>
      </c>
      <c r="N11" s="336">
        <f t="shared" si="1"/>
        <v>4605864</v>
      </c>
      <c r="P11" s="337"/>
      <c r="Q11" s="330"/>
    </row>
    <row r="12" spans="1:17" ht="32.25" customHeight="1">
      <c r="A12" s="338" t="s">
        <v>328</v>
      </c>
      <c r="B12" s="339">
        <f>'Input Tab'!C55</f>
        <v>555937</v>
      </c>
      <c r="C12" s="339">
        <f>'Input Tab'!D55</f>
        <v>498647</v>
      </c>
      <c r="D12" s="339">
        <f>'Input Tab'!E55</f>
        <v>492113</v>
      </c>
      <c r="E12" s="339">
        <f>'Input Tab'!F55</f>
        <v>431145</v>
      </c>
      <c r="F12" s="339">
        <f>'Input Tab'!G55</f>
        <v>432473</v>
      </c>
      <c r="G12" s="339">
        <f>'Input Tab'!H55</f>
        <v>424693</v>
      </c>
      <c r="H12" s="339">
        <f>'Input Tab'!I55</f>
        <v>490670</v>
      </c>
      <c r="I12" s="339">
        <f>'Input Tab'!J55</f>
        <v>464617</v>
      </c>
      <c r="J12" s="339">
        <f>'Input Tab'!K55</f>
        <v>435934</v>
      </c>
      <c r="K12" s="339">
        <f>'Input Tab'!L55</f>
        <v>436959</v>
      </c>
      <c r="L12" s="339">
        <f>'Input Tab'!M55</f>
        <v>468856</v>
      </c>
      <c r="M12" s="339">
        <f>'Input Tab'!N55</f>
        <v>553150</v>
      </c>
      <c r="N12" s="340">
        <f>SUM(B12:K12)</f>
        <v>4663188</v>
      </c>
      <c r="P12" s="341" t="s">
        <v>343</v>
      </c>
    </row>
    <row r="13" spans="1:17" ht="38.25" customHeight="1">
      <c r="A13" s="342" t="s">
        <v>322</v>
      </c>
      <c r="B13" s="222">
        <f>B11-B12</f>
        <v>-10653</v>
      </c>
      <c r="C13" s="222">
        <f>IF(C8=0," ",C11-C12)</f>
        <v>-17653</v>
      </c>
      <c r="D13" s="222">
        <f t="shared" ref="D13:M13" si="4">IF(D8=0," ",D11-D12)</f>
        <v>-3457</v>
      </c>
      <c r="E13" s="222">
        <f t="shared" si="4"/>
        <v>2625</v>
      </c>
      <c r="F13" s="222">
        <f t="shared" si="4"/>
        <v>-15271</v>
      </c>
      <c r="G13" s="222">
        <f t="shared" si="4"/>
        <v>-4565</v>
      </c>
      <c r="H13" s="222">
        <f t="shared" si="4"/>
        <v>-6320</v>
      </c>
      <c r="I13" s="222">
        <f t="shared" si="4"/>
        <v>32214</v>
      </c>
      <c r="J13" s="222">
        <f t="shared" si="4"/>
        <v>-36898</v>
      </c>
      <c r="K13" s="222">
        <f t="shared" si="4"/>
        <v>2654</v>
      </c>
      <c r="L13" s="222" t="str">
        <f t="shared" si="4"/>
        <v xml:space="preserve"> </v>
      </c>
      <c r="M13" s="222" t="str">
        <f t="shared" si="4"/>
        <v xml:space="preserve"> </v>
      </c>
      <c r="N13" s="343">
        <f t="shared" si="1"/>
        <v>-57324</v>
      </c>
    </row>
    <row r="14" spans="1:17" ht="42.75" customHeight="1">
      <c r="A14" s="342" t="s">
        <v>329</v>
      </c>
      <c r="B14" s="344">
        <f>'Input Tab'!C56</f>
        <v>15.66</v>
      </c>
      <c r="C14" s="344">
        <f>'Input Tab'!D56</f>
        <v>15.66</v>
      </c>
      <c r="D14" s="344">
        <f>'Input Tab'!E56</f>
        <v>15.66</v>
      </c>
      <c r="E14" s="344">
        <f>'Input Tab'!F56</f>
        <v>15.66</v>
      </c>
      <c r="F14" s="344">
        <f>'Input Tab'!G56</f>
        <v>18.11</v>
      </c>
      <c r="G14" s="344">
        <f>'Input Tab'!H56</f>
        <v>18.11</v>
      </c>
      <c r="H14" s="344">
        <f>'Input Tab'!I56</f>
        <v>18.11</v>
      </c>
      <c r="I14" s="344">
        <f>'Input Tab'!J56</f>
        <v>18.11</v>
      </c>
      <c r="J14" s="344">
        <f>'Input Tab'!K56</f>
        <v>18.11</v>
      </c>
      <c r="K14" s="344">
        <f>'Input Tab'!L56</f>
        <v>18.11</v>
      </c>
      <c r="L14" s="344">
        <f>'Input Tab'!M56</f>
        <v>18.11</v>
      </c>
      <c r="M14" s="344">
        <f>'Input Tab'!N56</f>
        <v>18.11</v>
      </c>
      <c r="N14" s="221"/>
    </row>
    <row r="15" spans="1:17" ht="30.75" customHeight="1" thickBot="1">
      <c r="A15" s="345" t="s">
        <v>330</v>
      </c>
      <c r="B15" s="346">
        <f>B13*B14</f>
        <v>-166826</v>
      </c>
      <c r="C15" s="346">
        <f>IF(C8=0,0,C13*C14)</f>
        <v>-276446</v>
      </c>
      <c r="D15" s="346">
        <f t="shared" ref="D15:M15" si="5">IF(D8=0,0,D13*D14)</f>
        <v>-54137</v>
      </c>
      <c r="E15" s="346">
        <f t="shared" si="5"/>
        <v>41108</v>
      </c>
      <c r="F15" s="346">
        <f t="shared" si="5"/>
        <v>-276558</v>
      </c>
      <c r="G15" s="346">
        <f t="shared" si="5"/>
        <v>-82672</v>
      </c>
      <c r="H15" s="346">
        <f t="shared" si="5"/>
        <v>-114455</v>
      </c>
      <c r="I15" s="346">
        <f t="shared" si="5"/>
        <v>583396</v>
      </c>
      <c r="J15" s="346">
        <f t="shared" si="5"/>
        <v>-668223</v>
      </c>
      <c r="K15" s="346">
        <f t="shared" si="5"/>
        <v>48064</v>
      </c>
      <c r="L15" s="346">
        <f t="shared" si="5"/>
        <v>0</v>
      </c>
      <c r="M15" s="346">
        <f t="shared" si="5"/>
        <v>0</v>
      </c>
      <c r="N15" s="346">
        <f>SUM(B15:M15)</f>
        <v>-966749</v>
      </c>
    </row>
    <row r="16" spans="1:17" ht="20.100000000000001" customHeight="1" thickTop="1">
      <c r="G16" s="347"/>
      <c r="N16" s="330"/>
    </row>
    <row r="17" spans="1:16" ht="20.100000000000001" customHeight="1">
      <c r="A17" s="348"/>
      <c r="N17" s="330"/>
    </row>
    <row r="18" spans="1:16" ht="36.75" customHeight="1">
      <c r="A18" s="349" t="s">
        <v>331</v>
      </c>
      <c r="B18" s="350">
        <f>B7</f>
        <v>43131</v>
      </c>
      <c r="C18" s="350">
        <f t="shared" ref="C18:N18" si="6">C7</f>
        <v>43159</v>
      </c>
      <c r="D18" s="350">
        <f t="shared" si="6"/>
        <v>43190</v>
      </c>
      <c r="E18" s="350">
        <f t="shared" si="6"/>
        <v>43220</v>
      </c>
      <c r="F18" s="350">
        <f t="shared" si="6"/>
        <v>43251</v>
      </c>
      <c r="G18" s="350">
        <f t="shared" si="6"/>
        <v>43281</v>
      </c>
      <c r="H18" s="350">
        <f t="shared" si="6"/>
        <v>43312</v>
      </c>
      <c r="I18" s="350">
        <f t="shared" si="6"/>
        <v>43343</v>
      </c>
      <c r="J18" s="350">
        <f t="shared" si="6"/>
        <v>43373</v>
      </c>
      <c r="K18" s="350">
        <f t="shared" si="6"/>
        <v>43404</v>
      </c>
      <c r="L18" s="350">
        <f t="shared" si="6"/>
        <v>43434</v>
      </c>
      <c r="M18" s="350">
        <f t="shared" si="6"/>
        <v>43465</v>
      </c>
      <c r="N18" s="326" t="str">
        <f t="shared" si="6"/>
        <v>YTD</v>
      </c>
    </row>
    <row r="19" spans="1:16" ht="29.25" customHeight="1">
      <c r="A19" s="351" t="s">
        <v>2</v>
      </c>
      <c r="B19" s="352">
        <f>IF(B8=0," ",B15*-1)</f>
        <v>166826</v>
      </c>
      <c r="C19" s="352">
        <f>IF(C8=0," ",C15*-1)</f>
        <v>276446</v>
      </c>
      <c r="D19" s="352">
        <f t="shared" ref="D19:M19" si="7">IF(D8=0," ",D15*-1)</f>
        <v>54137</v>
      </c>
      <c r="E19" s="352">
        <f t="shared" si="7"/>
        <v>-41108</v>
      </c>
      <c r="F19" s="352">
        <f t="shared" si="7"/>
        <v>276558</v>
      </c>
      <c r="G19" s="352">
        <f t="shared" si="7"/>
        <v>82672</v>
      </c>
      <c r="H19" s="352">
        <f t="shared" si="7"/>
        <v>114455</v>
      </c>
      <c r="I19" s="352">
        <f t="shared" si="7"/>
        <v>-583396</v>
      </c>
      <c r="J19" s="352">
        <f t="shared" si="7"/>
        <v>668223</v>
      </c>
      <c r="K19" s="352">
        <f t="shared" si="7"/>
        <v>-48064</v>
      </c>
      <c r="L19" s="352" t="str">
        <f t="shared" si="7"/>
        <v xml:space="preserve"> </v>
      </c>
      <c r="M19" s="352" t="str">
        <f t="shared" si="7"/>
        <v xml:space="preserve"> </v>
      </c>
      <c r="N19" s="352">
        <f>N15*-1</f>
        <v>966749</v>
      </c>
    </row>
    <row r="20" spans="1:16" ht="15.75">
      <c r="A20" s="353"/>
      <c r="B20" s="354" t="str">
        <f>IF(B19&lt;0,"Rebate","Surcharge")</f>
        <v>Surcharge</v>
      </c>
      <c r="C20" s="354" t="str">
        <f t="shared" ref="C20:N20" si="8">IF(C19&lt;0,"Rebate","Surcharge")</f>
        <v>Surcharge</v>
      </c>
      <c r="D20" s="354" t="str">
        <f t="shared" si="8"/>
        <v>Surcharge</v>
      </c>
      <c r="E20" s="354" t="str">
        <f t="shared" si="8"/>
        <v>Rebate</v>
      </c>
      <c r="F20" s="354" t="str">
        <f t="shared" si="8"/>
        <v>Surcharge</v>
      </c>
      <c r="G20" s="354" t="str">
        <f t="shared" si="8"/>
        <v>Surcharge</v>
      </c>
      <c r="H20" s="354" t="str">
        <f t="shared" si="8"/>
        <v>Surcharge</v>
      </c>
      <c r="I20" s="354" t="str">
        <f t="shared" si="8"/>
        <v>Rebate</v>
      </c>
      <c r="J20" s="354" t="str">
        <f t="shared" si="8"/>
        <v>Surcharge</v>
      </c>
      <c r="K20" s="354" t="str">
        <f t="shared" si="8"/>
        <v>Rebate</v>
      </c>
      <c r="L20" s="354" t="str">
        <f t="shared" si="8"/>
        <v>Surcharge</v>
      </c>
      <c r="M20" s="354" t="str">
        <f t="shared" si="8"/>
        <v>Surcharge</v>
      </c>
      <c r="N20" s="354" t="str">
        <f t="shared" si="8"/>
        <v>Surcharge</v>
      </c>
    </row>
    <row r="21" spans="1:16" ht="27" customHeight="1">
      <c r="A21" s="355" t="s">
        <v>324</v>
      </c>
      <c r="B21" s="356">
        <f>'Input Tab'!C58</f>
        <v>-37943.33</v>
      </c>
      <c r="C21" s="356">
        <f>'Input Tab'!D58</f>
        <v>339003.31</v>
      </c>
      <c r="D21" s="356">
        <f>'Input Tab'!E58</f>
        <v>187670.73</v>
      </c>
      <c r="E21" s="356">
        <f>'Input Tab'!F58</f>
        <v>-84609.600000000006</v>
      </c>
      <c r="F21" s="356">
        <f>'Input Tab'!G58</f>
        <v>107839.18</v>
      </c>
      <c r="G21" s="356">
        <f>'Input Tab'!H58</f>
        <v>-120586.87</v>
      </c>
      <c r="H21" s="356">
        <f>'Input Tab'!I58</f>
        <v>-749950.95</v>
      </c>
      <c r="I21" s="356">
        <f>'Input Tab'!J58</f>
        <v>-189109.75</v>
      </c>
      <c r="J21" s="356">
        <f>'Input Tab'!K58</f>
        <v>-118698.29</v>
      </c>
      <c r="K21" s="356">
        <f>'Input Tab'!L58</f>
        <v>-79221.710000000006</v>
      </c>
      <c r="L21" s="356">
        <f>'Input Tab'!M58</f>
        <v>-448598.03</v>
      </c>
      <c r="M21" s="356">
        <f>'Input Tab'!N58</f>
        <v>-402928.44</v>
      </c>
      <c r="N21" s="356">
        <f>SUM(B21:M21)</f>
        <v>-1597133.75</v>
      </c>
      <c r="P21" s="71" t="s">
        <v>384</v>
      </c>
    </row>
    <row r="22" spans="1:16">
      <c r="A22" s="347"/>
      <c r="B22" s="357" t="str">
        <f>IF(B21&lt;0,"Rebate","Surcharge")</f>
        <v>Rebate</v>
      </c>
      <c r="C22" s="357" t="str">
        <f t="shared" ref="C22:N22" si="9">IF(C21&lt;0,"Rebate","Surcharge")</f>
        <v>Surcharge</v>
      </c>
      <c r="D22" s="357" t="str">
        <f t="shared" si="9"/>
        <v>Surcharge</v>
      </c>
      <c r="E22" s="357" t="str">
        <f t="shared" si="9"/>
        <v>Rebate</v>
      </c>
      <c r="F22" s="357" t="str">
        <f t="shared" si="9"/>
        <v>Surcharge</v>
      </c>
      <c r="G22" s="357" t="str">
        <f t="shared" si="9"/>
        <v>Rebate</v>
      </c>
      <c r="H22" s="357" t="str">
        <f t="shared" si="9"/>
        <v>Rebate</v>
      </c>
      <c r="I22" s="357" t="str">
        <f t="shared" si="9"/>
        <v>Rebate</v>
      </c>
      <c r="J22" s="357" t="str">
        <f t="shared" si="9"/>
        <v>Rebate</v>
      </c>
      <c r="K22" s="357" t="str">
        <f t="shared" si="9"/>
        <v>Rebate</v>
      </c>
      <c r="L22" s="357" t="str">
        <f t="shared" si="9"/>
        <v>Rebate</v>
      </c>
      <c r="M22" s="357" t="str">
        <f t="shared" si="9"/>
        <v>Rebate</v>
      </c>
      <c r="N22" s="357" t="str">
        <f t="shared" si="9"/>
        <v>Rebate</v>
      </c>
    </row>
    <row r="25" spans="1:16">
      <c r="G25" s="330"/>
    </row>
    <row r="34" spans="1:1">
      <c r="A34" s="35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39" t="s">
        <v>220</v>
      </c>
      <c r="B1" s="439"/>
      <c r="C1" s="439"/>
      <c r="D1" s="439"/>
      <c r="E1" s="439"/>
      <c r="F1" s="439"/>
      <c r="G1" s="439"/>
      <c r="H1" s="439"/>
    </row>
    <row r="2" spans="1:8" ht="15.75">
      <c r="A2" s="440" t="s">
        <v>334</v>
      </c>
      <c r="B2" s="440"/>
      <c r="C2" s="440"/>
      <c r="D2" s="440"/>
      <c r="E2" s="440"/>
      <c r="F2" s="440"/>
      <c r="G2" s="440"/>
      <c r="H2" s="440"/>
    </row>
    <row r="3" spans="1:8">
      <c r="A3" s="26"/>
    </row>
    <row r="4" spans="1:8" ht="16.5" thickBot="1">
      <c r="A4" s="26"/>
      <c r="B4" s="438" t="s">
        <v>339</v>
      </c>
      <c r="C4" s="438"/>
      <c r="D4" s="438"/>
      <c r="E4" s="438"/>
      <c r="F4" s="438"/>
      <c r="G4" s="438"/>
      <c r="H4" s="438"/>
    </row>
    <row r="5" spans="1:8" ht="38.25">
      <c r="B5" s="225"/>
      <c r="C5" s="226" t="s">
        <v>333</v>
      </c>
      <c r="D5" s="227" t="s">
        <v>2</v>
      </c>
      <c r="E5" s="228" t="s">
        <v>281</v>
      </c>
      <c r="F5" s="228" t="s">
        <v>336</v>
      </c>
      <c r="G5" s="226" t="s">
        <v>337</v>
      </c>
      <c r="H5" s="226" t="s">
        <v>338</v>
      </c>
    </row>
    <row r="6" spans="1:8">
      <c r="A6" s="26"/>
      <c r="B6" s="224">
        <v>41275</v>
      </c>
      <c r="C6" s="21">
        <v>-58333</v>
      </c>
      <c r="D6" s="21">
        <v>-70550</v>
      </c>
      <c r="E6" s="21">
        <f>+C6-D6</f>
        <v>12217</v>
      </c>
      <c r="F6" s="223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4">
        <v>41306</v>
      </c>
      <c r="C7" s="21">
        <v>-58333</v>
      </c>
      <c r="D7" s="21">
        <v>-82772</v>
      </c>
      <c r="E7" s="21">
        <f t="shared" ref="E7:E16" si="0">+C7-D7</f>
        <v>24439</v>
      </c>
      <c r="F7" s="223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4">
        <v>41334</v>
      </c>
      <c r="C8" s="21">
        <v>-58333</v>
      </c>
      <c r="D8" s="21">
        <v>-213066</v>
      </c>
      <c r="E8" s="21">
        <f t="shared" si="0"/>
        <v>154733</v>
      </c>
      <c r="F8" s="223">
        <v>0.34839999999999999</v>
      </c>
      <c r="G8" s="22">
        <f t="shared" si="1"/>
        <v>53909</v>
      </c>
      <c r="H8">
        <f t="shared" si="2"/>
        <v>48518.1</v>
      </c>
    </row>
    <row r="9" spans="1:8">
      <c r="B9" s="224">
        <v>41365</v>
      </c>
      <c r="C9" s="21">
        <v>-70833</v>
      </c>
      <c r="D9" s="21">
        <v>-408270</v>
      </c>
      <c r="E9" s="21">
        <f t="shared" si="0"/>
        <v>337437</v>
      </c>
      <c r="F9" s="223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4">
        <v>41395</v>
      </c>
      <c r="C10" s="21">
        <v>-70833</v>
      </c>
      <c r="D10" s="21">
        <v>-448670</v>
      </c>
      <c r="E10" s="21">
        <f t="shared" si="0"/>
        <v>377837</v>
      </c>
      <c r="F10" s="223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4">
        <v>41426</v>
      </c>
      <c r="C11" s="21">
        <v>-70833</v>
      </c>
      <c r="D11" s="21">
        <v>-277300</v>
      </c>
      <c r="E11" s="21">
        <f t="shared" si="0"/>
        <v>206467</v>
      </c>
      <c r="F11" s="223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4">
        <v>41456</v>
      </c>
      <c r="C12" s="21">
        <v>-70833</v>
      </c>
      <c r="D12" s="21">
        <v>-46500</v>
      </c>
      <c r="E12" s="21">
        <f t="shared" si="0"/>
        <v>-24333</v>
      </c>
      <c r="F12" s="223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4">
        <v>41487</v>
      </c>
      <c r="C13" s="21">
        <v>-70833</v>
      </c>
      <c r="D13" s="21">
        <v>0</v>
      </c>
      <c r="E13" s="21">
        <f t="shared" si="0"/>
        <v>-70833</v>
      </c>
      <c r="F13" s="223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4">
        <v>41518</v>
      </c>
      <c r="C14" s="21">
        <v>-70833</v>
      </c>
      <c r="D14" s="21">
        <v>-31250</v>
      </c>
      <c r="E14" s="21">
        <f t="shared" si="0"/>
        <v>-39583</v>
      </c>
      <c r="F14" s="223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4">
        <v>41548</v>
      </c>
      <c r="C15" s="21">
        <v>-70833</v>
      </c>
      <c r="D15" s="21">
        <v>-440000</v>
      </c>
      <c r="E15" s="21">
        <f t="shared" si="0"/>
        <v>369167</v>
      </c>
      <c r="F15" s="223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4">
        <v>41579</v>
      </c>
      <c r="C16" s="21">
        <v>-70833</v>
      </c>
      <c r="D16" s="21">
        <v>-96450</v>
      </c>
      <c r="E16" s="21">
        <f t="shared" si="0"/>
        <v>25617</v>
      </c>
      <c r="F16" s="223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4">
        <v>41609</v>
      </c>
      <c r="C17" s="21">
        <v>-70833</v>
      </c>
      <c r="D17" s="21">
        <v>-499575</v>
      </c>
      <c r="E17" s="21">
        <f>+C17-D17</f>
        <v>428742</v>
      </c>
      <c r="F17" s="223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29" t="s">
        <v>214</v>
      </c>
      <c r="C18" s="230">
        <f>SUM(C6:C17)</f>
        <v>-812496</v>
      </c>
      <c r="D18" s="230">
        <f>SUM(D6:D17)</f>
        <v>-2614403</v>
      </c>
      <c r="E18" s="230">
        <f>SUM(E6:E17)</f>
        <v>1801907</v>
      </c>
      <c r="F18" s="230"/>
      <c r="G18" s="230">
        <f>SUM(G6:G17)</f>
        <v>626495</v>
      </c>
      <c r="H18" s="230">
        <f>SUM(H6:H17)</f>
        <v>563846</v>
      </c>
    </row>
    <row r="19" spans="1:8">
      <c r="B19" s="5"/>
      <c r="C19" s="5"/>
      <c r="D19" s="5"/>
      <c r="E19" s="183" t="s">
        <v>335</v>
      </c>
      <c r="F19" s="5"/>
      <c r="G19" s="183" t="s">
        <v>335</v>
      </c>
      <c r="H19" s="183" t="s">
        <v>335</v>
      </c>
    </row>
    <row r="21" spans="1:8" ht="16.5" thickBot="1">
      <c r="B21" s="438" t="s">
        <v>340</v>
      </c>
      <c r="C21" s="438"/>
      <c r="D21" s="438"/>
      <c r="E21" s="438"/>
      <c r="F21" s="438"/>
      <c r="G21" s="438"/>
      <c r="H21" s="438"/>
    </row>
    <row r="22" spans="1:8" ht="38.25">
      <c r="B22" s="225"/>
      <c r="C22" s="226" t="s">
        <v>341</v>
      </c>
      <c r="D22" s="227" t="s">
        <v>2</v>
      </c>
      <c r="E22" s="228" t="s">
        <v>281</v>
      </c>
      <c r="F22" s="228" t="s">
        <v>336</v>
      </c>
      <c r="G22" s="226" t="s">
        <v>337</v>
      </c>
      <c r="H22" s="226" t="s">
        <v>338</v>
      </c>
    </row>
    <row r="23" spans="1:8">
      <c r="B23" s="224">
        <v>41275</v>
      </c>
      <c r="C23" s="21">
        <v>-58333</v>
      </c>
      <c r="D23" s="21">
        <v>-70550</v>
      </c>
      <c r="E23" s="21">
        <f>+C23-D23</f>
        <v>12217</v>
      </c>
      <c r="F23" s="223">
        <v>0.34839999999999999</v>
      </c>
      <c r="G23" s="22">
        <f>+E23*F23</f>
        <v>4256</v>
      </c>
      <c r="H23">
        <f>+G23*0.9</f>
        <v>3830.4</v>
      </c>
    </row>
    <row r="24" spans="1:8">
      <c r="B24" s="224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3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4">
        <v>41334</v>
      </c>
      <c r="C25" s="21">
        <v>-58333</v>
      </c>
      <c r="D25" s="21">
        <v>-213066</v>
      </c>
      <c r="E25" s="21">
        <f t="shared" si="3"/>
        <v>154733</v>
      </c>
      <c r="F25" s="223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4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3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4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3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4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3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4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3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4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3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4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3">
        <v>0.34760000000000002</v>
      </c>
      <c r="G31" s="22">
        <f t="shared" si="4"/>
        <v>-87</v>
      </c>
      <c r="H31">
        <f t="shared" si="5"/>
        <v>-78.3</v>
      </c>
    </row>
    <row r="32" spans="1:8">
      <c r="B32" s="224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3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4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3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4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3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29" t="s">
        <v>214</v>
      </c>
      <c r="C35" s="230">
        <f>SUM(C23:C34)</f>
        <v>-458499</v>
      </c>
      <c r="D35" s="230">
        <f>SUM(D23:D34)</f>
        <v>-2614403</v>
      </c>
      <c r="E35" s="230">
        <f>SUM(E23:E34)</f>
        <v>2155904</v>
      </c>
      <c r="F35" s="230"/>
      <c r="G35" s="230">
        <f>SUM(G23:G34)</f>
        <v>749546</v>
      </c>
      <c r="H35" s="230">
        <f>SUM(H23:H34)</f>
        <v>674591</v>
      </c>
    </row>
    <row r="36" spans="2:8">
      <c r="B36" s="5"/>
      <c r="C36" s="5"/>
      <c r="D36" s="5"/>
      <c r="E36" s="183" t="s">
        <v>335</v>
      </c>
      <c r="F36" s="5"/>
      <c r="G36" s="183" t="s">
        <v>335</v>
      </c>
      <c r="H36" s="183" t="s">
        <v>335</v>
      </c>
    </row>
    <row r="38" spans="2:8" ht="16.5" thickBot="1">
      <c r="B38" s="438" t="s">
        <v>342</v>
      </c>
      <c r="C38" s="438"/>
      <c r="D38" s="438"/>
      <c r="E38" s="438"/>
      <c r="F38" s="438"/>
      <c r="G38" s="438"/>
      <c r="H38" s="438"/>
    </row>
    <row r="39" spans="2:8" ht="38.25">
      <c r="B39" s="225"/>
      <c r="C39" s="226" t="s">
        <v>341</v>
      </c>
      <c r="D39" s="227" t="s">
        <v>2</v>
      </c>
      <c r="E39" s="228" t="s">
        <v>281</v>
      </c>
      <c r="F39" s="228" t="s">
        <v>336</v>
      </c>
      <c r="G39" s="226" t="s">
        <v>337</v>
      </c>
      <c r="H39" s="226" t="s">
        <v>338</v>
      </c>
    </row>
    <row r="40" spans="2:8">
      <c r="B40" s="224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3">
        <v>0.34839999999999999</v>
      </c>
      <c r="G40" s="22">
        <f>+E40*F40</f>
        <v>0</v>
      </c>
      <c r="H40">
        <f>+G40*0.9</f>
        <v>0</v>
      </c>
    </row>
    <row r="41" spans="2:8">
      <c r="B41" s="224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3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4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3">
        <v>0.34839999999999999</v>
      </c>
      <c r="G42" s="22">
        <f t="shared" si="8"/>
        <v>0</v>
      </c>
      <c r="H42">
        <f t="shared" si="9"/>
        <v>0</v>
      </c>
    </row>
    <row r="43" spans="2:8">
      <c r="B43" s="224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3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4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3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4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3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4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3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4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3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4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3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4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3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4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3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4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3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29" t="s">
        <v>214</v>
      </c>
      <c r="C52" s="230">
        <f>SUM(C40:C51)</f>
        <v>353997</v>
      </c>
      <c r="D52" s="230">
        <f>SUM(D40:D51)</f>
        <v>0</v>
      </c>
      <c r="E52" s="230">
        <f>SUM(E40:E51)</f>
        <v>353997</v>
      </c>
      <c r="F52" s="230"/>
      <c r="G52" s="230">
        <f>SUM(G40:G51)</f>
        <v>123048</v>
      </c>
      <c r="H52" s="230">
        <f>SUM(H40:H51)</f>
        <v>110743</v>
      </c>
    </row>
    <row r="53" spans="2:8">
      <c r="B53" s="5"/>
      <c r="C53" s="5"/>
      <c r="D53" s="5"/>
      <c r="E53" s="183" t="s">
        <v>335</v>
      </c>
      <c r="F53" s="5"/>
      <c r="G53" s="183" t="s">
        <v>335</v>
      </c>
      <c r="H53" s="183" t="s">
        <v>335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1">
        <v>40972</v>
      </c>
    </row>
    <row r="3" spans="1:2">
      <c r="A3" s="26" t="s">
        <v>277</v>
      </c>
      <c r="B3" s="26" t="s">
        <v>274</v>
      </c>
    </row>
    <row r="4" spans="1:2">
      <c r="B4" t="s">
        <v>270</v>
      </c>
    </row>
    <row r="5" spans="1:2">
      <c r="B5" t="s">
        <v>265</v>
      </c>
    </row>
    <row r="7" spans="1:2">
      <c r="B7" t="s">
        <v>267</v>
      </c>
    </row>
    <row r="8" spans="1:2">
      <c r="B8" t="s">
        <v>266</v>
      </c>
    </row>
    <row r="9" spans="1:2">
      <c r="B9" t="s">
        <v>268</v>
      </c>
    </row>
    <row r="10" spans="1:2">
      <c r="B10" t="s">
        <v>271</v>
      </c>
    </row>
    <row r="12" spans="1:2">
      <c r="B12" t="s">
        <v>269</v>
      </c>
    </row>
    <row r="13" spans="1:2">
      <c r="B13" t="s">
        <v>273</v>
      </c>
    </row>
    <row r="14" spans="1:2">
      <c r="B14" t="s">
        <v>272</v>
      </c>
    </row>
    <row r="16" spans="1:2">
      <c r="B16" s="26" t="s">
        <v>275</v>
      </c>
    </row>
    <row r="17" spans="1:2">
      <c r="B17" s="26" t="s">
        <v>276</v>
      </c>
    </row>
    <row r="19" spans="1:2">
      <c r="A19" s="26" t="s">
        <v>278</v>
      </c>
      <c r="B19" s="2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4" t="s">
        <v>220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288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42" t="s">
        <v>10</v>
      </c>
      <c r="E5" s="442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43">
        <f>'WA Summary '!D6:E6</f>
        <v>110845564</v>
      </c>
      <c r="E6" s="443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6606233</v>
      </c>
      <c r="M6" s="189">
        <f>'WA Summary '!M6</f>
        <v>15747984</v>
      </c>
      <c r="N6" s="189">
        <f>'WA Summary '!N6</f>
        <v>9527787</v>
      </c>
      <c r="O6" s="189">
        <f>'WA Summary '!O6</f>
        <v>6852563</v>
      </c>
      <c r="P6" s="189">
        <f>'WA Summary '!P6</f>
        <v>31525</v>
      </c>
      <c r="Q6" s="189">
        <f>'WA Summary '!Q6</f>
        <v>32573</v>
      </c>
    </row>
    <row r="7" spans="1:17">
      <c r="A7" s="144">
        <f>A6+1</f>
        <v>2</v>
      </c>
      <c r="B7" s="32" t="s">
        <v>6</v>
      </c>
      <c r="D7" s="444">
        <f>'WA Summary '!D7:E7</f>
        <v>-76412200</v>
      </c>
      <c r="E7" s="444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-2002952</v>
      </c>
      <c r="M7" s="189">
        <f>'WA Summary '!M7</f>
        <v>-8712018</v>
      </c>
      <c r="N7" s="189">
        <f>'WA Summary '!N7</f>
        <v>-4747226</v>
      </c>
      <c r="O7" s="189">
        <f>'WA Summary '!O7</f>
        <v>-412907</v>
      </c>
      <c r="P7" s="189">
        <f>'WA Summary '!P7</f>
        <v>0</v>
      </c>
      <c r="Q7" s="189">
        <f>'WA Summary '!Q7</f>
        <v>0</v>
      </c>
    </row>
    <row r="8" spans="1:17">
      <c r="A8" s="144">
        <f>+A7+1</f>
        <v>3</v>
      </c>
      <c r="B8" s="204" t="s">
        <v>285</v>
      </c>
      <c r="D8" s="441" t="e">
        <f>'WA Summary '!#REF!</f>
        <v>#REF!</v>
      </c>
      <c r="E8" s="441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41">
        <f>'WA Summary '!D8:E8</f>
        <v>20779350</v>
      </c>
      <c r="E9" s="441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1521108</v>
      </c>
      <c r="M9" s="189">
        <f>'WA Summary '!M8</f>
        <v>2093856</v>
      </c>
      <c r="N9" s="189">
        <f>'WA Summary '!N8</f>
        <v>2657404</v>
      </c>
      <c r="O9" s="189">
        <f>'WA Summary '!O8</f>
        <v>3019827</v>
      </c>
      <c r="P9" s="189">
        <f>'WA Summary '!P8</f>
        <v>0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41">
        <f>'WA Summary '!D9:E9</f>
        <v>51615439</v>
      </c>
      <c r="E10" s="441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7376855</v>
      </c>
      <c r="M10" s="189">
        <f>'WA Summary '!M9</f>
        <v>7709363</v>
      </c>
      <c r="N10" s="189">
        <f>'WA Summary '!N9</f>
        <v>5836996</v>
      </c>
      <c r="O10" s="189">
        <f>'WA Summary '!O9</f>
        <v>4507069</v>
      </c>
      <c r="P10" s="189">
        <f>'WA Summary '!P9</f>
        <v>0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41"/>
      <c r="E11" s="441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24">
        <f>'WA Summary '!D11:E11</f>
        <v>14656625</v>
      </c>
      <c r="E12" s="424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1431372</v>
      </c>
      <c r="M12" s="189">
        <f>'WA Summary '!M11</f>
        <v>1471267</v>
      </c>
      <c r="N12" s="189">
        <f>'WA Summary '!N11</f>
        <v>1507466</v>
      </c>
      <c r="O12" s="189">
        <f>'WA Summary '!O11</f>
        <v>1419923</v>
      </c>
      <c r="P12" s="189">
        <f>'WA Summary '!P11</f>
        <v>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24">
        <f>'WA Summary '!D12:E12</f>
        <v>531127</v>
      </c>
      <c r="E13" s="424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42517</v>
      </c>
      <c r="M13" s="189">
        <f>'WA Summary '!M12</f>
        <v>54638</v>
      </c>
      <c r="N13" s="189">
        <f>'WA Summary '!N12</f>
        <v>67390</v>
      </c>
      <c r="O13" s="189">
        <f>'WA Summary '!O12</f>
        <v>40351</v>
      </c>
      <c r="P13" s="189">
        <f>'WA Summary '!P12</f>
        <v>0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46" t="e">
        <f>'WA Summary '!#REF!</f>
        <v>#REF!</v>
      </c>
      <c r="E14" s="446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7" t="e">
        <f>SUM(D6:E14)</f>
        <v>#REF!</v>
      </c>
      <c r="E15" s="447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48" t="str">
        <f>'WA Summary '!D14:E14</f>
        <v>Total through October</v>
      </c>
      <c r="E16" s="448"/>
      <c r="F16" s="207">
        <f>F5</f>
        <v>41305</v>
      </c>
      <c r="G16" s="207">
        <f>G5</f>
        <v>41333</v>
      </c>
      <c r="H16" s="207">
        <f t="shared" ref="H16:Q16" si="2">H5</f>
        <v>41364</v>
      </c>
      <c r="I16" s="207">
        <f t="shared" si="2"/>
        <v>41394</v>
      </c>
      <c r="J16" s="207">
        <f t="shared" si="2"/>
        <v>41425</v>
      </c>
      <c r="K16" s="207">
        <f t="shared" si="2"/>
        <v>41455</v>
      </c>
      <c r="L16" s="207">
        <f t="shared" si="2"/>
        <v>41486</v>
      </c>
      <c r="M16" s="207">
        <f t="shared" si="2"/>
        <v>41517</v>
      </c>
      <c r="N16" s="207">
        <f t="shared" si="2"/>
        <v>41547</v>
      </c>
      <c r="O16" s="207">
        <f t="shared" si="2"/>
        <v>41578</v>
      </c>
      <c r="P16" s="207">
        <f t="shared" si="2"/>
        <v>41608</v>
      </c>
      <c r="Q16" s="207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49">
        <f>'WA Summary '!D15:E15</f>
        <v>89328934</v>
      </c>
      <c r="E17" s="449"/>
      <c r="F17" s="208">
        <f>'WA Summary '!F15</f>
        <v>12127251</v>
      </c>
      <c r="G17" s="208">
        <f>'WA Summary '!G15</f>
        <v>11591985</v>
      </c>
      <c r="H17" s="208">
        <f>'WA Summary '!H15</f>
        <v>10660401</v>
      </c>
      <c r="I17" s="208">
        <f>'WA Summary '!I15</f>
        <v>10031882</v>
      </c>
      <c r="J17" s="208">
        <f>'WA Summary '!J15</f>
        <v>7204007</v>
      </c>
      <c r="K17" s="208">
        <f>'WA Summary '!K15</f>
        <v>6832768</v>
      </c>
      <c r="L17" s="208">
        <f>'WA Summary '!L15</f>
        <v>7367141</v>
      </c>
      <c r="M17" s="208">
        <f>'WA Summary '!M15</f>
        <v>8064916</v>
      </c>
      <c r="N17" s="208">
        <f>'WA Summary '!N15</f>
        <v>7448796</v>
      </c>
      <c r="O17" s="208">
        <f>'WA Summary '!O15</f>
        <v>7999787</v>
      </c>
      <c r="P17" s="208">
        <f>'WA Summary '!P15</f>
        <v>11642227</v>
      </c>
      <c r="Q17" s="208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5">
        <f>'WA Summary '!D16:E16</f>
        <v>-53947812</v>
      </c>
      <c r="E18" s="445"/>
      <c r="F18" s="209">
        <f>'WA Summary '!F16</f>
        <v>-7154528</v>
      </c>
      <c r="G18" s="209">
        <f>'WA Summary '!G16</f>
        <v>-6331583</v>
      </c>
      <c r="H18" s="209">
        <f>'WA Summary '!H16</f>
        <v>-7373144</v>
      </c>
      <c r="I18" s="209">
        <f>'WA Summary '!I16</f>
        <v>-9451450</v>
      </c>
      <c r="J18" s="209">
        <f>'WA Summary '!J16</f>
        <v>-3992970</v>
      </c>
      <c r="K18" s="209">
        <f>'WA Summary '!K16</f>
        <v>-3782256</v>
      </c>
      <c r="L18" s="209">
        <f>'WA Summary '!L16</f>
        <v>-5325599</v>
      </c>
      <c r="M18" s="209">
        <f>'WA Summary '!M16</f>
        <v>-3215251</v>
      </c>
      <c r="N18" s="209">
        <f>'WA Summary '!N16</f>
        <v>-4016772</v>
      </c>
      <c r="O18" s="209">
        <f>'WA Summary '!O16</f>
        <v>-3304259</v>
      </c>
      <c r="P18" s="209">
        <f>'WA Summary '!P16</f>
        <v>-4468025</v>
      </c>
      <c r="Q18" s="209">
        <f>'WA Summary '!Q16</f>
        <v>-6320023</v>
      </c>
    </row>
    <row r="19" spans="1:26">
      <c r="A19" s="144">
        <f>+A18+1</f>
        <v>13</v>
      </c>
      <c r="B19" s="205" t="s">
        <v>285</v>
      </c>
      <c r="C19" s="154"/>
      <c r="D19" s="445" t="e">
        <f>'WA Summary '!#REF!</f>
        <v>#REF!</v>
      </c>
      <c r="E19" s="445"/>
      <c r="F19" s="209" t="e">
        <f>'WA Summary '!#REF!</f>
        <v>#REF!</v>
      </c>
      <c r="G19" s="209" t="e">
        <f>'WA Summary '!#REF!</f>
        <v>#REF!</v>
      </c>
      <c r="H19" s="209" t="e">
        <f>'WA Summary '!#REF!</f>
        <v>#REF!</v>
      </c>
      <c r="I19" s="209" t="e">
        <f>'WA Summary '!#REF!</f>
        <v>#REF!</v>
      </c>
      <c r="J19" s="209" t="e">
        <f>'WA Summary '!#REF!</f>
        <v>#REF!</v>
      </c>
      <c r="K19" s="209" t="e">
        <f>'WA Summary '!#REF!</f>
        <v>#REF!</v>
      </c>
      <c r="L19" s="209" t="e">
        <f>'WA Summary '!#REF!</f>
        <v>#REF!</v>
      </c>
      <c r="M19" s="209" t="e">
        <f>'WA Summary '!#REF!</f>
        <v>#REF!</v>
      </c>
      <c r="N19" s="209" t="e">
        <f>'WA Summary '!#REF!</f>
        <v>#REF!</v>
      </c>
      <c r="O19" s="209" t="e">
        <f>'WA Summary '!#REF!</f>
        <v>#REF!</v>
      </c>
      <c r="P19" s="209" t="e">
        <f>'WA Summary '!#REF!</f>
        <v>#REF!</v>
      </c>
      <c r="Q19" s="209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5">
        <f>'WA Summary '!D17:E17</f>
        <v>22623076</v>
      </c>
      <c r="E20" s="445"/>
      <c r="F20" s="208">
        <f>'WA Summary '!F17</f>
        <v>2667343</v>
      </c>
      <c r="G20" s="208">
        <f>'WA Summary '!G17</f>
        <v>2503517</v>
      </c>
      <c r="H20" s="208">
        <f>'WA Summary '!H17</f>
        <v>2494287</v>
      </c>
      <c r="I20" s="208">
        <f>'WA Summary '!I17</f>
        <v>2179004</v>
      </c>
      <c r="J20" s="208">
        <f>'WA Summary '!J17</f>
        <v>1551263</v>
      </c>
      <c r="K20" s="208">
        <f>'WA Summary '!K17</f>
        <v>1358751</v>
      </c>
      <c r="L20" s="208">
        <f>'WA Summary '!L17</f>
        <v>2219592</v>
      </c>
      <c r="M20" s="208">
        <f>'WA Summary '!M17</f>
        <v>2478125</v>
      </c>
      <c r="N20" s="208">
        <f>'WA Summary '!N17</f>
        <v>2578207</v>
      </c>
      <c r="O20" s="208">
        <f>'WA Summary '!O17</f>
        <v>2592987</v>
      </c>
      <c r="P20" s="208">
        <f>'WA Summary '!P17</f>
        <v>2566833</v>
      </c>
      <c r="Q20" s="208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5">
        <f>'WA Summary '!D18:E18</f>
        <v>57454937</v>
      </c>
      <c r="E21" s="445"/>
      <c r="F21" s="208">
        <f>'WA Summary '!F18</f>
        <v>8481668</v>
      </c>
      <c r="G21" s="208">
        <f>'WA Summary '!G18</f>
        <v>7698692</v>
      </c>
      <c r="H21" s="208">
        <f>'WA Summary '!H18</f>
        <v>7292619</v>
      </c>
      <c r="I21" s="208">
        <f>'WA Summary '!I18</f>
        <v>5265751</v>
      </c>
      <c r="J21" s="208">
        <f>'WA Summary '!J18</f>
        <v>1426182</v>
      </c>
      <c r="K21" s="208">
        <f>'WA Summary '!K18</f>
        <v>1698327</v>
      </c>
      <c r="L21" s="208">
        <f>'WA Summary '!L18</f>
        <v>5653252</v>
      </c>
      <c r="M21" s="208">
        <f>'WA Summary '!M18</f>
        <v>7341418</v>
      </c>
      <c r="N21" s="208">
        <f>'WA Summary '!N18</f>
        <v>6493558</v>
      </c>
      <c r="O21" s="208">
        <f>'WA Summary '!O18</f>
        <v>6103470</v>
      </c>
      <c r="P21" s="208">
        <f>'WA Summary '!P18</f>
        <v>6561954</v>
      </c>
      <c r="Q21" s="208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5"/>
      <c r="E22" s="445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26">
      <c r="A23" s="144">
        <f t="shared" si="3"/>
        <v>17</v>
      </c>
      <c r="B23" s="155" t="s">
        <v>106</v>
      </c>
      <c r="C23" s="154"/>
      <c r="D23" s="445">
        <f>'WA Summary '!D20:E20</f>
        <v>14481959</v>
      </c>
      <c r="E23" s="445"/>
      <c r="F23" s="210">
        <f>'WA Summary '!F20</f>
        <v>1503379</v>
      </c>
      <c r="G23" s="210">
        <f>'WA Summary '!G20</f>
        <v>1417562</v>
      </c>
      <c r="H23" s="210">
        <f>'WA Summary '!H20</f>
        <v>1557827</v>
      </c>
      <c r="I23" s="210">
        <f>'WA Summary '!I20</f>
        <v>1347286</v>
      </c>
      <c r="J23" s="210">
        <f>'WA Summary '!J20</f>
        <v>1394142</v>
      </c>
      <c r="K23" s="210">
        <f>'WA Summary '!K20</f>
        <v>1391308</v>
      </c>
      <c r="L23" s="208">
        <f>'WA Summary '!L20</f>
        <v>1452951</v>
      </c>
      <c r="M23" s="208">
        <f>'WA Summary '!M20</f>
        <v>1443202</v>
      </c>
      <c r="N23" s="208">
        <f>'WA Summary '!N20</f>
        <v>1567441</v>
      </c>
      <c r="O23" s="208">
        <f>'WA Summary '!O20</f>
        <v>1406861</v>
      </c>
      <c r="P23" s="208">
        <f>'WA Summary '!P20</f>
        <v>1416449</v>
      </c>
      <c r="Q23" s="208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50">
        <f>'WA Summary '!D21:E21</f>
        <v>435500</v>
      </c>
      <c r="E24" s="450"/>
      <c r="F24" s="208">
        <f>'WA Summary '!F21</f>
        <v>57500</v>
      </c>
      <c r="G24" s="208">
        <f>'WA Summary '!G21</f>
        <v>57500</v>
      </c>
      <c r="H24" s="208">
        <f>'WA Summary '!H21</f>
        <v>57500</v>
      </c>
      <c r="I24" s="208">
        <f>'WA Summary '!I21</f>
        <v>57500</v>
      </c>
      <c r="J24" s="208">
        <f>'WA Summary '!J21</f>
        <v>34250</v>
      </c>
      <c r="K24" s="208">
        <f>'WA Summary '!K21</f>
        <v>34250</v>
      </c>
      <c r="L24" s="208">
        <f>'WA Summary '!L21</f>
        <v>34250</v>
      </c>
      <c r="M24" s="208">
        <f>'WA Summary '!M21</f>
        <v>34250</v>
      </c>
      <c r="N24" s="208">
        <f>'WA Summary '!N21</f>
        <v>34250</v>
      </c>
      <c r="O24" s="208">
        <f>'WA Summary '!O21</f>
        <v>34250</v>
      </c>
      <c r="P24" s="208">
        <f>'WA Summary '!P21</f>
        <v>34250</v>
      </c>
      <c r="Q24" s="208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7" t="e">
        <f>SUM(D17:E24)</f>
        <v>#REF!</v>
      </c>
      <c r="E25" s="447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51" t="e">
        <f>D15-D25</f>
        <v>#REF!</v>
      </c>
      <c r="E26" s="451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53">
        <f>SUM(F27:Q27)</f>
        <v>-11867588</v>
      </c>
      <c r="E27" s="453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>
        <f>'WA Monthly'!K135</f>
        <v>-1394230</v>
      </c>
      <c r="M27" s="188">
        <f>'WA Monthly'!L135</f>
        <v>-912263</v>
      </c>
      <c r="N27" s="188">
        <f>'WA Monthly'!M135</f>
        <v>-1264473</v>
      </c>
      <c r="O27" s="188">
        <f>'WA Monthly'!N135</f>
        <v>-1560414</v>
      </c>
      <c r="P27" s="188">
        <f>'WA Monthly'!O135</f>
        <v>0</v>
      </c>
      <c r="Q27" s="188">
        <f>'WA Monthly'!P135</f>
        <v>0</v>
      </c>
    </row>
    <row r="28" spans="1:26" ht="15">
      <c r="A28" s="144">
        <f t="shared" si="3"/>
        <v>22</v>
      </c>
      <c r="B28" s="32" t="s">
        <v>116</v>
      </c>
      <c r="D28" s="454" t="e">
        <f>D26+D27</f>
        <v>#REF!</v>
      </c>
      <c r="E28" s="454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1">
        <v>0.65239999999999998</v>
      </c>
      <c r="G29" s="211">
        <v>0.65239999999999998</v>
      </c>
      <c r="H29" s="211">
        <v>0.65239999999999998</v>
      </c>
      <c r="I29" s="211">
        <v>0.65239999999999998</v>
      </c>
      <c r="J29" s="211">
        <v>0.65239999999999998</v>
      </c>
      <c r="K29" s="211">
        <v>0.65239999999999998</v>
      </c>
      <c r="L29" s="211">
        <v>0.65239999999999998</v>
      </c>
      <c r="M29" s="211">
        <v>0.65239999999999998</v>
      </c>
      <c r="N29" s="211">
        <v>0.65239999999999998</v>
      </c>
      <c r="O29" s="211">
        <v>0.65239999999999998</v>
      </c>
      <c r="P29" s="211">
        <v>0.65239999999999998</v>
      </c>
      <c r="Q29" s="211">
        <v>0.65239999999999998</v>
      </c>
    </row>
    <row r="30" spans="1:26">
      <c r="A30" s="144">
        <f t="shared" si="3"/>
        <v>24</v>
      </c>
      <c r="B30" s="32" t="s">
        <v>219</v>
      </c>
      <c r="D30" s="420" t="e">
        <f>SUM(F30:Q30)</f>
        <v>#REF!</v>
      </c>
      <c r="E30" s="420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55" t="s">
        <v>248</v>
      </c>
      <c r="C31" s="455"/>
      <c r="D31" s="420">
        <f>SUM(F31:Q31)</f>
        <v>1014813</v>
      </c>
      <c r="E31" s="420"/>
      <c r="F31" s="212">
        <f>'WA Summary '!F30</f>
        <v>166826</v>
      </c>
      <c r="G31" s="212">
        <f>'WA Summary '!G30</f>
        <v>276446</v>
      </c>
      <c r="H31" s="212">
        <f>'WA Summary '!H30</f>
        <v>54137</v>
      </c>
      <c r="I31" s="212">
        <f>'WA Summary '!I30</f>
        <v>-41108</v>
      </c>
      <c r="J31" s="212">
        <f>'WA Summary '!J30</f>
        <v>276558</v>
      </c>
      <c r="K31" s="212">
        <f>'WA Summary '!K30</f>
        <v>82672</v>
      </c>
      <c r="L31" s="212">
        <f>'WA Summary '!L30</f>
        <v>114455</v>
      </c>
      <c r="M31" s="212">
        <f>'WA Summary '!M30</f>
        <v>-583396</v>
      </c>
      <c r="N31" s="212">
        <f>'WA Summary '!N30</f>
        <v>668223</v>
      </c>
      <c r="O31" s="170"/>
      <c r="P31" s="170"/>
      <c r="Q31" s="170"/>
    </row>
    <row r="32" spans="1:26">
      <c r="A32" s="169">
        <f t="shared" si="3"/>
        <v>26</v>
      </c>
      <c r="B32" s="418" t="s">
        <v>193</v>
      </c>
      <c r="C32" s="418"/>
      <c r="D32" s="421" t="e">
        <f>SUM(F32:Q32)</f>
        <v>#REF!</v>
      </c>
      <c r="E32" s="421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2">
        <f t="shared" si="3"/>
        <v>27</v>
      </c>
      <c r="B33" s="165" t="s">
        <v>282</v>
      </c>
      <c r="C33" s="165"/>
      <c r="D33" s="203"/>
      <c r="E33" s="203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37" t="s">
        <v>252</v>
      </c>
      <c r="B40" s="437"/>
      <c r="C40" s="437"/>
      <c r="D40" s="421" t="e">
        <f>SUM(F40:Q40)</f>
        <v>#REF!</v>
      </c>
      <c r="E40" s="421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52" t="s">
        <v>108</v>
      </c>
      <c r="B41" s="452"/>
      <c r="C41" s="452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2" t="s">
        <v>220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15.75">
      <c r="A2" s="440" t="s">
        <v>293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4" spans="1:11" ht="15.75">
      <c r="A4" s="213" t="s">
        <v>294</v>
      </c>
    </row>
    <row r="5" spans="1:11" ht="15.75">
      <c r="A5" s="213"/>
      <c r="B5" s="2">
        <v>1</v>
      </c>
      <c r="C5" s="2" t="s">
        <v>295</v>
      </c>
    </row>
    <row r="6" spans="1:11" ht="15.75">
      <c r="A6" s="213"/>
    </row>
    <row r="7" spans="1:11">
      <c r="B7" s="2">
        <v>2</v>
      </c>
      <c r="C7" s="2" t="s">
        <v>296</v>
      </c>
    </row>
    <row r="8" spans="1:11">
      <c r="D8" s="26" t="s">
        <v>297</v>
      </c>
    </row>
    <row r="9" spans="1:11">
      <c r="D9" s="26" t="s">
        <v>298</v>
      </c>
    </row>
    <row r="10" spans="1:11">
      <c r="D10" s="214" t="s">
        <v>299</v>
      </c>
    </row>
    <row r="11" spans="1:11">
      <c r="D11" s="26" t="s">
        <v>300</v>
      </c>
    </row>
    <row r="12" spans="1:11">
      <c r="D12" s="26" t="s">
        <v>301</v>
      </c>
    </row>
    <row r="13" spans="1:11">
      <c r="D13" s="26" t="s">
        <v>302</v>
      </c>
    </row>
    <row r="14" spans="1:11">
      <c r="D14" s="26" t="s">
        <v>303</v>
      </c>
    </row>
    <row r="16" spans="1:11">
      <c r="B16" s="2">
        <v>3</v>
      </c>
      <c r="C16" s="2" t="s">
        <v>304</v>
      </c>
    </row>
    <row r="17" spans="2:10">
      <c r="D17" s="26" t="s">
        <v>305</v>
      </c>
    </row>
    <row r="18" spans="2:10">
      <c r="D18" s="26" t="s">
        <v>306</v>
      </c>
    </row>
    <row r="19" spans="2:10">
      <c r="D19" s="26" t="s">
        <v>307</v>
      </c>
    </row>
    <row r="21" spans="2:10">
      <c r="B21" s="2">
        <v>4</v>
      </c>
      <c r="C21" s="2" t="s">
        <v>308</v>
      </c>
    </row>
    <row r="22" spans="2:10">
      <c r="D22" s="26" t="s">
        <v>309</v>
      </c>
    </row>
    <row r="23" spans="2:10">
      <c r="D23" s="26" t="s">
        <v>310</v>
      </c>
    </row>
    <row r="24" spans="2:10">
      <c r="D24" s="26" t="s">
        <v>311</v>
      </c>
    </row>
    <row r="25" spans="2:10">
      <c r="D25" s="26" t="s">
        <v>312</v>
      </c>
    </row>
    <row r="27" spans="2:10">
      <c r="B27" s="2">
        <v>5</v>
      </c>
      <c r="C27" s="2" t="s">
        <v>313</v>
      </c>
      <c r="D27" s="2"/>
    </row>
    <row r="28" spans="2:10">
      <c r="D28" s="26" t="s">
        <v>311</v>
      </c>
    </row>
    <row r="29" spans="2:10">
      <c r="D29" s="26" t="s">
        <v>312</v>
      </c>
    </row>
    <row r="31" spans="2:10">
      <c r="B31" s="2">
        <v>6</v>
      </c>
      <c r="C31" s="2" t="s">
        <v>314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315</v>
      </c>
      <c r="D32" s="2"/>
      <c r="E32" s="2"/>
      <c r="F32" s="2"/>
      <c r="G32" s="2"/>
      <c r="H32" s="2"/>
      <c r="I32" s="2"/>
      <c r="J32" s="2"/>
    </row>
    <row r="34" spans="1:11" ht="15.75">
      <c r="A34" s="215" t="s">
        <v>316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5.75">
      <c r="A35" s="215"/>
      <c r="B35" s="217">
        <v>1</v>
      </c>
      <c r="C35" s="2" t="s">
        <v>317</v>
      </c>
      <c r="D35" s="216"/>
      <c r="E35" s="216"/>
      <c r="F35" s="216"/>
      <c r="G35" s="216"/>
      <c r="H35" s="216"/>
      <c r="I35" s="216"/>
      <c r="J35" s="216"/>
      <c r="K35" s="216"/>
    </row>
    <row r="36" spans="1:11" ht="15.7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>
      <c r="A37" s="216"/>
      <c r="B37" s="217">
        <v>2</v>
      </c>
      <c r="C37" s="217" t="s">
        <v>296</v>
      </c>
      <c r="D37" s="216"/>
      <c r="E37" s="216"/>
      <c r="F37" s="216"/>
      <c r="G37" s="216"/>
      <c r="H37" s="216"/>
      <c r="I37" s="216"/>
      <c r="J37" s="216"/>
      <c r="K37" s="216"/>
    </row>
    <row r="38" spans="1:11">
      <c r="A38" s="216"/>
      <c r="B38" s="216"/>
      <c r="C38" s="216"/>
      <c r="D38" s="214" t="s">
        <v>297</v>
      </c>
      <c r="E38" s="216"/>
      <c r="F38" s="216"/>
      <c r="G38" s="216"/>
      <c r="H38" s="216"/>
      <c r="I38" s="216"/>
      <c r="J38" s="216"/>
      <c r="K38" s="216"/>
    </row>
    <row r="39" spans="1:11">
      <c r="A39" s="216"/>
      <c r="B39" s="216"/>
      <c r="C39" s="216"/>
      <c r="D39" s="214" t="s">
        <v>298</v>
      </c>
      <c r="E39" s="216"/>
      <c r="F39" s="216"/>
      <c r="G39" s="216"/>
      <c r="H39" s="216"/>
      <c r="I39" s="216"/>
      <c r="J39" s="216"/>
      <c r="K39" s="216"/>
    </row>
    <row r="40" spans="1:11">
      <c r="A40" s="216"/>
      <c r="B40" s="216"/>
      <c r="C40" s="216"/>
      <c r="D40" s="214" t="s">
        <v>299</v>
      </c>
      <c r="E40" s="216"/>
      <c r="F40" s="216"/>
      <c r="G40" s="216"/>
      <c r="H40" s="216"/>
      <c r="I40" s="216"/>
      <c r="J40" s="216"/>
      <c r="K40" s="216"/>
    </row>
    <row r="41" spans="1:11">
      <c r="A41" s="216"/>
      <c r="B41" s="216"/>
      <c r="C41" s="216"/>
      <c r="D41" s="214" t="s">
        <v>300</v>
      </c>
      <c r="E41" s="216"/>
      <c r="F41" s="216"/>
      <c r="G41" s="216"/>
      <c r="H41" s="216"/>
      <c r="I41" s="216"/>
      <c r="J41" s="216"/>
      <c r="K41" s="216"/>
    </row>
    <row r="42" spans="1:11">
      <c r="A42" s="216"/>
      <c r="B42" s="216"/>
      <c r="C42" s="216"/>
      <c r="D42" s="214" t="s">
        <v>318</v>
      </c>
      <c r="E42" s="216"/>
      <c r="F42" s="216"/>
      <c r="G42" s="216"/>
      <c r="H42" s="216"/>
      <c r="I42" s="216"/>
      <c r="J42" s="216"/>
      <c r="K42" s="216"/>
    </row>
    <row r="43" spans="1:11">
      <c r="A43" s="216"/>
      <c r="B43" s="216"/>
      <c r="C43" s="216"/>
      <c r="D43" s="26" t="s">
        <v>302</v>
      </c>
      <c r="E43" s="216"/>
      <c r="F43" s="216"/>
      <c r="G43" s="216"/>
      <c r="H43" s="216"/>
      <c r="I43" s="216"/>
      <c r="J43" s="216"/>
      <c r="K43" s="216"/>
    </row>
    <row r="44" spans="1:11">
      <c r="A44" s="216"/>
      <c r="B44" s="216"/>
      <c r="C44" s="216"/>
      <c r="D44" s="214" t="s">
        <v>303</v>
      </c>
      <c r="E44" s="216"/>
      <c r="F44" s="216"/>
      <c r="G44" s="216"/>
      <c r="H44" s="216"/>
      <c r="I44" s="216"/>
      <c r="J44" s="216"/>
      <c r="K44" s="216"/>
    </row>
    <row r="45" spans="1:1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>
      <c r="A46" s="216"/>
      <c r="B46" s="217">
        <v>3</v>
      </c>
      <c r="C46" s="217" t="s">
        <v>308</v>
      </c>
      <c r="D46" s="216"/>
      <c r="E46" s="216"/>
      <c r="F46" s="216"/>
      <c r="G46" s="216"/>
      <c r="H46" s="216"/>
      <c r="I46" s="216"/>
      <c r="J46" s="216"/>
      <c r="K46" s="216"/>
    </row>
    <row r="47" spans="1:11">
      <c r="A47" s="216"/>
      <c r="B47" s="216"/>
      <c r="C47" s="216"/>
      <c r="D47" s="214" t="s">
        <v>309</v>
      </c>
      <c r="E47" s="216"/>
      <c r="F47" s="216"/>
      <c r="G47" s="216"/>
      <c r="H47" s="216"/>
      <c r="I47" s="216"/>
      <c r="J47" s="216"/>
      <c r="K47" s="216"/>
    </row>
    <row r="48" spans="1:11">
      <c r="A48" s="216"/>
      <c r="B48" s="216"/>
      <c r="C48" s="216"/>
      <c r="D48" s="214" t="s">
        <v>310</v>
      </c>
      <c r="E48" s="216"/>
      <c r="F48" s="216"/>
      <c r="G48" s="216"/>
      <c r="H48" s="216"/>
      <c r="I48" s="216"/>
      <c r="J48" s="216"/>
      <c r="K48" s="216"/>
    </row>
    <row r="49" spans="1:11">
      <c r="A49" s="216"/>
      <c r="B49" s="216"/>
      <c r="C49" s="216"/>
      <c r="D49" s="214" t="s">
        <v>311</v>
      </c>
      <c r="E49" s="216"/>
      <c r="F49" s="216"/>
      <c r="G49" s="216"/>
      <c r="H49" s="216"/>
      <c r="I49" s="216"/>
      <c r="J49" s="216"/>
      <c r="K49" s="216"/>
    </row>
    <row r="50" spans="1:11">
      <c r="A50" s="216"/>
      <c r="B50" s="216"/>
      <c r="C50" s="216"/>
      <c r="D50" s="214" t="s">
        <v>312</v>
      </c>
      <c r="E50" s="216"/>
      <c r="F50" s="216"/>
      <c r="G50" s="216"/>
      <c r="H50" s="216"/>
      <c r="I50" s="216"/>
      <c r="J50" s="216"/>
      <c r="K50" s="216"/>
    </row>
    <row r="51" spans="1:1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>
      <c r="A52" s="216"/>
      <c r="B52" s="217">
        <v>4</v>
      </c>
      <c r="C52" s="217" t="s">
        <v>313</v>
      </c>
      <c r="D52" s="217"/>
      <c r="E52" s="216"/>
      <c r="F52" s="216"/>
      <c r="G52" s="216"/>
      <c r="H52" s="216"/>
      <c r="I52" s="216"/>
      <c r="J52" s="216"/>
      <c r="K52" s="216"/>
    </row>
    <row r="53" spans="1:11">
      <c r="A53" s="216"/>
      <c r="B53" s="216"/>
      <c r="C53" s="216"/>
      <c r="D53" s="214" t="s">
        <v>311</v>
      </c>
      <c r="E53" s="216"/>
      <c r="F53" s="216"/>
      <c r="G53" s="216"/>
      <c r="H53" s="216"/>
      <c r="I53" s="216"/>
      <c r="J53" s="216"/>
      <c r="K53" s="216"/>
    </row>
    <row r="54" spans="1:11">
      <c r="A54" s="216"/>
      <c r="B54" s="216"/>
      <c r="C54" s="216"/>
      <c r="D54" s="214" t="s">
        <v>312</v>
      </c>
      <c r="E54" s="216"/>
      <c r="F54" s="216"/>
      <c r="G54" s="216"/>
      <c r="H54" s="216"/>
      <c r="I54" s="216"/>
      <c r="J54" s="216"/>
      <c r="K54" s="216"/>
    </row>
    <row r="55" spans="1:1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1:11">
      <c r="A56" s="216"/>
      <c r="B56" s="217">
        <v>5</v>
      </c>
      <c r="C56" s="217" t="s">
        <v>314</v>
      </c>
      <c r="D56" s="217"/>
      <c r="E56" s="217"/>
      <c r="F56" s="217"/>
      <c r="G56" s="217"/>
      <c r="H56" s="217"/>
      <c r="I56" s="217"/>
      <c r="J56" s="217"/>
      <c r="K56" s="216"/>
    </row>
    <row r="57" spans="1:11">
      <c r="A57" s="216"/>
      <c r="B57" s="217"/>
      <c r="C57" s="217" t="s">
        <v>315</v>
      </c>
      <c r="D57" s="217"/>
      <c r="E57" s="217"/>
      <c r="F57" s="217"/>
      <c r="G57" s="217"/>
      <c r="H57" s="217"/>
      <c r="I57" s="217"/>
      <c r="J57" s="217"/>
      <c r="K57" s="216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A53FEA-385D-4E4A-A2AD-CAC9EF0F67F8}"/>
</file>

<file path=customXml/itemProps2.xml><?xml version="1.0" encoding="utf-8"?>
<ds:datastoreItem xmlns:ds="http://schemas.openxmlformats.org/officeDocument/2006/customXml" ds:itemID="{0324A369-9B7B-406D-A561-4F5E573C5CB5}"/>
</file>

<file path=customXml/itemProps3.xml><?xml version="1.0" encoding="utf-8"?>
<ds:datastoreItem xmlns:ds="http://schemas.openxmlformats.org/officeDocument/2006/customXml" ds:itemID="{6C359F43-042A-4A1D-AA9E-6747729ADD41}"/>
</file>

<file path=customXml/itemProps4.xml><?xml version="1.0" encoding="utf-8"?>
<ds:datastoreItem xmlns:ds="http://schemas.openxmlformats.org/officeDocument/2006/customXml" ds:itemID="{615ACC03-1FC7-4104-9564-914210E4E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2018-10-03T22:02:36Z</cp:lastPrinted>
  <dcterms:created xsi:type="dcterms:W3CDTF">2002-02-05T19:51:48Z</dcterms:created>
  <dcterms:modified xsi:type="dcterms:W3CDTF">2018-11-12T18:07:58Z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