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8\Final Report\10.2018\"/>
    </mc:Choice>
  </mc:AlternateContent>
  <bookViews>
    <workbookView xWindow="-15" yWindow="4530" windowWidth="12120" windowHeight="3300" tabRatio="796" firstSheet="3" activeTab="4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L46" i="27" l="1"/>
  <c r="L45" i="27"/>
  <c r="L38" i="27" l="1"/>
  <c r="L80" i="27" l="1"/>
  <c r="L54" i="27"/>
  <c r="L79" i="27" l="1"/>
  <c r="L53" i="27"/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11" i="24"/>
  <c r="L13" i="24"/>
  <c r="L15" i="24"/>
  <c r="L19" i="24"/>
  <c r="N12" i="24" l="1"/>
  <c r="D22" i="10"/>
  <c r="D21" i="10"/>
  <c r="D20" i="10"/>
  <c r="D19" i="10"/>
  <c r="D18" i="10"/>
  <c r="D17" i="10"/>
  <c r="D16" i="10"/>
  <c r="D15" i="10"/>
  <c r="J9" i="24"/>
  <c r="I13" i="24"/>
  <c r="I15" i="24" s="1"/>
  <c r="I19" i="24" s="1"/>
  <c r="I20" i="24" s="1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P69" i="6"/>
  <c r="O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N70" i="6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M70" i="6"/>
  <c r="I70" i="6"/>
  <c r="E70" i="6"/>
  <c r="D60" i="6"/>
  <c r="R60" i="6"/>
  <c r="R70" i="6" s="1"/>
  <c r="D59" i="6"/>
  <c r="R59" i="6"/>
  <c r="M6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23" i="6"/>
  <c r="N135" i="6"/>
  <c r="N137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5" i="7" l="1"/>
  <c r="C6" i="7"/>
  <c r="C11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C7" i="7" l="1"/>
  <c r="K15" i="21"/>
  <c r="O15" i="2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BD4" i="7"/>
  <c r="BB16" i="7"/>
  <c r="D15" i="21" l="1"/>
  <c r="D26" i="21" s="1"/>
  <c r="R81" i="6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16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H16" i="7" l="1"/>
  <c r="F18" i="7"/>
  <c r="B16" i="7"/>
  <c r="D16" i="7" s="1"/>
  <c r="D4" i="7"/>
  <c r="D24" i="10"/>
  <c r="F26" i="10"/>
  <c r="F28" i="10" l="1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H33" i="10"/>
  <c r="G34" i="10"/>
  <c r="G35" i="10"/>
  <c r="G36" i="10"/>
  <c r="G38" i="10"/>
  <c r="G39" i="10" s="1"/>
  <c r="G40" i="10" s="1"/>
  <c r="G41" i="10"/>
  <c r="I33" i="10" l="1"/>
  <c r="H35" i="10"/>
  <c r="H34" i="10"/>
  <c r="H36" i="10"/>
  <c r="H38" i="10"/>
  <c r="H39" i="10" s="1"/>
  <c r="H40" i="10" s="1"/>
  <c r="H41" i="10"/>
  <c r="G37" i="10"/>
  <c r="I34" i="10"/>
  <c r="I36" i="10"/>
  <c r="I35" i="10"/>
  <c r="I38" i="10"/>
  <c r="I39" i="10" s="1"/>
  <c r="I40" i="10" s="1"/>
  <c r="I41" i="10"/>
  <c r="J33" i="10"/>
  <c r="I37" i="10" l="1"/>
  <c r="H37" i="10"/>
  <c r="J34" i="10"/>
  <c r="J35" i="10"/>
  <c r="J36" i="10"/>
  <c r="J38" i="10"/>
  <c r="J39" i="10" s="1"/>
  <c r="J40" i="10" s="1"/>
  <c r="J41" i="10"/>
  <c r="K33" i="10"/>
  <c r="L33" i="10" s="1"/>
  <c r="L34" i="10" l="1"/>
  <c r="L36" i="10"/>
  <c r="L35" i="10"/>
  <c r="L38" i="10"/>
  <c r="L41" i="10"/>
  <c r="M33" i="10"/>
  <c r="J37" i="10"/>
  <c r="K35" i="10"/>
  <c r="K36" i="10"/>
  <c r="K34" i="10"/>
  <c r="K37" i="10" s="1"/>
  <c r="K38" i="10"/>
  <c r="K39" i="10" s="1"/>
  <c r="K40" i="10" s="1"/>
  <c r="K41" i="10"/>
  <c r="M35" i="10" l="1"/>
  <c r="M36" i="10"/>
  <c r="M34" i="10"/>
  <c r="M37" i="10" s="1"/>
  <c r="M38" i="10"/>
  <c r="M39" i="10" s="1"/>
  <c r="M40" i="10" s="1"/>
  <c r="M41" i="10"/>
  <c r="N33" i="10"/>
  <c r="L39" i="10"/>
  <c r="L40" i="10" s="1"/>
  <c r="L37" i="10"/>
  <c r="N34" i="10" l="1"/>
  <c r="N36" i="10"/>
  <c r="N35" i="10"/>
  <c r="N37" i="10" s="1"/>
  <c r="N38" i="10"/>
  <c r="N39" i="10" s="1"/>
  <c r="N40" i="10" s="1"/>
  <c r="N41" i="10"/>
  <c r="O33" i="10"/>
  <c r="P33" i="10" l="1"/>
  <c r="Q33" i="10" s="1"/>
  <c r="O35" i="10"/>
  <c r="O36" i="10"/>
  <c r="O34" i="10"/>
  <c r="O37" i="10" s="1"/>
  <c r="O38" i="10"/>
  <c r="O39" i="10" s="1"/>
  <c r="O40" i="10" s="1"/>
  <c r="D40" i="10" s="1"/>
  <c r="O41" i="10"/>
  <c r="Q35" i="10" l="1"/>
  <c r="Q34" i="10"/>
  <c r="Q37" i="10" s="1"/>
  <c r="Q38" i="10"/>
  <c r="Q36" i="10"/>
  <c r="Q41" i="10"/>
  <c r="P34" i="10"/>
  <c r="P37" i="10" s="1"/>
  <c r="P38" i="10"/>
  <c r="P39" i="10" s="1"/>
  <c r="P40" i="10" s="1"/>
  <c r="P36" i="10"/>
  <c r="P35" i="10"/>
  <c r="P41" i="10"/>
  <c r="Q39" i="10" l="1"/>
  <c r="Q40" i="10" s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<sst xmlns="http://schemas.openxmlformats.org/spreadsheetml/2006/main" count="728" uniqueCount="399">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</sst>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3" fontId="39" fillId="13" borderId="0" xfId="3" applyFont="1" applyFill="1"/>
    <xf numFmtId="43" fontId="1" fillId="0" borderId="0" xfId="3" applyFont="1" applyFill="1"/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5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42" t="s">
        <v>10</v>
      </c>
      <c r="E5" s="442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43">
        <f>'WA Summary '!D6:E6</f>
        <v>110845564</v>
      </c>
      <c r="E6" s="443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9527787</v>
      </c>
      <c r="O6" s="189">
        <f>'WA Summary '!O6</f>
        <v>6852563</v>
      </c>
      <c r="P6" s="189">
        <f>'WA Summary '!P6</f>
        <v>31525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44">
        <f>'WA Summary '!D7:E7</f>
        <v>-76412200</v>
      </c>
      <c r="E7" s="444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-4747226</v>
      </c>
      <c r="O7" s="189">
        <f>'WA Summary '!O7</f>
        <v>-412907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1" t="e">
        <f>'WA Summary '!#REF!</f>
        <v>#REF!</v>
      </c>
      <c r="E8" s="441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1">
        <f>'WA Summary '!D8:E8</f>
        <v>20779350</v>
      </c>
      <c r="E9" s="441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2657404</v>
      </c>
      <c r="O9" s="189">
        <f>'WA Summary '!O8</f>
        <v>3019827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1">
        <f>'WA Summary '!D9:E9</f>
        <v>51615439</v>
      </c>
      <c r="E10" s="441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5836996</v>
      </c>
      <c r="O10" s="189">
        <f>'WA Summary '!O9</f>
        <v>4507069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1"/>
      <c r="E11" s="441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24">
        <f>'WA Summary '!D11:E11</f>
        <v>14656625</v>
      </c>
      <c r="E12" s="424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1507466</v>
      </c>
      <c r="O12" s="189">
        <f>'WA Summary '!O11</f>
        <v>1419923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24">
        <f>'WA Summary '!D12:E12</f>
        <v>531127</v>
      </c>
      <c r="E13" s="424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67390</v>
      </c>
      <c r="O13" s="189">
        <f>'WA Summary '!O12</f>
        <v>40351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6" t="e">
        <f>'WA Summary '!#REF!</f>
        <v>#REF!</v>
      </c>
      <c r="E14" s="446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7" t="e">
        <f>SUM(D6:E14)</f>
        <v>#REF!</v>
      </c>
      <c r="E15" s="447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8" t="str">
        <f>'WA Summary '!D14:E14</f>
        <v>Total through October</v>
      </c>
      <c r="E16" s="448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49">
        <f>'WA Summary '!D15:E15</f>
        <v>89328934</v>
      </c>
      <c r="E17" s="449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5">
        <f>'WA Summary '!D16:E16</f>
        <v>-53947812</v>
      </c>
      <c r="E18" s="445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5" t="e">
        <f>'WA Summary '!#REF!</f>
        <v>#REF!</v>
      </c>
      <c r="E19" s="445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5">
        <f>'WA Summary '!D17:E17</f>
        <v>22623076</v>
      </c>
      <c r="E20" s="445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5">
        <f>'WA Summary '!D18:E18</f>
        <v>57454937</v>
      </c>
      <c r="E21" s="445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5"/>
      <c r="E22" s="445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5">
        <f>'WA Summary '!D20:E20</f>
        <v>14481959</v>
      </c>
      <c r="E23" s="445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50">
        <f>'WA Summary '!D21:E21</f>
        <v>435500</v>
      </c>
      <c r="E24" s="450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7" t="e">
        <f>SUM(D17:E24)</f>
        <v>#REF!</v>
      </c>
      <c r="E25" s="447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51" t="e">
        <f>D15-D25</f>
        <v>#REF!</v>
      </c>
      <c r="E26" s="451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53">
        <f>SUM(F27:Q27)</f>
        <v>-11867588</v>
      </c>
      <c r="E27" s="453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>
        <f>'WA Monthly'!M135</f>
        <v>-1264473</v>
      </c>
      <c r="O27" s="188">
        <f>'WA Monthly'!N135</f>
        <v>-1560414</v>
      </c>
      <c r="P27" s="188">
        <f>'WA Monthly'!O135</f>
        <v>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54" t="e">
        <f>D26+D27</f>
        <v>#REF!</v>
      </c>
      <c r="E28" s="454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0" t="e">
        <f>SUM(F30:Q30)</f>
        <v>#REF!</v>
      </c>
      <c r="E30" s="420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55" t="s">
        <v>248</v>
      </c>
      <c r="C31" s="455"/>
      <c r="D31" s="420">
        <f>SUM(F31:Q31)</f>
        <v>1014813</v>
      </c>
      <c r="E31" s="420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>
        <f>'WA Summary '!N30</f>
        <v>668223</v>
      </c>
      <c r="O31" s="170"/>
      <c r="P31" s="170"/>
      <c r="Q31" s="170"/>
    </row>
    <row r="32" spans="1:26">
      <c r="A32" s="169">
        <f t="shared" si="3"/>
        <v>26</v>
      </c>
      <c r="B32" s="418" t="s">
        <v>193</v>
      </c>
      <c r="C32" s="418"/>
      <c r="D32" s="421" t="e">
        <f>SUM(F32:Q32)</f>
        <v>#REF!</v>
      </c>
      <c r="E32" s="421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7" t="s">
        <v>252</v>
      </c>
      <c r="B40" s="437"/>
      <c r="C40" s="437"/>
      <c r="D40" s="421" t="e">
        <f>SUM(F40:Q40)</f>
        <v>#REF!</v>
      </c>
      <c r="E40" s="421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52" t="s">
        <v>108</v>
      </c>
      <c r="B41" s="452"/>
      <c r="C41" s="452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2" t="s">
        <v>220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.75">
      <c r="A2" s="440" t="s">
        <v>293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9527787</v>
      </c>
      <c r="AX4" s="10">
        <f>'WA Summary '!N15</f>
        <v>7448796</v>
      </c>
      <c r="AY4" s="10">
        <f t="shared" ref="AY4:AY12" si="7">AW4-AX4</f>
        <v>2078991</v>
      </c>
      <c r="BB4" s="10">
        <f>'WA Summary '!O6</f>
        <v>6852563</v>
      </c>
      <c r="BC4" s="10">
        <f>'WA Summary '!O15</f>
        <v>7999787</v>
      </c>
      <c r="BD4" s="10">
        <f t="shared" ref="BD4:BD12" si="8">BB4-BC4</f>
        <v>-1147224</v>
      </c>
      <c r="BG4" s="74"/>
      <c r="BH4" s="10">
        <f>'WA Summary '!P6</f>
        <v>31525</v>
      </c>
      <c r="BI4" s="10">
        <f>'WA Summary '!P15</f>
        <v>11642227</v>
      </c>
      <c r="BJ4" s="10">
        <f t="shared" ref="BJ4:BJ12" si="9">BH4-BI4</f>
        <v>-11610702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2657404</v>
      </c>
      <c r="AX5" s="10">
        <f>'WA Summary '!N17</f>
        <v>2578207</v>
      </c>
      <c r="AY5" s="10">
        <f t="shared" si="7"/>
        <v>79197</v>
      </c>
      <c r="BB5" s="10">
        <f>'WA Summary '!O8</f>
        <v>3019827</v>
      </c>
      <c r="BC5" s="10">
        <f>'WA Summary '!O17</f>
        <v>2592987</v>
      </c>
      <c r="BD5" s="10">
        <f t="shared" si="8"/>
        <v>426840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5836996</v>
      </c>
      <c r="AX6" s="10">
        <f>'WA Summary '!N18</f>
        <v>6493558</v>
      </c>
      <c r="AY6" s="10">
        <f t="shared" si="7"/>
        <v>-656562</v>
      </c>
      <c r="BB6" s="10">
        <f>'WA Summary '!O9</f>
        <v>4507069</v>
      </c>
      <c r="BC6" s="10">
        <f>'WA Summary '!O18</f>
        <v>6103470</v>
      </c>
      <c r="BD6" s="10">
        <f t="shared" si="8"/>
        <v>-1596401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-4747226</v>
      </c>
      <c r="AX7" s="10">
        <f>'WA Summary '!N16</f>
        <v>-4016772</v>
      </c>
      <c r="AY7" s="10">
        <f t="shared" si="7"/>
        <v>-730454</v>
      </c>
      <c r="BB7" s="10">
        <f>'WA Summary '!O7</f>
        <v>-412907</v>
      </c>
      <c r="BC7" s="10">
        <f>'WA Summary '!O16</f>
        <v>-3304259</v>
      </c>
      <c r="BD7" s="10">
        <f t="shared" si="8"/>
        <v>2891352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1507466</v>
      </c>
      <c r="AX8" s="10">
        <f>'WA Summary '!N20</f>
        <v>1567441</v>
      </c>
      <c r="AY8" s="10">
        <f t="shared" si="7"/>
        <v>-59975</v>
      </c>
      <c r="BB8" s="10">
        <f>'WA Summary '!O11</f>
        <v>1419923</v>
      </c>
      <c r="BC8" s="10">
        <f>'WA Summary '!O20</f>
        <v>1406861</v>
      </c>
      <c r="BD8" s="10">
        <f t="shared" si="8"/>
        <v>13062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-1215513</v>
      </c>
      <c r="AX9" s="10">
        <f>'WA Summary '!N19</f>
        <v>-1372213</v>
      </c>
      <c r="AY9" s="10">
        <f t="shared" si="7"/>
        <v>156700</v>
      </c>
      <c r="BB9" s="10">
        <f>'WA Summary '!O10</f>
        <v>-1310638</v>
      </c>
      <c r="BC9" s="10">
        <f>'WA Summary '!O19</f>
        <v>-1319316</v>
      </c>
      <c r="BD9" s="10">
        <f t="shared" si="8"/>
        <v>8678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>
        <f>'WA Summary '!N25</f>
        <v>-1264473</v>
      </c>
      <c r="AX10" s="10"/>
      <c r="AY10" s="10">
        <f t="shared" si="7"/>
        <v>-1264473</v>
      </c>
      <c r="BB10" s="10">
        <f>'WA Summary '!O25</f>
        <v>-1560414</v>
      </c>
      <c r="BC10" s="10"/>
      <c r="BD10" s="10">
        <f t="shared" si="8"/>
        <v>-1560414</v>
      </c>
      <c r="BG10" s="74"/>
      <c r="BH10" s="10">
        <f>'WA Summary '!P25</f>
        <v>0</v>
      </c>
      <c r="BI10" s="10"/>
      <c r="BJ10" s="10">
        <f t="shared" si="9"/>
        <v>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67390</v>
      </c>
      <c r="AX11" s="11">
        <f>'WA Summary '!N21</f>
        <v>34250</v>
      </c>
      <c r="AY11" s="10">
        <f t="shared" si="7"/>
        <v>33140</v>
      </c>
      <c r="BB11" s="11">
        <f>'WA Summary '!O12</f>
        <v>40351</v>
      </c>
      <c r="BC11" s="11">
        <f>'WA Summary '!O21</f>
        <v>34250</v>
      </c>
      <c r="BD11" s="10">
        <f t="shared" si="8"/>
        <v>6101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>
        <f>'WA Summary '!N30</f>
        <v>668223</v>
      </c>
      <c r="AX19" s="74"/>
      <c r="AY19" s="11">
        <f>AW19-AX19</f>
        <v>668223</v>
      </c>
      <c r="BB19" s="74">
        <f>'WA Summary '!O30</f>
        <v>-48064</v>
      </c>
      <c r="BC19" s="74"/>
      <c r="BD19" s="11">
        <f>BB19-BC19</f>
        <v>-48064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O27" sqref="O27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>
        <v>1216938</v>
      </c>
      <c r="L19" s="270">
        <v>1216938</v>
      </c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>
        <v>50510</v>
      </c>
      <c r="L20" s="301">
        <v>66662.399999999994</v>
      </c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>
        <v>165218</v>
      </c>
      <c r="L21" s="270">
        <v>165218</v>
      </c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>
        <v>618453.74</v>
      </c>
      <c r="L22" s="270">
        <v>618453.74</v>
      </c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>
        <v>647.57000000000005</v>
      </c>
      <c r="L24" s="270">
        <v>678.75</v>
      </c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47083.97</v>
      </c>
      <c r="L25" s="277">
        <f t="shared" si="1"/>
        <v>48926.95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>
        <v>0</v>
      </c>
      <c r="L26" s="270">
        <v>0</v>
      </c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>
        <v>15376.48</v>
      </c>
      <c r="L27" s="270">
        <v>16758.3</v>
      </c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>
        <v>11.34</v>
      </c>
      <c r="L29" s="270">
        <v>9143.19</v>
      </c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>
        <v>2483.13</v>
      </c>
      <c r="L30" s="270">
        <v>375.03</v>
      </c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>
        <v>22061.94</v>
      </c>
      <c r="L31" s="270">
        <v>17411.53</v>
      </c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>
        <v>7021.77</v>
      </c>
      <c r="L32" s="270">
        <v>5238.8999999999996</v>
      </c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129.31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>
        <v>38427.199999999997</v>
      </c>
      <c r="L34" s="270">
        <v>196020.84</v>
      </c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>
        <v>7398.64</v>
      </c>
      <c r="L35" s="270">
        <v>98204.52</v>
      </c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>
        <v>588004.9</v>
      </c>
      <c r="L36" s="270">
        <v>590209</v>
      </c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1109.4100000000001</v>
      </c>
      <c r="L37" s="270">
        <v>951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>
        <f>2352121.14+79.14+73159.66</f>
        <v>2425359.94</v>
      </c>
      <c r="L38" s="302">
        <f>2271936.53+80.64+38577.34</f>
        <v>2310594.5099999998</v>
      </c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>
        <v>1187101.6000000001</v>
      </c>
      <c r="L39" s="270">
        <v>1148264.3999999999</v>
      </c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>
        <v>122394.78</v>
      </c>
      <c r="L44" s="270">
        <v>152030.76</v>
      </c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>
        <f>5580+2801.93+2801.93+646.5</f>
        <v>11830.36</v>
      </c>
      <c r="L45" s="276">
        <f>803.25+5766+2956.16+2956.16</f>
        <v>12481.57</v>
      </c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>
        <f>8671.84+8671.84+21583.24+2890.01+2890.01+5400</f>
        <v>50106.94</v>
      </c>
      <c r="L46" s="276">
        <f>9349.99+9349.99+23271.08+6066.56+6066.56+5580</f>
        <v>59684.18</v>
      </c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>
        <v>57315</v>
      </c>
      <c r="L49" s="22">
        <v>53085</v>
      </c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>
        <v>82493</v>
      </c>
      <c r="L50" s="22">
        <v>96213</v>
      </c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>
        <f>452187273/1000</f>
        <v>452187</v>
      </c>
      <c r="L53" s="22">
        <f>409388557/1000</f>
        <v>409389</v>
      </c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>
        <f>237418718/1000</f>
        <v>237419</v>
      </c>
      <c r="L54" s="22">
        <f>267642789/1000</f>
        <v>267643</v>
      </c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>
        <f>256666987/1000</f>
        <v>256667</v>
      </c>
      <c r="L79" s="22">
        <f>227695178/1000</f>
        <v>227695</v>
      </c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>
        <f>143322824/1000</f>
        <v>143323</v>
      </c>
      <c r="L80" s="22">
        <f>148700840/1000</f>
        <v>148701</v>
      </c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28" t="s">
        <v>220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9" ht="15.75">
      <c r="A2" s="429" t="s">
        <v>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30" t="s">
        <v>10</v>
      </c>
      <c r="E5" s="430"/>
      <c r="F5" s="304">
        <v>43131</v>
      </c>
      <c r="G5" s="304">
        <f>EOMONTH(F5,1)</f>
        <v>43159</v>
      </c>
      <c r="H5" s="304">
        <f t="shared" ref="H5:Q5" si="0">EOMONTH(G5,1)</f>
        <v>43190</v>
      </c>
      <c r="I5" s="304">
        <f t="shared" si="0"/>
        <v>43220</v>
      </c>
      <c r="J5" s="304">
        <f t="shared" si="0"/>
        <v>43251</v>
      </c>
      <c r="K5" s="304">
        <f t="shared" si="0"/>
        <v>43281</v>
      </c>
      <c r="L5" s="304">
        <f t="shared" si="0"/>
        <v>43312</v>
      </c>
      <c r="M5" s="304">
        <f t="shared" si="0"/>
        <v>43343</v>
      </c>
      <c r="N5" s="304">
        <f t="shared" si="0"/>
        <v>43373</v>
      </c>
      <c r="O5" s="304">
        <f t="shared" si="0"/>
        <v>43404</v>
      </c>
      <c r="P5" s="304">
        <f t="shared" si="0"/>
        <v>43434</v>
      </c>
      <c r="Q5" s="304">
        <f t="shared" si="0"/>
        <v>43465</v>
      </c>
    </row>
    <row r="6" spans="1:19" ht="15.95" customHeight="1">
      <c r="A6" s="146">
        <v>1</v>
      </c>
      <c r="B6" s="51" t="s">
        <v>3</v>
      </c>
      <c r="D6" s="431">
        <f>SUM(F6:Q6)</f>
        <v>110845564</v>
      </c>
      <c r="E6" s="431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9527787</v>
      </c>
      <c r="O6" s="160">
        <f>'WA Monthly'!N23</f>
        <v>6852563</v>
      </c>
      <c r="P6" s="160">
        <f>'WA Monthly'!O23</f>
        <v>31525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25">
        <f t="shared" ref="D7:D13" si="2">SUM(F7:Q7)</f>
        <v>-76412200</v>
      </c>
      <c r="E7" s="425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-4747226</v>
      </c>
      <c r="O7" s="160">
        <f>'WA Monthly'!N45</f>
        <v>-412907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24">
        <f t="shared" si="2"/>
        <v>20779350</v>
      </c>
      <c r="E8" s="424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2657404</v>
      </c>
      <c r="O8" s="160">
        <f>'WA Monthly'!N62</f>
        <v>3019827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24">
        <f t="shared" si="2"/>
        <v>51615439</v>
      </c>
      <c r="E9" s="424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5836996</v>
      </c>
      <c r="O9" s="160">
        <f>'WA Monthly'!N79</f>
        <v>4507069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25">
        <f t="shared" si="2"/>
        <v>-14346279</v>
      </c>
      <c r="E10" s="425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-1215513</v>
      </c>
      <c r="O10" s="160">
        <f>'WA Monthly'!N92</f>
        <v>-1310638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24">
        <f t="shared" si="2"/>
        <v>14656625</v>
      </c>
      <c r="E11" s="424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1507466</v>
      </c>
      <c r="O11" s="160">
        <f>'WA Monthly'!N98</f>
        <v>1419923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24">
        <f t="shared" si="2"/>
        <v>531127</v>
      </c>
      <c r="E12" s="424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67390</v>
      </c>
      <c r="O12" s="160">
        <f>'WA Monthly'!N105</f>
        <v>40351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5" t="s">
        <v>11</v>
      </c>
      <c r="C13" s="305"/>
      <c r="D13" s="417">
        <f t="shared" si="2"/>
        <v>107669626</v>
      </c>
      <c r="E13" s="417"/>
      <c r="F13" s="306">
        <f t="shared" ref="F13:Q13" si="3">SUM(F6:F12)</f>
        <v>12834846</v>
      </c>
      <c r="G13" s="306">
        <f t="shared" si="3"/>
        <v>11844305</v>
      </c>
      <c r="H13" s="306">
        <f t="shared" si="3"/>
        <v>10713656</v>
      </c>
      <c r="I13" s="306">
        <f t="shared" si="3"/>
        <v>6782226</v>
      </c>
      <c r="J13" s="306">
        <f t="shared" si="3"/>
        <v>3548365</v>
      </c>
      <c r="K13" s="306">
        <f t="shared" si="3"/>
        <v>4423948</v>
      </c>
      <c r="L13" s="306">
        <f t="shared" si="3"/>
        <v>13084591</v>
      </c>
      <c r="M13" s="306">
        <f t="shared" si="3"/>
        <v>16623099</v>
      </c>
      <c r="N13" s="306">
        <f t="shared" si="3"/>
        <v>13634304</v>
      </c>
      <c r="O13" s="306">
        <f t="shared" si="3"/>
        <v>14116188</v>
      </c>
      <c r="P13" s="306">
        <f t="shared" si="3"/>
        <v>31525</v>
      </c>
      <c r="Q13" s="306">
        <f t="shared" si="3"/>
        <v>32573</v>
      </c>
    </row>
    <row r="14" spans="1:19" ht="37.5" customHeight="1">
      <c r="B14" s="266" t="s">
        <v>13</v>
      </c>
      <c r="C14" s="248"/>
      <c r="D14" s="426" t="s">
        <v>398</v>
      </c>
      <c r="E14" s="427"/>
      <c r="F14" s="307">
        <f>F5</f>
        <v>43131</v>
      </c>
      <c r="G14" s="307">
        <f>G5</f>
        <v>43159</v>
      </c>
      <c r="H14" s="307">
        <f t="shared" ref="H14:Q14" si="4">H5</f>
        <v>43190</v>
      </c>
      <c r="I14" s="307">
        <f t="shared" si="4"/>
        <v>43220</v>
      </c>
      <c r="J14" s="307">
        <f t="shared" si="4"/>
        <v>43251</v>
      </c>
      <c r="K14" s="307">
        <f t="shared" si="4"/>
        <v>43281</v>
      </c>
      <c r="L14" s="307">
        <f t="shared" si="4"/>
        <v>43312</v>
      </c>
      <c r="M14" s="307">
        <f t="shared" si="4"/>
        <v>43343</v>
      </c>
      <c r="N14" s="307">
        <f t="shared" si="4"/>
        <v>43373</v>
      </c>
      <c r="O14" s="307">
        <f t="shared" si="4"/>
        <v>43404</v>
      </c>
      <c r="P14" s="307">
        <f t="shared" si="4"/>
        <v>43434</v>
      </c>
      <c r="Q14" s="307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23">
        <f t="shared" ref="D15:D22" si="5">SUM(F15:O15)</f>
        <v>89328934</v>
      </c>
      <c r="E15" s="423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23">
        <f t="shared" si="5"/>
        <v>-53947812</v>
      </c>
      <c r="E16" s="423"/>
      <c r="F16" s="308">
        <f>'Input Tab'!C6</f>
        <v>-7154528</v>
      </c>
      <c r="G16" s="308">
        <f>'Input Tab'!D6</f>
        <v>-6331583</v>
      </c>
      <c r="H16" s="308">
        <f>'Input Tab'!E6</f>
        <v>-7373144</v>
      </c>
      <c r="I16" s="308">
        <f>'Input Tab'!F6</f>
        <v>-9451450</v>
      </c>
      <c r="J16" s="308">
        <f>'Input Tab'!G6</f>
        <v>-3992970</v>
      </c>
      <c r="K16" s="308">
        <f>'Input Tab'!H6</f>
        <v>-3782256</v>
      </c>
      <c r="L16" s="308">
        <f>'Input Tab'!I6</f>
        <v>-5325599</v>
      </c>
      <c r="M16" s="308">
        <f>'Input Tab'!J6</f>
        <v>-3215251</v>
      </c>
      <c r="N16" s="308">
        <f>'Input Tab'!K6</f>
        <v>-4016772</v>
      </c>
      <c r="O16" s="308">
        <f>'Input Tab'!L6</f>
        <v>-3304259</v>
      </c>
      <c r="P16" s="308">
        <f>'Input Tab'!M6</f>
        <v>-4468025</v>
      </c>
      <c r="Q16" s="308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23">
        <f t="shared" si="5"/>
        <v>22623076</v>
      </c>
      <c r="E17" s="423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23">
        <f t="shared" si="5"/>
        <v>57454937</v>
      </c>
      <c r="E18" s="423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23">
        <f t="shared" si="5"/>
        <v>-12813598</v>
      </c>
      <c r="E19" s="423"/>
      <c r="F19" s="308">
        <f>'Input Tab'!C9</f>
        <v>-1306342</v>
      </c>
      <c r="G19" s="308">
        <f>'Input Tab'!D9</f>
        <v>-1061936</v>
      </c>
      <c r="H19" s="308">
        <f>'Input Tab'!E9</f>
        <v>-1137644</v>
      </c>
      <c r="I19" s="308">
        <f>'Input Tab'!F9</f>
        <v>-1166933</v>
      </c>
      <c r="J19" s="308">
        <f>'Input Tab'!G9</f>
        <v>-1253488</v>
      </c>
      <c r="K19" s="308">
        <f>'Input Tab'!H9</f>
        <v>-1398529</v>
      </c>
      <c r="L19" s="308">
        <f>'Input Tab'!I9</f>
        <v>-1450378</v>
      </c>
      <c r="M19" s="308">
        <f>'Input Tab'!J9</f>
        <v>-1346819</v>
      </c>
      <c r="N19" s="308">
        <f>'Input Tab'!K9</f>
        <v>-1372213</v>
      </c>
      <c r="O19" s="308">
        <f>'Input Tab'!L9</f>
        <v>-1319316</v>
      </c>
      <c r="P19" s="308">
        <f>'Input Tab'!M9</f>
        <v>-1257650</v>
      </c>
      <c r="Q19" s="308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23">
        <f t="shared" si="5"/>
        <v>14481959</v>
      </c>
      <c r="E20" s="423"/>
      <c r="F20" s="309">
        <f>'Input Tab'!C10</f>
        <v>1503379</v>
      </c>
      <c r="G20" s="309">
        <f>'Input Tab'!D10</f>
        <v>1417562</v>
      </c>
      <c r="H20" s="309">
        <f>'Input Tab'!E10</f>
        <v>1557827</v>
      </c>
      <c r="I20" s="309">
        <f>'Input Tab'!F10</f>
        <v>1347286</v>
      </c>
      <c r="J20" s="309">
        <f>'Input Tab'!G10</f>
        <v>1394142</v>
      </c>
      <c r="K20" s="309">
        <f>'Input Tab'!H10</f>
        <v>1391308</v>
      </c>
      <c r="L20" s="309">
        <f>'Input Tab'!I10</f>
        <v>1452951</v>
      </c>
      <c r="M20" s="309">
        <f>'Input Tab'!J10</f>
        <v>1443202</v>
      </c>
      <c r="N20" s="309">
        <f>'Input Tab'!K10</f>
        <v>1567441</v>
      </c>
      <c r="O20" s="309">
        <f>'Input Tab'!L10</f>
        <v>1406861</v>
      </c>
      <c r="P20" s="309">
        <f>'Input Tab'!M10</f>
        <v>1416449</v>
      </c>
      <c r="Q20" s="309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23">
        <f t="shared" si="5"/>
        <v>435500</v>
      </c>
      <c r="E21" s="423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23">
        <f t="shared" si="5"/>
        <v>-2284164</v>
      </c>
      <c r="E22" s="423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5" t="s">
        <v>7</v>
      </c>
      <c r="C23" s="305"/>
      <c r="D23" s="417">
        <f>SUM(D15:E22)</f>
        <v>115278832</v>
      </c>
      <c r="E23" s="417"/>
      <c r="F23" s="310">
        <f>SUM(F15:F22)</f>
        <v>16183101</v>
      </c>
      <c r="G23" s="310">
        <f t="shared" ref="G23:Q23" si="7">SUM(G15:G22)</f>
        <v>15682567</v>
      </c>
      <c r="H23" s="310">
        <f t="shared" si="7"/>
        <v>13358676</v>
      </c>
      <c r="I23" s="310">
        <f t="shared" si="7"/>
        <v>8069870</v>
      </c>
      <c r="J23" s="310">
        <f t="shared" si="7"/>
        <v>6111472</v>
      </c>
      <c r="K23" s="310">
        <f t="shared" si="7"/>
        <v>5882705</v>
      </c>
      <c r="L23" s="310">
        <f t="shared" si="7"/>
        <v>9699295</v>
      </c>
      <c r="M23" s="310">
        <f t="shared" si="7"/>
        <v>14547927</v>
      </c>
      <c r="N23" s="310">
        <f t="shared" si="7"/>
        <v>12481353</v>
      </c>
      <c r="O23" s="310">
        <f t="shared" si="7"/>
        <v>13261866</v>
      </c>
      <c r="P23" s="310">
        <f t="shared" si="7"/>
        <v>16244124</v>
      </c>
      <c r="Q23" s="310">
        <f t="shared" si="7"/>
        <v>16930995</v>
      </c>
      <c r="R23" s="219"/>
    </row>
    <row r="24" spans="1:19" ht="28.5" customHeight="1">
      <c r="A24" s="146">
        <f t="shared" si="6"/>
        <v>18</v>
      </c>
      <c r="B24" s="305" t="s">
        <v>8</v>
      </c>
      <c r="C24" s="305"/>
      <c r="D24" s="422">
        <f>SUM(F24:O24)</f>
        <v>-7673304</v>
      </c>
      <c r="E24" s="422" t="str">
        <f t="shared" ref="E24:Q24" si="8">IF(E13=0," ",E13-E23)</f>
        <v xml:space="preserve"> </v>
      </c>
      <c r="F24" s="310">
        <f t="shared" si="8"/>
        <v>-3348255</v>
      </c>
      <c r="G24" s="310">
        <f t="shared" si="8"/>
        <v>-3838262</v>
      </c>
      <c r="H24" s="310">
        <f t="shared" si="8"/>
        <v>-2645020</v>
      </c>
      <c r="I24" s="310">
        <f t="shared" si="8"/>
        <v>-1287644</v>
      </c>
      <c r="J24" s="310">
        <f t="shared" si="8"/>
        <v>-2563107</v>
      </c>
      <c r="K24" s="310">
        <f t="shared" si="8"/>
        <v>-1458757</v>
      </c>
      <c r="L24" s="310">
        <f t="shared" si="8"/>
        <v>3385296</v>
      </c>
      <c r="M24" s="310">
        <f t="shared" si="8"/>
        <v>2075172</v>
      </c>
      <c r="N24" s="310">
        <f t="shared" si="8"/>
        <v>1152951</v>
      </c>
      <c r="O24" s="310">
        <f t="shared" si="8"/>
        <v>854322</v>
      </c>
      <c r="P24" s="310">
        <f t="shared" si="8"/>
        <v>-16212599</v>
      </c>
      <c r="Q24" s="310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16">
        <f>SUM(F25:Q25)</f>
        <v>-11867588</v>
      </c>
      <c r="E25" s="416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>
        <f>'WA Monthly'!M135</f>
        <v>-1264473</v>
      </c>
      <c r="O25" s="188">
        <f>'WA Monthly'!N135</f>
        <v>-1560414</v>
      </c>
      <c r="P25" s="188">
        <f>'WA Monthly'!O135</f>
        <v>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16">
        <f>SUM(F26:Q26)</f>
        <v>-52651913</v>
      </c>
      <c r="E26" s="416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-111522</v>
      </c>
      <c r="O26" s="188">
        <f t="shared" si="9"/>
        <v>-706092</v>
      </c>
      <c r="P26" s="188">
        <f t="shared" si="9"/>
        <v>-16212599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11">
        <f>'Input Tab'!C13</f>
        <v>0.64710000000000001</v>
      </c>
      <c r="G27" s="311">
        <f>'Input Tab'!D13</f>
        <v>0.64710000000000001</v>
      </c>
      <c r="H27" s="311">
        <f>'Input Tab'!E13</f>
        <v>0.64710000000000001</v>
      </c>
      <c r="I27" s="311">
        <f>'Input Tab'!F13</f>
        <v>0.64710000000000001</v>
      </c>
      <c r="J27" s="311">
        <f>'Input Tab'!G13</f>
        <v>0.6573</v>
      </c>
      <c r="K27" s="311">
        <f>'Input Tab'!H13</f>
        <v>0.6573</v>
      </c>
      <c r="L27" s="311">
        <f>'Input Tab'!I13</f>
        <v>0.6573</v>
      </c>
      <c r="M27" s="311">
        <f>'Input Tab'!J13</f>
        <v>0.6573</v>
      </c>
      <c r="N27" s="311">
        <f>'Input Tab'!K13</f>
        <v>0.6573</v>
      </c>
      <c r="O27" s="311">
        <f>'Input Tab'!L13</f>
        <v>0.6573</v>
      </c>
      <c r="P27" s="311">
        <f>'Input Tab'!M13</f>
        <v>0.6573</v>
      </c>
      <c r="Q27" s="311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0">
        <f>SUM(F28:O28)</f>
        <v>-12692112</v>
      </c>
      <c r="E28" s="420"/>
      <c r="F28" s="312">
        <f>+F26*F27</f>
        <v>-2582037</v>
      </c>
      <c r="G28" s="312">
        <f>+G26*G27</f>
        <v>-3205158</v>
      </c>
      <c r="H28" s="312">
        <f>+H26*H27</f>
        <v>-2227799</v>
      </c>
      <c r="I28" s="312">
        <f t="shared" ref="I28:Q28" si="10">+I26*I27</f>
        <v>-1635381</v>
      </c>
      <c r="J28" s="312">
        <f t="shared" si="10"/>
        <v>-2648043</v>
      </c>
      <c r="K28" s="312">
        <f t="shared" si="10"/>
        <v>-1929385</v>
      </c>
      <c r="L28" s="312">
        <f t="shared" si="10"/>
        <v>1308728</v>
      </c>
      <c r="M28" s="312">
        <f t="shared" si="10"/>
        <v>764380</v>
      </c>
      <c r="N28" s="312">
        <f t="shared" si="10"/>
        <v>-73303</v>
      </c>
      <c r="O28" s="312">
        <f t="shared" si="10"/>
        <v>-464114</v>
      </c>
      <c r="P28" s="312">
        <f t="shared" si="10"/>
        <v>-10656541</v>
      </c>
      <c r="Q28" s="312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0">
        <f>SUM(F29:O29)</f>
        <v>0</v>
      </c>
      <c r="E29" s="420"/>
      <c r="F29" s="312">
        <f>'WA Monthly'!E133</f>
        <v>0</v>
      </c>
      <c r="G29" s="312">
        <f>'WA Monthly'!F133</f>
        <v>0</v>
      </c>
      <c r="H29" s="312">
        <f>'WA Monthly'!G133</f>
        <v>0</v>
      </c>
      <c r="I29" s="312">
        <f>'WA Monthly'!H133</f>
        <v>0</v>
      </c>
      <c r="J29" s="312">
        <f>'WA Monthly'!I133</f>
        <v>0</v>
      </c>
      <c r="K29" s="312">
        <f>'WA Monthly'!J133</f>
        <v>0</v>
      </c>
      <c r="L29" s="312">
        <f>'WA Monthly'!K133</f>
        <v>0</v>
      </c>
      <c r="M29" s="312">
        <f>'WA Monthly'!L133</f>
        <v>0</v>
      </c>
      <c r="N29" s="312">
        <f>'WA Monthly'!M133</f>
        <v>0</v>
      </c>
      <c r="O29" s="312">
        <f>'WA Monthly'!N133</f>
        <v>0</v>
      </c>
      <c r="P29" s="312">
        <f>'WA Monthly'!O133</f>
        <v>0</v>
      </c>
      <c r="Q29" s="312">
        <f>'WA Monthly'!P133</f>
        <v>0</v>
      </c>
    </row>
    <row r="30" spans="1:19" ht="29.25" customHeight="1">
      <c r="A30" s="146">
        <f t="shared" si="6"/>
        <v>24</v>
      </c>
      <c r="B30" s="414" t="s">
        <v>248</v>
      </c>
      <c r="C30" s="414"/>
      <c r="D30" s="419">
        <f>SUM(F30:Q30)</f>
        <v>966749</v>
      </c>
      <c r="E30" s="419"/>
      <c r="F30" s="313">
        <f>'WA RRC'!B19</f>
        <v>166826</v>
      </c>
      <c r="G30" s="313">
        <f>'WA RRC'!C19</f>
        <v>276446</v>
      </c>
      <c r="H30" s="313">
        <f>'WA RRC'!D19</f>
        <v>54137</v>
      </c>
      <c r="I30" s="313">
        <f>'WA RRC'!E19</f>
        <v>-41108</v>
      </c>
      <c r="J30" s="313">
        <f>'WA RRC'!F19</f>
        <v>276558</v>
      </c>
      <c r="K30" s="313">
        <f>'WA RRC'!G19</f>
        <v>82672</v>
      </c>
      <c r="L30" s="313">
        <f>'WA RRC'!H19</f>
        <v>114455</v>
      </c>
      <c r="M30" s="313">
        <f>'WA RRC'!I19</f>
        <v>-583396</v>
      </c>
      <c r="N30" s="313">
        <f>'WA RRC'!J19</f>
        <v>668223</v>
      </c>
      <c r="O30" s="313">
        <f>'WA RRC'!K19</f>
        <v>-48064</v>
      </c>
      <c r="P30" s="313" t="str">
        <f>'WA RRC'!L19</f>
        <v xml:space="preserve"> </v>
      </c>
      <c r="Q30" s="313" t="str">
        <f>'WA RRC'!M19</f>
        <v xml:space="preserve"> </v>
      </c>
    </row>
    <row r="31" spans="1:19" ht="27" customHeight="1">
      <c r="A31" s="146">
        <f t="shared" si="6"/>
        <v>25</v>
      </c>
      <c r="B31" s="418" t="s">
        <v>193</v>
      </c>
      <c r="C31" s="418"/>
      <c r="D31" s="421">
        <f>SUM(F31:O31)</f>
        <v>-11725363</v>
      </c>
      <c r="E31" s="421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>
        <f t="shared" si="11"/>
        <v>594920</v>
      </c>
      <c r="O31" s="185">
        <f t="shared" si="11"/>
        <v>-512178</v>
      </c>
      <c r="P31" s="185" t="e">
        <f t="shared" si="11"/>
        <v>#VALUE!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15" t="s">
        <v>291</v>
      </c>
      <c r="C32" s="415"/>
      <c r="D32" s="303"/>
      <c r="E32" s="303"/>
      <c r="F32" s="185"/>
      <c r="G32" s="185"/>
      <c r="H32" s="185"/>
      <c r="I32" s="185"/>
      <c r="J32" s="185"/>
      <c r="K32" s="185"/>
      <c r="L32" s="314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5" t="s">
        <v>282</v>
      </c>
      <c r="C33" s="305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>
        <f t="shared" si="12"/>
        <v>-11213185</v>
      </c>
      <c r="O33" s="156">
        <f t="shared" si="12"/>
        <v>-11725363</v>
      </c>
      <c r="P33" s="156" t="e">
        <f t="shared" si="12"/>
        <v>#VALUE!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5">
        <v>10000000</v>
      </c>
      <c r="C34" s="316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>
        <f t="shared" si="13"/>
        <v>-1213185</v>
      </c>
      <c r="O34" s="157">
        <f t="shared" si="13"/>
        <v>-1725363</v>
      </c>
      <c r="P34" s="157" t="e">
        <f t="shared" si="13"/>
        <v>#VALUE!</v>
      </c>
      <c r="Q34" s="157" t="e">
        <f t="shared" si="13"/>
        <v>#VALUE!</v>
      </c>
      <c r="R34" s="149"/>
      <c r="S34" s="317"/>
    </row>
    <row r="35" spans="1:19" ht="19.5" hidden="1" customHeight="1" outlineLevel="1">
      <c r="A35" s="51" t="s">
        <v>102</v>
      </c>
      <c r="B35" s="315">
        <v>4000000</v>
      </c>
      <c r="C35" s="316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>
        <f t="shared" si="14"/>
        <v>-6000000</v>
      </c>
      <c r="O35" s="157">
        <f t="shared" si="14"/>
        <v>-6000000</v>
      </c>
      <c r="P35" s="157" t="e">
        <f t="shared" si="14"/>
        <v>#VALUE!</v>
      </c>
      <c r="Q35" s="157" t="e">
        <f t="shared" si="14"/>
        <v>#VALUE!</v>
      </c>
      <c r="R35" s="149"/>
      <c r="S35" s="317"/>
    </row>
    <row r="36" spans="1:19" ht="21.75" hidden="1" customHeight="1" outlineLevel="1">
      <c r="A36" s="51" t="s">
        <v>102</v>
      </c>
      <c r="B36" s="315">
        <v>0</v>
      </c>
      <c r="C36" s="316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>
        <f t="shared" si="15"/>
        <v>-4000000</v>
      </c>
      <c r="O36" s="157">
        <f t="shared" si="15"/>
        <v>-4000000</v>
      </c>
      <c r="P36" s="157" t="e">
        <f t="shared" si="15"/>
        <v>#VALUE!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18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>
        <f t="shared" si="16"/>
        <v>0</v>
      </c>
      <c r="P37" s="260" t="e">
        <f t="shared" si="16"/>
        <v>#VALUE!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>
        <f t="shared" si="17"/>
        <v>-5591867</v>
      </c>
      <c r="O38" s="157">
        <f t="shared" si="17"/>
        <v>-6052827</v>
      </c>
      <c r="P38" s="157" t="e">
        <f t="shared" si="17"/>
        <v>#VALUE!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>
        <f t="shared" si="18"/>
        <v>535428</v>
      </c>
      <c r="O39" s="157">
        <f t="shared" si="18"/>
        <v>-460960</v>
      </c>
      <c r="P39" s="157" t="e">
        <f t="shared" si="18"/>
        <v>#VALUE!</v>
      </c>
      <c r="Q39" s="157" t="e">
        <f t="shared" si="18"/>
        <v>#VALUE!</v>
      </c>
      <c r="R39" s="151"/>
    </row>
    <row r="40" spans="1:19" ht="24.75" customHeight="1">
      <c r="A40" s="415" t="s">
        <v>252</v>
      </c>
      <c r="B40" s="415"/>
      <c r="C40" s="415"/>
      <c r="D40" s="421">
        <f>SUM(F40:O40)</f>
        <v>6052827</v>
      </c>
      <c r="E40" s="421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>
        <f t="shared" si="19"/>
        <v>-535428</v>
      </c>
      <c r="O40" s="171">
        <f t="shared" si="19"/>
        <v>460960</v>
      </c>
      <c r="P40" s="171" t="e">
        <f t="shared" si="19"/>
        <v>#VALUE!</v>
      </c>
      <c r="Q40" s="171" t="e">
        <f t="shared" si="19"/>
        <v>#VALUE!</v>
      </c>
      <c r="R40" s="149"/>
    </row>
    <row r="41" spans="1:19" ht="26.25" customHeight="1" thickBot="1">
      <c r="A41" s="413" t="s">
        <v>108</v>
      </c>
      <c r="B41" s="413"/>
      <c r="C41" s="413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>
        <f t="shared" si="20"/>
        <v>-5621318</v>
      </c>
      <c r="O41" s="173">
        <f t="shared" si="20"/>
        <v>-5672536</v>
      </c>
      <c r="P41" s="173" t="e">
        <f t="shared" si="20"/>
        <v>#VALUE!</v>
      </c>
      <c r="Q41" s="173" t="e">
        <f t="shared" si="20"/>
        <v>#VALUE!</v>
      </c>
      <c r="R41" s="51" t="s">
        <v>137</v>
      </c>
    </row>
    <row r="42" spans="1:19" ht="13.5" thickTop="1">
      <c r="A42" s="319"/>
    </row>
    <row r="43" spans="1:19">
      <c r="E43" s="320"/>
      <c r="F43" s="117"/>
      <c r="Q43" s="157"/>
      <c r="R43" s="148"/>
    </row>
    <row r="44" spans="1:19">
      <c r="E44" s="237"/>
      <c r="F44" s="71"/>
      <c r="H44" s="321"/>
      <c r="I44" s="321"/>
      <c r="J44" s="321"/>
      <c r="K44" s="321"/>
      <c r="Q44" s="200"/>
      <c r="R44" s="148"/>
    </row>
    <row r="45" spans="1:19">
      <c r="E45" s="320"/>
      <c r="F45" s="322"/>
      <c r="H45" s="321"/>
      <c r="I45" s="321"/>
      <c r="J45" s="321"/>
      <c r="K45" s="321"/>
      <c r="Q45" s="200"/>
      <c r="R45" s="148"/>
    </row>
    <row r="46" spans="1:19">
      <c r="H46" s="321"/>
      <c r="I46" s="321"/>
      <c r="J46" s="321"/>
      <c r="K46" s="321"/>
    </row>
    <row r="47" spans="1:19">
      <c r="F47" s="323"/>
      <c r="H47" s="321"/>
      <c r="I47" s="321"/>
      <c r="J47" s="321"/>
      <c r="K47" s="321"/>
    </row>
    <row r="48" spans="1:19">
      <c r="F48" s="323"/>
      <c r="H48" s="321"/>
      <c r="I48" s="321"/>
      <c r="J48" s="321"/>
      <c r="K48" s="321"/>
      <c r="Q48" s="148"/>
    </row>
    <row r="49" spans="8:11">
      <c r="H49" s="321"/>
      <c r="I49" s="321"/>
      <c r="J49" s="321"/>
      <c r="K49" s="321"/>
    </row>
    <row r="50" spans="8:11">
      <c r="H50" s="321"/>
      <c r="I50" s="321"/>
      <c r="J50" s="321"/>
      <c r="K50" s="321"/>
    </row>
    <row r="51" spans="8:11">
      <c r="H51" s="321"/>
      <c r="I51" s="321"/>
      <c r="J51" s="321"/>
      <c r="K51" s="32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>
      <c r="A2" s="432" t="s">
        <v>233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38.25" customHeight="1">
      <c r="A3" s="71"/>
    </row>
    <row r="4" spans="1:18">
      <c r="A4" s="255" t="s">
        <v>0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8">
      <c r="A5" s="360" t="s">
        <v>1</v>
      </c>
      <c r="C5" s="71" t="s">
        <v>238</v>
      </c>
      <c r="D5" s="361" t="s">
        <v>10</v>
      </c>
      <c r="E5" s="304">
        <v>43131</v>
      </c>
      <c r="F5" s="304">
        <f t="shared" ref="F5:P5" si="0">EOMONTH(E5,1)</f>
        <v>43159</v>
      </c>
      <c r="G5" s="304">
        <f t="shared" si="0"/>
        <v>43190</v>
      </c>
      <c r="H5" s="304">
        <f t="shared" si="0"/>
        <v>43220</v>
      </c>
      <c r="I5" s="304">
        <f t="shared" si="0"/>
        <v>43251</v>
      </c>
      <c r="J5" s="304">
        <f t="shared" si="0"/>
        <v>43281</v>
      </c>
      <c r="K5" s="304">
        <f t="shared" si="0"/>
        <v>43312</v>
      </c>
      <c r="L5" s="304">
        <f t="shared" si="0"/>
        <v>43343</v>
      </c>
      <c r="M5" s="304">
        <f t="shared" si="0"/>
        <v>43373</v>
      </c>
      <c r="N5" s="304">
        <f t="shared" si="0"/>
        <v>43404</v>
      </c>
      <c r="O5" s="304">
        <f t="shared" si="0"/>
        <v>43434</v>
      </c>
      <c r="P5" s="304">
        <f t="shared" si="0"/>
        <v>43465</v>
      </c>
      <c r="Q5" s="362"/>
      <c r="R5" s="304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29393677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3059931</v>
      </c>
      <c r="N7" s="174">
        <f t="shared" si="1"/>
        <v>446709</v>
      </c>
      <c r="O7" s="174">
        <f t="shared" si="1"/>
        <v>31525</v>
      </c>
      <c r="P7" s="174">
        <f t="shared" si="1"/>
        <v>32573</v>
      </c>
      <c r="Q7" s="220"/>
      <c r="R7" s="363">
        <f t="shared" ref="R7:R22" si="2">SUM(E7:P7)</f>
        <v>29393677</v>
      </c>
    </row>
    <row r="8" spans="1:18">
      <c r="A8" s="255">
        <v>2</v>
      </c>
      <c r="B8" s="364" t="s">
        <v>258</v>
      </c>
      <c r="C8" s="365">
        <v>100096</v>
      </c>
      <c r="D8" s="174">
        <f t="shared" ref="D8:D22" si="3">SUM(E8:P8)</f>
        <v>11679175</v>
      </c>
      <c r="E8" s="366">
        <f>'Input Tab'!C19</f>
        <v>726733</v>
      </c>
      <c r="F8" s="366">
        <f>'Input Tab'!D19</f>
        <v>1216938</v>
      </c>
      <c r="G8" s="366">
        <f>'Input Tab'!E19</f>
        <v>1216938</v>
      </c>
      <c r="H8" s="366">
        <f>'Input Tab'!F19</f>
        <v>1216938</v>
      </c>
      <c r="I8" s="366">
        <f>'Input Tab'!G19</f>
        <v>1216938</v>
      </c>
      <c r="J8" s="366">
        <f>'Input Tab'!H19</f>
        <v>1216938</v>
      </c>
      <c r="K8" s="366">
        <f>'Input Tab'!I19</f>
        <v>1216938</v>
      </c>
      <c r="L8" s="366">
        <f>'Input Tab'!J19</f>
        <v>1216938</v>
      </c>
      <c r="M8" s="366">
        <f>'Input Tab'!K19</f>
        <v>1216938</v>
      </c>
      <c r="N8" s="366">
        <f>'Input Tab'!L19</f>
        <v>1216938</v>
      </c>
      <c r="O8" s="366">
        <f>'Input Tab'!M19</f>
        <v>0</v>
      </c>
      <c r="P8" s="366">
        <f>'Input Tab'!N19</f>
        <v>0</v>
      </c>
      <c r="Q8" s="220"/>
      <c r="R8" s="363">
        <f t="shared" si="2"/>
        <v>11679175</v>
      </c>
    </row>
    <row r="9" spans="1:18">
      <c r="A9" s="255">
        <v>3</v>
      </c>
      <c r="B9" s="364" t="s">
        <v>259</v>
      </c>
      <c r="C9" s="365">
        <v>107240</v>
      </c>
      <c r="D9" s="174">
        <f t="shared" si="3"/>
        <v>948409</v>
      </c>
      <c r="E9" s="366">
        <f>'Input Tab'!C20</f>
        <v>67917</v>
      </c>
      <c r="F9" s="366">
        <f>'Input Tab'!D20</f>
        <v>81241</v>
      </c>
      <c r="G9" s="366">
        <f>'Input Tab'!E20</f>
        <v>93498</v>
      </c>
      <c r="H9" s="366">
        <f>'Input Tab'!F20</f>
        <v>152574</v>
      </c>
      <c r="I9" s="366">
        <f>'Input Tab'!G20</f>
        <v>162897</v>
      </c>
      <c r="J9" s="366">
        <f>'Input Tab'!H20</f>
        <v>158630</v>
      </c>
      <c r="K9" s="366">
        <f>'Input Tab'!I20</f>
        <v>58962</v>
      </c>
      <c r="L9" s="366">
        <f>'Input Tab'!J20</f>
        <v>55518</v>
      </c>
      <c r="M9" s="366">
        <f>'Input Tab'!K20</f>
        <v>50510</v>
      </c>
      <c r="N9" s="366">
        <f>'Input Tab'!L20</f>
        <v>66662</v>
      </c>
      <c r="O9" s="366">
        <f>'Input Tab'!M20</f>
        <v>0</v>
      </c>
      <c r="P9" s="366">
        <f>'Input Tab'!N20</f>
        <v>0</v>
      </c>
      <c r="Q9" s="220"/>
      <c r="R9" s="363">
        <f>SUM(E9:P9)</f>
        <v>948409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1560356</v>
      </c>
      <c r="E10" s="366">
        <f>'Input Tab'!C21</f>
        <v>153740</v>
      </c>
      <c r="F10" s="366">
        <f>'Input Tab'!D21</f>
        <v>153740</v>
      </c>
      <c r="G10" s="366">
        <f>'Input Tab'!E21</f>
        <v>153740</v>
      </c>
      <c r="H10" s="366">
        <f>'Input Tab'!F21</f>
        <v>153740</v>
      </c>
      <c r="I10" s="366">
        <f>'Input Tab'!G21</f>
        <v>153740</v>
      </c>
      <c r="J10" s="366">
        <f>'Input Tab'!H21</f>
        <v>153740</v>
      </c>
      <c r="K10" s="366">
        <f>'Input Tab'!I21</f>
        <v>153740</v>
      </c>
      <c r="L10" s="366">
        <f>'Input Tab'!J21</f>
        <v>153740</v>
      </c>
      <c r="M10" s="366">
        <f>'Input Tab'!K21</f>
        <v>165218</v>
      </c>
      <c r="N10" s="366">
        <f>'Input Tab'!L21</f>
        <v>165218</v>
      </c>
      <c r="O10" s="366">
        <f>'Input Tab'!M21</f>
        <v>0</v>
      </c>
      <c r="P10" s="366">
        <f>'Input Tab'!N21</f>
        <v>0</v>
      </c>
      <c r="Q10" s="220"/>
      <c r="R10" s="363">
        <f t="shared" si="2"/>
        <v>1560356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6357200</v>
      </c>
      <c r="E11" s="367">
        <f>'Input Tab'!C22</f>
        <v>618454</v>
      </c>
      <c r="F11" s="367">
        <f>'Input Tab'!D22</f>
        <v>618454</v>
      </c>
      <c r="G11" s="367">
        <f>'Input Tab'!E22</f>
        <v>618454</v>
      </c>
      <c r="H11" s="367">
        <f>'Input Tab'!F22</f>
        <v>791114</v>
      </c>
      <c r="I11" s="367">
        <f>'Input Tab'!G22</f>
        <v>618454</v>
      </c>
      <c r="J11" s="367">
        <f>'Input Tab'!H22</f>
        <v>618454</v>
      </c>
      <c r="K11" s="367">
        <f>'Input Tab'!I22</f>
        <v>618454</v>
      </c>
      <c r="L11" s="367">
        <f>'Input Tab'!J22</f>
        <v>618454</v>
      </c>
      <c r="M11" s="367">
        <f>'Input Tab'!K22</f>
        <v>618454</v>
      </c>
      <c r="N11" s="367">
        <f>'Input Tab'!L22</f>
        <v>618454</v>
      </c>
      <c r="O11" s="367">
        <f>'Input Tab'!M22</f>
        <v>0</v>
      </c>
      <c r="P11" s="367">
        <f>'Input Tab'!N22</f>
        <v>0</v>
      </c>
      <c r="Q11" s="220"/>
      <c r="R11" s="363">
        <f t="shared" si="2"/>
        <v>6357200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67">
        <f>'Input Tab'!C23</f>
        <v>3744667</v>
      </c>
      <c r="F12" s="367">
        <f>'Input Tab'!D23</f>
        <v>3383687</v>
      </c>
      <c r="G12" s="367">
        <f>'Input Tab'!E23</f>
        <v>1848737</v>
      </c>
      <c r="H12" s="367">
        <f>'Input Tab'!F23</f>
        <v>1790510</v>
      </c>
      <c r="I12" s="367">
        <f>'Input Tab'!G23</f>
        <v>0</v>
      </c>
      <c r="J12" s="367">
        <f>'Input Tab'!H23</f>
        <v>0</v>
      </c>
      <c r="K12" s="367">
        <f>'Input Tab'!I23</f>
        <v>0</v>
      </c>
      <c r="L12" s="367">
        <f>'Input Tab'!J23</f>
        <v>0</v>
      </c>
      <c r="M12" s="366">
        <f>'Input Tab'!K23</f>
        <v>0</v>
      </c>
      <c r="N12" s="366">
        <f>'Input Tab'!L23</f>
        <v>0</v>
      </c>
      <c r="O12" s="367">
        <f>'Input Tab'!M23</f>
        <v>0</v>
      </c>
      <c r="P12" s="367">
        <f>'Input Tab'!N23</f>
        <v>0</v>
      </c>
      <c r="Q12" s="220"/>
      <c r="R12" s="363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7413</v>
      </c>
      <c r="E13" s="367">
        <f>'Input Tab'!C24</f>
        <v>1068</v>
      </c>
      <c r="F13" s="367">
        <f>'Input Tab'!D24</f>
        <v>885</v>
      </c>
      <c r="G13" s="367">
        <f>'Input Tab'!E24</f>
        <v>1088</v>
      </c>
      <c r="H13" s="367">
        <f>'Input Tab'!F24</f>
        <v>717</v>
      </c>
      <c r="I13" s="367">
        <f>'Input Tab'!G24</f>
        <v>691</v>
      </c>
      <c r="J13" s="367">
        <f>'Input Tab'!H24</f>
        <v>444</v>
      </c>
      <c r="K13" s="367">
        <f>'Input Tab'!I24</f>
        <v>537</v>
      </c>
      <c r="L13" s="367">
        <f>'Input Tab'!J24</f>
        <v>656</v>
      </c>
      <c r="M13" s="367">
        <f>'Input Tab'!K24</f>
        <v>648</v>
      </c>
      <c r="N13" s="367">
        <f>'Input Tab'!L24</f>
        <v>679</v>
      </c>
      <c r="O13" s="367">
        <f>'Input Tab'!M24</f>
        <v>0</v>
      </c>
      <c r="P13" s="367">
        <f>'Input Tab'!N24</f>
        <v>0</v>
      </c>
      <c r="Q13" s="220"/>
      <c r="R13" s="363">
        <f t="shared" si="2"/>
        <v>7413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1170645</v>
      </c>
      <c r="E14" s="367">
        <f>'Input Tab'!C25</f>
        <v>196327</v>
      </c>
      <c r="F14" s="367">
        <f>'Input Tab'!D25</f>
        <v>176449</v>
      </c>
      <c r="G14" s="367">
        <f>'Input Tab'!E25</f>
        <v>137700</v>
      </c>
      <c r="H14" s="367">
        <f>'Input Tab'!F25</f>
        <v>145245</v>
      </c>
      <c r="I14" s="367">
        <f>'Input Tab'!G25</f>
        <v>118256</v>
      </c>
      <c r="J14" s="367">
        <f>'Input Tab'!H25</f>
        <v>119818</v>
      </c>
      <c r="K14" s="367">
        <f>'Input Tab'!I25</f>
        <v>109807</v>
      </c>
      <c r="L14" s="367">
        <f>'Input Tab'!J25</f>
        <v>71032</v>
      </c>
      <c r="M14" s="367">
        <f>'Input Tab'!K25</f>
        <v>47084</v>
      </c>
      <c r="N14" s="367">
        <f>'Input Tab'!L25</f>
        <v>48927</v>
      </c>
      <c r="O14" s="367">
        <f>'Input Tab'!M25</f>
        <v>0</v>
      </c>
      <c r="P14" s="367">
        <f>'Input Tab'!N25</f>
        <v>0</v>
      </c>
      <c r="Q14" s="220"/>
      <c r="R14" s="363">
        <f t="shared" si="2"/>
        <v>1170645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1324657</v>
      </c>
      <c r="E15" s="367">
        <f>'Input Tab'!C34</f>
        <v>167411</v>
      </c>
      <c r="F15" s="367">
        <f>'Input Tab'!D34</f>
        <v>151142</v>
      </c>
      <c r="G15" s="367">
        <f>'Input Tab'!E34</f>
        <v>134752</v>
      </c>
      <c r="H15" s="367">
        <f>'Input Tab'!F34</f>
        <v>9639</v>
      </c>
      <c r="I15" s="367">
        <f>'Input Tab'!G34</f>
        <v>139720</v>
      </c>
      <c r="J15" s="367">
        <f>'Input Tab'!H34</f>
        <v>156195</v>
      </c>
      <c r="K15" s="367">
        <f>'Input Tab'!I34</f>
        <v>206662</v>
      </c>
      <c r="L15" s="367">
        <f>'Input Tab'!J34</f>
        <v>124688</v>
      </c>
      <c r="M15" s="367">
        <f>'Input Tab'!K34</f>
        <v>38427</v>
      </c>
      <c r="N15" s="367">
        <f>'Input Tab'!L34</f>
        <v>196021</v>
      </c>
      <c r="O15" s="367">
        <f>'Input Tab'!M34</f>
        <v>0</v>
      </c>
      <c r="P15" s="367">
        <f>'Input Tab'!N34</f>
        <v>0</v>
      </c>
      <c r="Q15" s="220"/>
      <c r="R15" s="363">
        <f t="shared" si="2"/>
        <v>1324657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2429221</v>
      </c>
      <c r="E16" s="367">
        <f>'Input Tab'!C35</f>
        <v>509116</v>
      </c>
      <c r="F16" s="367">
        <f>'Input Tab'!D35</f>
        <v>428290</v>
      </c>
      <c r="G16" s="367">
        <f>'Input Tab'!E35</f>
        <v>551749</v>
      </c>
      <c r="H16" s="367">
        <f>'Input Tab'!F35</f>
        <v>336086</v>
      </c>
      <c r="I16" s="367">
        <f>'Input Tab'!G35</f>
        <v>237801</v>
      </c>
      <c r="J16" s="367">
        <f>'Input Tab'!H35</f>
        <v>242505</v>
      </c>
      <c r="K16" s="367">
        <f>'Input Tab'!I35</f>
        <v>18009</v>
      </c>
      <c r="L16" s="367">
        <f>'Input Tab'!J35</f>
        <v>61</v>
      </c>
      <c r="M16" s="367">
        <f>'Input Tab'!K35</f>
        <v>7399</v>
      </c>
      <c r="N16" s="367">
        <f>'Input Tab'!L35</f>
        <v>98205</v>
      </c>
      <c r="O16" s="367">
        <f>'Input Tab'!M35</f>
        <v>0</v>
      </c>
      <c r="P16" s="367">
        <f>'Input Tab'!N35</f>
        <v>0</v>
      </c>
      <c r="Q16" s="220"/>
      <c r="R16" s="363">
        <f t="shared" si="2"/>
        <v>2429221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4689159</v>
      </c>
      <c r="E17" s="367">
        <f>'Input Tab'!C36</f>
        <v>503270</v>
      </c>
      <c r="F17" s="367">
        <f>'Input Tab'!D36</f>
        <v>466388</v>
      </c>
      <c r="G17" s="367">
        <f>'Input Tab'!E36</f>
        <v>406268</v>
      </c>
      <c r="H17" s="367">
        <f>'Input Tab'!F36</f>
        <v>349209</v>
      </c>
      <c r="I17" s="367">
        <f>'Input Tab'!G36</f>
        <v>332411</v>
      </c>
      <c r="J17" s="367">
        <f>'Input Tab'!H36</f>
        <v>457880</v>
      </c>
      <c r="K17" s="367">
        <f>'Input Tab'!I36</f>
        <v>561311</v>
      </c>
      <c r="L17" s="367">
        <f>'Input Tab'!J36</f>
        <v>434208</v>
      </c>
      <c r="M17" s="367">
        <f>'Input Tab'!K36</f>
        <v>588005</v>
      </c>
      <c r="N17" s="367">
        <f>'Input Tab'!L36</f>
        <v>590209</v>
      </c>
      <c r="O17" s="367">
        <f>'Input Tab'!M36</f>
        <v>0</v>
      </c>
      <c r="P17" s="367">
        <f>'Input Tab'!N36</f>
        <v>0</v>
      </c>
      <c r="Q17" s="220"/>
      <c r="R17" s="363">
        <f t="shared" si="2"/>
        <v>4689159</v>
      </c>
    </row>
    <row r="18" spans="1:20">
      <c r="A18" s="255">
        <f>A17+1</f>
        <v>12</v>
      </c>
      <c r="B18" s="300" t="s">
        <v>394</v>
      </c>
      <c r="C18" s="186">
        <v>102475</v>
      </c>
      <c r="D18" s="174">
        <f t="shared" si="3"/>
        <v>10403</v>
      </c>
      <c r="E18" s="366">
        <f>'Input Tab'!C37</f>
        <v>0</v>
      </c>
      <c r="F18" s="366">
        <f>'Input Tab'!D37</f>
        <v>0</v>
      </c>
      <c r="G18" s="366">
        <f>'Input Tab'!E37</f>
        <v>2771</v>
      </c>
      <c r="H18" s="366">
        <f>'Input Tab'!F37</f>
        <v>1252</v>
      </c>
      <c r="I18" s="366">
        <f>'Input Tab'!G37</f>
        <v>1246</v>
      </c>
      <c r="J18" s="366">
        <f>'Input Tab'!H37</f>
        <v>1021</v>
      </c>
      <c r="K18" s="366">
        <f>'Input Tab'!I37</f>
        <v>1028</v>
      </c>
      <c r="L18" s="366">
        <f>'Input Tab'!J37</f>
        <v>1025</v>
      </c>
      <c r="M18" s="366">
        <f>'Input Tab'!K37</f>
        <v>1109</v>
      </c>
      <c r="N18" s="366">
        <f>'Input Tab'!L37</f>
        <v>951</v>
      </c>
      <c r="O18" s="366">
        <f>'Input Tab'!M37</f>
        <v>0</v>
      </c>
      <c r="P18" s="366">
        <f>'Input Tab'!N37</f>
        <v>0</v>
      </c>
      <c r="Q18" s="220"/>
      <c r="R18" s="363">
        <f t="shared" si="2"/>
        <v>10403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22787513</v>
      </c>
      <c r="E19" s="366">
        <f>'Input Tab'!C38</f>
        <v>2326853</v>
      </c>
      <c r="F19" s="366">
        <f>'Input Tab'!D38</f>
        <v>2182871</v>
      </c>
      <c r="G19" s="366">
        <f>'Input Tab'!E38</f>
        <v>2357771</v>
      </c>
      <c r="H19" s="366">
        <f>'Input Tab'!F38</f>
        <v>2235770</v>
      </c>
      <c r="I19" s="366">
        <f>'Input Tab'!G38</f>
        <v>2098059</v>
      </c>
      <c r="J19" s="366">
        <f>'Input Tab'!H38</f>
        <v>2056390</v>
      </c>
      <c r="K19" s="366">
        <f>'Input Tab'!I38</f>
        <v>2377596</v>
      </c>
      <c r="L19" s="366">
        <f>'Input Tab'!J38</f>
        <v>2416248</v>
      </c>
      <c r="M19" s="366">
        <f>'Input Tab'!K38</f>
        <v>2425360</v>
      </c>
      <c r="N19" s="366">
        <f>'Input Tab'!L38</f>
        <v>2310595</v>
      </c>
      <c r="O19" s="366">
        <f>'Input Tab'!M38</f>
        <v>0</v>
      </c>
      <c r="P19" s="366">
        <f>'Input Tab'!N38</f>
        <v>0</v>
      </c>
      <c r="Q19" s="220"/>
      <c r="R19" s="363">
        <f t="shared" si="2"/>
        <v>22787513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16016812</v>
      </c>
      <c r="E20" s="366">
        <f>'Input Tab'!C39</f>
        <v>2365264</v>
      </c>
      <c r="F20" s="366">
        <f>'Input Tab'!D39</f>
        <v>2240478</v>
      </c>
      <c r="G20" s="366">
        <f>'Input Tab'!E39</f>
        <v>2072807</v>
      </c>
      <c r="H20" s="366">
        <f>'Input Tab'!F39</f>
        <v>2009810</v>
      </c>
      <c r="I20" s="366">
        <f>'Input Tab'!G39</f>
        <v>1146211</v>
      </c>
      <c r="J20" s="366">
        <f>'Input Tab'!H39</f>
        <v>1530959</v>
      </c>
      <c r="K20" s="366">
        <f>'Input Tab'!I39</f>
        <v>1018827</v>
      </c>
      <c r="L20" s="366">
        <f>'Input Tab'!J39</f>
        <v>1297090</v>
      </c>
      <c r="M20" s="366">
        <f>'Input Tab'!K39</f>
        <v>1187102</v>
      </c>
      <c r="N20" s="366">
        <f>'Input Tab'!L39</f>
        <v>1148264</v>
      </c>
      <c r="O20" s="366">
        <f>'Input Tab'!M39</f>
        <v>0</v>
      </c>
      <c r="P20" s="366">
        <f>'Input Tab'!N39</f>
        <v>0</v>
      </c>
      <c r="Q20" s="220"/>
      <c r="R20" s="363">
        <f t="shared" si="2"/>
        <v>16016812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1947229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162315</v>
      </c>
      <c r="N21" s="176">
        <f>N35</f>
        <v>177643</v>
      </c>
      <c r="O21" s="176">
        <f t="shared" si="5"/>
        <v>0</v>
      </c>
      <c r="P21" s="176">
        <f t="shared" si="5"/>
        <v>0</v>
      </c>
      <c r="Q21" s="176"/>
      <c r="R21" s="363">
        <f t="shared" si="2"/>
        <v>1947229</v>
      </c>
    </row>
    <row r="22" spans="1:20">
      <c r="A22" s="255">
        <f t="shared" si="4"/>
        <v>16</v>
      </c>
      <c r="B22" s="300" t="s">
        <v>19</v>
      </c>
      <c r="C22" s="368"/>
      <c r="D22" s="174">
        <f t="shared" si="3"/>
        <v>-243906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-40713</v>
      </c>
      <c r="N22" s="177">
        <f>N33</f>
        <v>-232912</v>
      </c>
      <c r="O22" s="177">
        <f t="shared" si="6"/>
        <v>0</v>
      </c>
      <c r="P22" s="177">
        <f t="shared" si="6"/>
        <v>0</v>
      </c>
      <c r="Q22" s="177"/>
      <c r="R22" s="363">
        <f t="shared" si="2"/>
        <v>-243906</v>
      </c>
    </row>
    <row r="23" spans="1:20" s="184" customFormat="1" ht="13.5" thickBot="1">
      <c r="A23" s="369">
        <f t="shared" si="4"/>
        <v>17</v>
      </c>
      <c r="B23" s="240" t="s">
        <v>227</v>
      </c>
      <c r="C23" s="240"/>
      <c r="D23" s="194">
        <f>SUM(E23:P23)</f>
        <v>110845564</v>
      </c>
      <c r="E23" s="370">
        <f>E37</f>
        <v>16833261</v>
      </c>
      <c r="F23" s="370">
        <f t="shared" ref="F23:P23" si="7">F37</f>
        <v>15418244</v>
      </c>
      <c r="G23" s="370">
        <f>G37</f>
        <v>12301548</v>
      </c>
      <c r="H23" s="370">
        <f t="shared" si="7"/>
        <v>11248597</v>
      </c>
      <c r="I23" s="370">
        <f t="shared" si="7"/>
        <v>7857289</v>
      </c>
      <c r="J23" s="370">
        <f t="shared" si="7"/>
        <v>8387960</v>
      </c>
      <c r="K23" s="370">
        <f t="shared" si="7"/>
        <v>6606233</v>
      </c>
      <c r="L23" s="370">
        <f t="shared" si="7"/>
        <v>15747984</v>
      </c>
      <c r="M23" s="370">
        <f>M37</f>
        <v>9527787</v>
      </c>
      <c r="N23" s="370">
        <f>N37</f>
        <v>6852563</v>
      </c>
      <c r="O23" s="370">
        <f t="shared" si="7"/>
        <v>31525</v>
      </c>
      <c r="P23" s="370">
        <f t="shared" si="7"/>
        <v>32573</v>
      </c>
      <c r="Q23" s="178"/>
      <c r="R23" s="371">
        <f>SUM(R7:R21)</f>
        <v>111089470</v>
      </c>
    </row>
    <row r="24" spans="1:20" ht="13.5" thickTop="1">
      <c r="A24" s="255"/>
      <c r="E24" s="193" t="s">
        <v>29</v>
      </c>
      <c r="F24" s="372" t="s">
        <v>29</v>
      </c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spans="1:20">
      <c r="A25" s="255"/>
      <c r="B25" s="52" t="s">
        <v>228</v>
      </c>
      <c r="C25" s="5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T25" s="373"/>
    </row>
    <row r="26" spans="1:20" outlineLevel="1">
      <c r="A26" s="255"/>
      <c r="B26" s="236" t="s">
        <v>14</v>
      </c>
      <c r="C26" s="236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</row>
    <row r="27" spans="1:20" outlineLevel="1">
      <c r="A27" s="255"/>
      <c r="B27" s="71">
        <v>555000</v>
      </c>
      <c r="D27" s="372">
        <f>SUM(E27:P27)</f>
        <v>116616416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8495547</v>
      </c>
      <c r="N27" s="157">
        <f>_xll.Get_Balance(N$83,"PTD","USD","Total","A","","001","555000","ED","AN","DL")</f>
        <v>12522935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63">
        <f t="shared" ref="R27:R36" si="8">SUM(E27:P27)</f>
        <v>116616416</v>
      </c>
    </row>
    <row r="28" spans="1:20" outlineLevel="1">
      <c r="A28" s="255"/>
      <c r="B28" s="71">
        <v>555030</v>
      </c>
      <c r="D28" s="372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3"/>
    </row>
    <row r="29" spans="1:20" outlineLevel="1">
      <c r="A29" s="255"/>
      <c r="B29" s="71">
        <v>555100</v>
      </c>
      <c r="C29" s="71" t="s">
        <v>240</v>
      </c>
      <c r="D29" s="372">
        <f t="shared" ref="D29:D36" si="9">SUM(E29:P29)</f>
        <v>-11439590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846658</v>
      </c>
      <c r="N29" s="157">
        <f>_xll.Get_Balance(N$83,"PTD","USD","Total","A","","001","555100","ED","AN","DL")</f>
        <v>-5673672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63">
        <f t="shared" si="8"/>
        <v>-11439590</v>
      </c>
    </row>
    <row r="30" spans="1:20" outlineLevel="1">
      <c r="A30" s="255"/>
      <c r="B30" s="52">
        <v>555312</v>
      </c>
      <c r="C30" s="52" t="s">
        <v>191</v>
      </c>
      <c r="D30" s="372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3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72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3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72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3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72">
        <f t="shared" si="9"/>
        <v>-243906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-40713</v>
      </c>
      <c r="N33" s="157">
        <f>_xll.Get_Balance(N$83,"PTD","USD","Total","A","","001","555550","ED","AN","DL")</f>
        <v>-232912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63">
        <f>SUM(E33:P33)</f>
        <v>-243906</v>
      </c>
    </row>
    <row r="34" spans="1:18" outlineLevel="1">
      <c r="A34" s="255"/>
      <c r="B34" s="71">
        <v>555700</v>
      </c>
      <c r="C34" s="71" t="s">
        <v>243</v>
      </c>
      <c r="D34" s="372">
        <f t="shared" si="9"/>
        <v>3036316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63980</v>
      </c>
      <c r="N34" s="157">
        <f>_xll.Get_Balance(N$83,"PTD","USD","Total","A","","001","555700","ED","AN","DL")</f>
        <v>58569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63">
        <f t="shared" si="8"/>
        <v>3036316</v>
      </c>
    </row>
    <row r="35" spans="1:18" outlineLevel="1">
      <c r="A35" s="255"/>
      <c r="B35" s="71">
        <v>555710</v>
      </c>
      <c r="C35" s="71" t="s">
        <v>244</v>
      </c>
      <c r="D35" s="372">
        <f t="shared" si="9"/>
        <v>1947229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162315</v>
      </c>
      <c r="N35" s="157">
        <f>_xll.Get_Balance(N$83,"PTD","USD","Total","A","","001","555710","ED","AN","DL")</f>
        <v>177643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63">
        <f t="shared" si="8"/>
        <v>1947229</v>
      </c>
    </row>
    <row r="36" spans="1:18" outlineLevel="1">
      <c r="A36" s="255"/>
      <c r="B36" s="237" t="s">
        <v>166</v>
      </c>
      <c r="C36" s="186" t="s">
        <v>346</v>
      </c>
      <c r="D36" s="374">
        <f t="shared" si="9"/>
        <v>929099</v>
      </c>
      <c r="E36" s="375">
        <f>'Input Tab'!C41</f>
        <v>300823.05</v>
      </c>
      <c r="F36" s="375">
        <f>'Input Tab'!D41</f>
        <v>271824.2</v>
      </c>
      <c r="G36" s="375">
        <f>'Input Tab'!E41</f>
        <v>148515.9</v>
      </c>
      <c r="H36" s="375">
        <f>'Input Tab'!F41</f>
        <v>143838.34</v>
      </c>
      <c r="I36" s="375">
        <f>'Input Tab'!G41</f>
        <v>0</v>
      </c>
      <c r="J36" s="375">
        <f>'Input Tab'!H41</f>
        <v>0</v>
      </c>
      <c r="K36" s="375">
        <f>'Input Tab'!I41</f>
        <v>0</v>
      </c>
      <c r="L36" s="375">
        <f>'Input Tab'!J41</f>
        <v>0</v>
      </c>
      <c r="M36" s="375">
        <f>'Input Tab'!K41</f>
        <v>0</v>
      </c>
      <c r="N36" s="375">
        <f>'Input Tab'!L41</f>
        <v>0</v>
      </c>
      <c r="O36" s="375">
        <f>'Input Tab'!M41</f>
        <v>31525.200000000001</v>
      </c>
      <c r="P36" s="375">
        <f>'Input Tab'!N41</f>
        <v>32572.799999999999</v>
      </c>
      <c r="Q36" s="308"/>
      <c r="R36" s="363">
        <f t="shared" si="8"/>
        <v>929099</v>
      </c>
    </row>
    <row r="37" spans="1:18" s="184" customFormat="1" outlineLevel="1">
      <c r="A37" s="376"/>
      <c r="B37" s="238"/>
      <c r="C37" s="238"/>
      <c r="D37" s="195">
        <f>SUM(E37:P37)</f>
        <v>110845564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9527787</v>
      </c>
      <c r="N37" s="195">
        <f>SUM(N27:N36)</f>
        <v>6852563</v>
      </c>
      <c r="O37" s="195">
        <f t="shared" si="10"/>
        <v>31525</v>
      </c>
      <c r="P37" s="195">
        <f t="shared" si="10"/>
        <v>32573</v>
      </c>
      <c r="Q37" s="218"/>
      <c r="R37" s="195">
        <f>SUM(R27:R36)</f>
        <v>110845564</v>
      </c>
    </row>
    <row r="38" spans="1:18">
      <c r="A38" s="255"/>
      <c r="B38" s="238"/>
      <c r="C38" s="238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</row>
    <row r="39" spans="1:18" ht="19.5" customHeight="1">
      <c r="A39" s="255"/>
      <c r="B39" s="239" t="s">
        <v>26</v>
      </c>
      <c r="C39" s="239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</row>
    <row r="40" spans="1:18" ht="12.95" customHeight="1">
      <c r="A40" s="255">
        <f>A23+1</f>
        <v>18</v>
      </c>
      <c r="B40" s="71" t="s">
        <v>27</v>
      </c>
      <c r="C40" s="269"/>
      <c r="D40" s="372">
        <f t="shared" ref="D40:D45" si="11">SUM(E40:P40)</f>
        <v>-64678948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-4057183</v>
      </c>
      <c r="N40" s="177">
        <f t="shared" si="12"/>
        <v>193004</v>
      </c>
      <c r="O40" s="177">
        <f t="shared" si="12"/>
        <v>0</v>
      </c>
      <c r="P40" s="177">
        <f t="shared" si="12"/>
        <v>0</v>
      </c>
      <c r="Q40" s="377"/>
      <c r="R40" s="372">
        <f>SUM(E40:P40)</f>
        <v>-64678948</v>
      </c>
    </row>
    <row r="41" spans="1:18">
      <c r="A41" s="255">
        <f>A40+1</f>
        <v>19</v>
      </c>
      <c r="B41" s="71" t="s">
        <v>32</v>
      </c>
      <c r="C41" s="269" t="s">
        <v>245</v>
      </c>
      <c r="D41" s="372">
        <f t="shared" si="11"/>
        <v>1126325</v>
      </c>
      <c r="E41" s="367">
        <f>'Input Tab'!C44</f>
        <v>96850</v>
      </c>
      <c r="F41" s="367">
        <f>'Input Tab'!D44</f>
        <v>54051</v>
      </c>
      <c r="G41" s="367">
        <f>'Input Tab'!E44</f>
        <v>67735</v>
      </c>
      <c r="H41" s="367">
        <f>'Input Tab'!F44</f>
        <v>46838</v>
      </c>
      <c r="I41" s="367">
        <f>'Input Tab'!G44</f>
        <v>23444</v>
      </c>
      <c r="J41" s="367">
        <f>'Input Tab'!H44</f>
        <v>38086</v>
      </c>
      <c r="K41" s="367">
        <f>'Input Tab'!I44</f>
        <v>256173</v>
      </c>
      <c r="L41" s="367">
        <f>'Input Tab'!J44</f>
        <v>268722</v>
      </c>
      <c r="M41" s="367">
        <f>'Input Tab'!K44</f>
        <v>122395</v>
      </c>
      <c r="N41" s="367">
        <f>'Input Tab'!L44</f>
        <v>152031</v>
      </c>
      <c r="O41" s="367">
        <f>'Input Tab'!M44</f>
        <v>0</v>
      </c>
      <c r="P41" s="367">
        <f>'Input Tab'!N44</f>
        <v>0</v>
      </c>
      <c r="Q41" s="377"/>
      <c r="R41" s="372">
        <f>SUM(E41:P41)</f>
        <v>1126325</v>
      </c>
    </row>
    <row r="42" spans="1:18">
      <c r="A42" s="255">
        <f>A41+1</f>
        <v>20</v>
      </c>
      <c r="B42" s="52" t="s">
        <v>375</v>
      </c>
      <c r="C42" s="186" t="s">
        <v>345</v>
      </c>
      <c r="D42" s="372">
        <f t="shared" si="11"/>
        <v>134092</v>
      </c>
      <c r="E42" s="367">
        <f>'Input Tab'!C45</f>
        <v>12978</v>
      </c>
      <c r="F42" s="367">
        <f>'Input Tab'!D45</f>
        <v>11594</v>
      </c>
      <c r="G42" s="367">
        <f>'Input Tab'!E45</f>
        <v>12269</v>
      </c>
      <c r="H42" s="367">
        <f>'Input Tab'!F45</f>
        <v>23957</v>
      </c>
      <c r="I42" s="367">
        <f>'Input Tab'!G45</f>
        <v>12240</v>
      </c>
      <c r="J42" s="367">
        <f>'Input Tab'!H45</f>
        <v>11887</v>
      </c>
      <c r="K42" s="367">
        <f>'Input Tab'!I45</f>
        <v>12458</v>
      </c>
      <c r="L42" s="367">
        <f>'Input Tab'!J45</f>
        <v>12397</v>
      </c>
      <c r="M42" s="367">
        <f>'Input Tab'!K45</f>
        <v>11830</v>
      </c>
      <c r="N42" s="367">
        <f>'Input Tab'!L45</f>
        <v>12482</v>
      </c>
      <c r="O42" s="367">
        <f>'Input Tab'!M45</f>
        <v>0</v>
      </c>
      <c r="P42" s="367">
        <f>'Input Tab'!N45</f>
        <v>0</v>
      </c>
      <c r="Q42" s="377"/>
      <c r="R42" s="372">
        <f>SUM(E42:P42)</f>
        <v>134092</v>
      </c>
    </row>
    <row r="43" spans="1:18">
      <c r="A43" s="255">
        <f>A42+1</f>
        <v>21</v>
      </c>
      <c r="B43" s="71" t="s">
        <v>53</v>
      </c>
      <c r="C43" s="378" t="s">
        <v>344</v>
      </c>
      <c r="D43" s="372">
        <f t="shared" si="11"/>
        <v>558816</v>
      </c>
      <c r="E43" s="367">
        <f>'Input Tab'!C46</f>
        <v>61859</v>
      </c>
      <c r="F43" s="367">
        <f>'Input Tab'!D46</f>
        <v>59141</v>
      </c>
      <c r="G43" s="367">
        <f>'Input Tab'!E46</f>
        <v>65628</v>
      </c>
      <c r="H43" s="367">
        <f>'Input Tab'!F46</f>
        <v>58213</v>
      </c>
      <c r="I43" s="367">
        <f>'Input Tab'!G46</f>
        <v>48440</v>
      </c>
      <c r="J43" s="367">
        <f>'Input Tab'!H46</f>
        <v>49177</v>
      </c>
      <c r="K43" s="367">
        <f>'Input Tab'!I46</f>
        <v>56197</v>
      </c>
      <c r="L43" s="367">
        <f>'Input Tab'!J46</f>
        <v>50370</v>
      </c>
      <c r="M43" s="367">
        <f>'Input Tab'!K46</f>
        <v>50107</v>
      </c>
      <c r="N43" s="367">
        <f>'Input Tab'!L46</f>
        <v>59684</v>
      </c>
      <c r="O43" s="367">
        <f>'Input Tab'!M46</f>
        <v>0</v>
      </c>
      <c r="P43" s="367">
        <f>'Input Tab'!N46</f>
        <v>0</v>
      </c>
      <c r="Q43" s="377"/>
      <c r="R43" s="372">
        <f>SUM(E43:P43)</f>
        <v>558816</v>
      </c>
    </row>
    <row r="44" spans="1:18">
      <c r="A44" s="255">
        <f>A43+1</f>
        <v>22</v>
      </c>
      <c r="B44" s="71" t="s">
        <v>35</v>
      </c>
      <c r="C44" s="269"/>
      <c r="D44" s="372">
        <f t="shared" si="11"/>
        <v>-13552485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-874375</v>
      </c>
      <c r="N44" s="175">
        <f t="shared" si="13"/>
        <v>-830108</v>
      </c>
      <c r="O44" s="175">
        <f t="shared" si="13"/>
        <v>0</v>
      </c>
      <c r="P44" s="175">
        <f t="shared" si="13"/>
        <v>0</v>
      </c>
      <c r="Q44" s="377"/>
      <c r="R44" s="372">
        <f>SUM(E44:P44)</f>
        <v>-13552485</v>
      </c>
    </row>
    <row r="45" spans="1:18" s="184" customFormat="1" ht="24.75" customHeight="1" thickBot="1">
      <c r="A45" s="369">
        <f>A44+1</f>
        <v>23</v>
      </c>
      <c r="B45" s="240" t="s">
        <v>226</v>
      </c>
      <c r="C45" s="240"/>
      <c r="D45" s="194">
        <f t="shared" si="11"/>
        <v>-76412200</v>
      </c>
      <c r="E45" s="370">
        <f>E55</f>
        <v>-14027524</v>
      </c>
      <c r="F45" s="370">
        <f>F55</f>
        <v>-9676671</v>
      </c>
      <c r="G45" s="370">
        <f t="shared" ref="G45:P45" si="14">G55</f>
        <v>-11198097</v>
      </c>
      <c r="H45" s="370">
        <f>H55</f>
        <v>-11240332</v>
      </c>
      <c r="I45" s="370">
        <f>I55</f>
        <v>-6705953</v>
      </c>
      <c r="J45" s="370">
        <f t="shared" si="14"/>
        <v>-7688520</v>
      </c>
      <c r="K45" s="370">
        <f t="shared" si="14"/>
        <v>-2002952</v>
      </c>
      <c r="L45" s="370">
        <f t="shared" si="14"/>
        <v>-8712018</v>
      </c>
      <c r="M45" s="370">
        <f>M55</f>
        <v>-4747226</v>
      </c>
      <c r="N45" s="370">
        <f t="shared" si="14"/>
        <v>-412907</v>
      </c>
      <c r="O45" s="370">
        <f t="shared" si="14"/>
        <v>0</v>
      </c>
      <c r="P45" s="370">
        <f t="shared" si="14"/>
        <v>0</v>
      </c>
      <c r="Q45" s="379"/>
      <c r="R45" s="371">
        <f>SUM(R40:R44)</f>
        <v>-76412200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80"/>
    </row>
    <row r="47" spans="1:18" outlineLevel="2">
      <c r="A47" s="255"/>
      <c r="E47" s="372"/>
      <c r="F47" s="372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80"/>
    </row>
    <row r="48" spans="1:18" outlineLevel="2">
      <c r="A48" s="255"/>
      <c r="B48" s="241" t="s">
        <v>26</v>
      </c>
      <c r="C48" s="241"/>
      <c r="E48" s="372"/>
      <c r="F48" s="372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80"/>
    </row>
    <row r="49" spans="1:18" outlineLevel="2">
      <c r="A49" s="255"/>
      <c r="B49" s="71">
        <v>447000</v>
      </c>
      <c r="D49" s="372">
        <f t="shared" ref="D49:D55" si="15">SUM(E49:P49)</f>
        <v>-53868973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-2016175</v>
      </c>
      <c r="N49" s="157">
        <f>_xll.Get_Balance(N$83,"PTD","USD","Total","A","","001","447000","ED","AN","DL")</f>
        <v>-1820697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81"/>
      <c r="R49" s="363">
        <f t="shared" ref="R49:R54" si="16">SUM(E49:P49)</f>
        <v>-53868973</v>
      </c>
    </row>
    <row r="50" spans="1:18" outlineLevel="2">
      <c r="A50" s="255"/>
      <c r="B50" s="71">
        <v>447100</v>
      </c>
      <c r="D50" s="372">
        <f t="shared" si="15"/>
        <v>13433132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-98830</v>
      </c>
      <c r="N50" s="157">
        <f>_xll.Get_Balance(N$83,"PTD","USD","Total","A","","001","447100","ED","AN","DL")</f>
        <v>4724616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81"/>
      <c r="R50" s="363">
        <f t="shared" si="16"/>
        <v>13433132</v>
      </c>
    </row>
    <row r="51" spans="1:18" outlineLevel="2">
      <c r="A51" s="255"/>
      <c r="B51" s="71">
        <v>447150</v>
      </c>
      <c r="D51" s="372">
        <f t="shared" si="15"/>
        <v>-17077741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-1524851</v>
      </c>
      <c r="N51" s="157">
        <f>_xll.Get_Balance(N$83,"PTD","USD","Total","A","","001","447150","ED","AN","DL")</f>
        <v>-2241375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81"/>
      <c r="R51" s="363">
        <f t="shared" si="16"/>
        <v>-17077741</v>
      </c>
    </row>
    <row r="52" spans="1:18" outlineLevel="2">
      <c r="A52" s="255"/>
      <c r="B52" s="71">
        <v>447700</v>
      </c>
      <c r="D52" s="372">
        <f t="shared" si="15"/>
        <v>-3398904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-70680</v>
      </c>
      <c r="N52" s="157">
        <f>_xll.Get_Balance(N$83,"PTD","USD","Total","A","","001","447700","ED","AN","DL")</f>
        <v>-67700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81"/>
      <c r="R52" s="363">
        <f t="shared" si="16"/>
        <v>-3398904</v>
      </c>
    </row>
    <row r="53" spans="1:18" outlineLevel="2">
      <c r="A53" s="255"/>
      <c r="B53" s="71">
        <v>447710</v>
      </c>
      <c r="D53" s="372">
        <f t="shared" si="15"/>
        <v>-1947229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-162315</v>
      </c>
      <c r="N53" s="157">
        <f>_xll.Get_Balance(N$83,"PTD","USD","Total","A","","001","447710","ED","AN","DL")</f>
        <v>-177643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81"/>
      <c r="R53" s="363">
        <f t="shared" si="16"/>
        <v>-1947229</v>
      </c>
    </row>
    <row r="54" spans="1:18" outlineLevel="2">
      <c r="A54" s="255"/>
      <c r="B54" s="71">
        <v>447720</v>
      </c>
      <c r="C54" s="52" t="s">
        <v>356</v>
      </c>
      <c r="D54" s="374">
        <f t="shared" si="15"/>
        <v>-13552485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-874375</v>
      </c>
      <c r="N54" s="180">
        <f>_xll.Get_Balance(N$83,"PTD","USD","Total","A","","001","447720","ED","AN","DL")</f>
        <v>-830108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81"/>
      <c r="R54" s="382">
        <f t="shared" si="16"/>
        <v>-13552485</v>
      </c>
    </row>
    <row r="55" spans="1:18" s="184" customFormat="1" outlineLevel="2">
      <c r="A55" s="376"/>
      <c r="D55" s="195">
        <f t="shared" si="15"/>
        <v>-76412200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-4747226</v>
      </c>
      <c r="N55" s="181">
        <f t="shared" si="17"/>
        <v>-412907</v>
      </c>
      <c r="O55" s="181">
        <f t="shared" si="17"/>
        <v>0</v>
      </c>
      <c r="P55" s="181">
        <f t="shared" si="17"/>
        <v>0</v>
      </c>
      <c r="Q55" s="383"/>
      <c r="R55" s="195">
        <f>SUM(R49:R54)</f>
        <v>-76412200</v>
      </c>
    </row>
    <row r="56" spans="1:18" outlineLevel="2">
      <c r="A56" s="255"/>
      <c r="E56" s="372"/>
      <c r="F56" s="372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81"/>
      <c r="R56" s="372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81"/>
      <c r="R57" s="372"/>
    </row>
    <row r="58" spans="1:18">
      <c r="A58" s="255">
        <f>A45+1</f>
        <v>24</v>
      </c>
      <c r="B58" s="52" t="s">
        <v>236</v>
      </c>
      <c r="C58" s="52"/>
      <c r="D58" s="372">
        <f>SUM(E58:P58)</f>
        <v>5395410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706827</v>
      </c>
      <c r="N58" s="157">
        <f>_xll.Get_Balance(N$83,"PTD","USD","Total","A","","001","501110","ED","AN","DL")</f>
        <v>656511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4"/>
      <c r="R58" s="196">
        <f>SUM(E58:P58)</f>
        <v>5395410</v>
      </c>
    </row>
    <row r="59" spans="1:18">
      <c r="A59" s="255">
        <f>+A58+1</f>
        <v>25</v>
      </c>
      <c r="B59" s="52" t="s">
        <v>235</v>
      </c>
      <c r="C59" s="52"/>
      <c r="D59" s="372">
        <f>SUM(E59:P59)</f>
        <v>6593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-52</v>
      </c>
      <c r="N59" s="157">
        <f>_xll.Get_Balance(N$83,"PTD","USD","Total","A","","001","501120","ED","AN","DL")</f>
        <v>487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4"/>
      <c r="R59" s="196">
        <f>SUM(E59:P59)</f>
        <v>6593</v>
      </c>
    </row>
    <row r="60" spans="1:18">
      <c r="A60" s="255">
        <f>+A59+1</f>
        <v>26</v>
      </c>
      <c r="B60" s="73" t="s">
        <v>164</v>
      </c>
      <c r="C60" s="73"/>
      <c r="D60" s="372">
        <f>SUM(E60:P60)</f>
        <v>15128453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1879646</v>
      </c>
      <c r="N60" s="157">
        <f>_xll.Get_Balance(N$83,"PTD","USD","Total","A","","001","501140","ED","AN","DL")</f>
        <v>2362829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4"/>
      <c r="R60" s="385">
        <f>SUM(E60:P60)</f>
        <v>15128453</v>
      </c>
    </row>
    <row r="61" spans="1:18">
      <c r="A61" s="255">
        <f>+A60+1</f>
        <v>27</v>
      </c>
      <c r="B61" s="73" t="s">
        <v>163</v>
      </c>
      <c r="C61" s="73"/>
      <c r="D61" s="372">
        <f>SUM(E61:P61)</f>
        <v>248894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70983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4"/>
      <c r="R61" s="385">
        <f>SUM(E61:P61)</f>
        <v>248894</v>
      </c>
    </row>
    <row r="62" spans="1:18" s="184" customFormat="1" ht="27.75" customHeight="1" thickBot="1">
      <c r="A62" s="369">
        <f>+A61+1</f>
        <v>28</v>
      </c>
      <c r="B62" s="240" t="s">
        <v>225</v>
      </c>
      <c r="C62" s="240"/>
      <c r="D62" s="194">
        <f>SUM(E62:P62)</f>
        <v>20779350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2657404</v>
      </c>
      <c r="N62" s="171">
        <f t="shared" si="18"/>
        <v>3019827</v>
      </c>
      <c r="O62" s="171">
        <f t="shared" si="18"/>
        <v>0</v>
      </c>
      <c r="P62" s="171">
        <f t="shared" si="18"/>
        <v>0</v>
      </c>
      <c r="Q62" s="386"/>
      <c r="R62" s="371">
        <f>SUM(E62:P62)</f>
        <v>20779350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0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80"/>
    </row>
    <row r="65" spans="1:18">
      <c r="A65" s="255">
        <f>A62+1</f>
        <v>29</v>
      </c>
      <c r="B65" s="71" t="s">
        <v>21</v>
      </c>
      <c r="C65" s="52" t="s">
        <v>264</v>
      </c>
      <c r="D65" s="341">
        <f>SUM(E65:P65)</f>
        <v>454821</v>
      </c>
      <c r="E65" s="387">
        <f>'Input Tab'!C49</f>
        <v>53359</v>
      </c>
      <c r="F65" s="387">
        <f>'Input Tab'!D49</f>
        <v>48502</v>
      </c>
      <c r="G65" s="387">
        <f>'Input Tab'!E49</f>
        <v>58811</v>
      </c>
      <c r="H65" s="387">
        <f>'Input Tab'!F49</f>
        <v>52478</v>
      </c>
      <c r="I65" s="387">
        <f>'Input Tab'!G49</f>
        <v>0</v>
      </c>
      <c r="J65" s="387">
        <f>'Input Tab'!H49</f>
        <v>16710</v>
      </c>
      <c r="K65" s="387">
        <f>'Input Tab'!I49</f>
        <v>56362</v>
      </c>
      <c r="L65" s="387">
        <f>'Input Tab'!J49</f>
        <v>58199</v>
      </c>
      <c r="M65" s="387">
        <f>'Input Tab'!K49</f>
        <v>57315</v>
      </c>
      <c r="N65" s="387">
        <f>'Input Tab'!L49</f>
        <v>53085</v>
      </c>
      <c r="O65" s="387">
        <f>'Input Tab'!M49</f>
        <v>0</v>
      </c>
      <c r="P65" s="387">
        <f>'Input Tab'!N49</f>
        <v>0</v>
      </c>
      <c r="Q65" s="380"/>
      <c r="R65" s="63">
        <f>SUM(E65:P65)</f>
        <v>454821</v>
      </c>
    </row>
    <row r="66" spans="1:18">
      <c r="A66" s="255">
        <f>A65+1</f>
        <v>30</v>
      </c>
      <c r="B66" s="71" t="s">
        <v>30</v>
      </c>
      <c r="C66" s="52" t="s">
        <v>263</v>
      </c>
      <c r="D66" s="341">
        <f>SUM(E66:P66)</f>
        <v>706503</v>
      </c>
      <c r="E66" s="387">
        <f>'Input Tab'!C50</f>
        <v>99606</v>
      </c>
      <c r="F66" s="387">
        <f>'Input Tab'!D50</f>
        <v>73063</v>
      </c>
      <c r="G66" s="387">
        <f>'Input Tab'!E50</f>
        <v>96702</v>
      </c>
      <c r="H66" s="387">
        <f>'Input Tab'!F50</f>
        <v>72391</v>
      </c>
      <c r="I66" s="387">
        <f>'Input Tab'!G50</f>
        <v>52614</v>
      </c>
      <c r="J66" s="387">
        <f>'Input Tab'!H50</f>
        <v>61022</v>
      </c>
      <c r="K66" s="387">
        <f>'Input Tab'!I50</f>
        <v>23288</v>
      </c>
      <c r="L66" s="387">
        <f>'Input Tab'!J50</f>
        <v>49111</v>
      </c>
      <c r="M66" s="387">
        <f>'Input Tab'!K50</f>
        <v>82493</v>
      </c>
      <c r="N66" s="387">
        <f>'Input Tab'!L50</f>
        <v>96213</v>
      </c>
      <c r="O66" s="387">
        <f>'Input Tab'!M50</f>
        <v>0</v>
      </c>
      <c r="P66" s="387">
        <f>'Input Tab'!N50</f>
        <v>0</v>
      </c>
      <c r="Q66" s="380"/>
      <c r="R66" s="63">
        <f>SUM(E66:P66)</f>
        <v>706503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80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80"/>
    </row>
    <row r="69" spans="1:18">
      <c r="A69" s="255">
        <f>A66+1</f>
        <v>31</v>
      </c>
      <c r="B69" s="71" t="s">
        <v>21</v>
      </c>
      <c r="D69" s="388" t="s">
        <v>22</v>
      </c>
      <c r="E69" s="389">
        <f>IF(E65=0," ",E58/E65)</f>
        <v>11.74</v>
      </c>
      <c r="F69" s="389">
        <f>IF(F65=0," ",F58/F65)</f>
        <v>11.44</v>
      </c>
      <c r="G69" s="389">
        <f>IF(G65=0," ",G58/G65)</f>
        <v>11.55</v>
      </c>
      <c r="H69" s="389">
        <f t="shared" ref="H69:P69" si="19">IF(H65=0," ",H58/H65)</f>
        <v>11.15</v>
      </c>
      <c r="I69" s="389" t="str">
        <f>IF(I65=0," ",I58/I65)</f>
        <v xml:space="preserve"> </v>
      </c>
      <c r="J69" s="389">
        <f t="shared" si="19"/>
        <v>11.74</v>
      </c>
      <c r="K69" s="389">
        <f>IF(K65=0," ",K58/K65)</f>
        <v>11.82</v>
      </c>
      <c r="L69" s="389">
        <f t="shared" si="19"/>
        <v>12.27</v>
      </c>
      <c r="M69" s="389">
        <f t="shared" si="19"/>
        <v>12.33</v>
      </c>
      <c r="N69" s="389">
        <f t="shared" si="19"/>
        <v>12.37</v>
      </c>
      <c r="O69" s="389" t="str">
        <f t="shared" si="19"/>
        <v xml:space="preserve"> </v>
      </c>
      <c r="P69" s="389" t="str">
        <f t="shared" si="19"/>
        <v xml:space="preserve"> </v>
      </c>
      <c r="Q69" s="390"/>
      <c r="R69" s="391">
        <f>R58/R65</f>
        <v>11.86</v>
      </c>
    </row>
    <row r="70" spans="1:18">
      <c r="A70" s="255">
        <f>A69+1</f>
        <v>32</v>
      </c>
      <c r="B70" s="71" t="s">
        <v>24</v>
      </c>
      <c r="D70" s="255" t="s">
        <v>23</v>
      </c>
      <c r="E70" s="389">
        <f>IF(E66=0," ",E60/E66)</f>
        <v>21.92</v>
      </c>
      <c r="F70" s="389">
        <f>IF(F66=0," ",F60/F66)</f>
        <v>12.26</v>
      </c>
      <c r="G70" s="389">
        <f t="shared" ref="G70:P70" si="20">IF(G66=0," ",G60/G66)</f>
        <v>22.04</v>
      </c>
      <c r="H70" s="389">
        <f t="shared" si="20"/>
        <v>21.03</v>
      </c>
      <c r="I70" s="389">
        <f>IF(I66=0," ",I60/I66)</f>
        <v>10.92</v>
      </c>
      <c r="J70" s="389">
        <f t="shared" si="20"/>
        <v>23.87</v>
      </c>
      <c r="K70" s="389">
        <f t="shared" si="20"/>
        <v>36.380000000000003</v>
      </c>
      <c r="L70" s="389">
        <f t="shared" si="20"/>
        <v>25.96</v>
      </c>
      <c r="M70" s="389">
        <f t="shared" si="20"/>
        <v>22.79</v>
      </c>
      <c r="N70" s="389">
        <f t="shared" si="20"/>
        <v>24.56</v>
      </c>
      <c r="O70" s="389" t="str">
        <f t="shared" si="20"/>
        <v xml:space="preserve"> </v>
      </c>
      <c r="P70" s="389" t="str">
        <f t="shared" si="20"/>
        <v xml:space="preserve"> </v>
      </c>
      <c r="Q70" s="390"/>
      <c r="R70" s="391">
        <f>R60/R66</f>
        <v>21.41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80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80"/>
    </row>
    <row r="73" spans="1:18">
      <c r="A73" s="255">
        <f>A70+1</f>
        <v>33</v>
      </c>
      <c r="B73" s="71" t="s">
        <v>183</v>
      </c>
      <c r="D73" s="372">
        <f t="shared" ref="D73:D79" si="21">SUM(E73:P73)</f>
        <v>32733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1181</v>
      </c>
      <c r="N73" s="157">
        <f>_xll.Get_Balance(N$83,"PTD","USD","Total","A","","001","547213","ED","AN","DL")</f>
        <v>2148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2"/>
      <c r="R73" s="393">
        <f t="shared" ref="R73:R78" si="22">SUM(E73:P73)</f>
        <v>32733</v>
      </c>
    </row>
    <row r="74" spans="1:18">
      <c r="A74" s="255">
        <f t="shared" ref="A74:A79" si="23">A73+1</f>
        <v>34</v>
      </c>
      <c r="B74" s="71" t="s">
        <v>176</v>
      </c>
      <c r="D74" s="372">
        <f t="shared" si="21"/>
        <v>906345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142461</v>
      </c>
      <c r="N74" s="157">
        <f>_xll.Get_Balance(N$83,"PTD","USD","Total","A","","001","547216","ED","AN","DL")</f>
        <v>266208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2"/>
      <c r="R74" s="393">
        <f t="shared" si="22"/>
        <v>906345</v>
      </c>
    </row>
    <row r="75" spans="1:18">
      <c r="A75" s="255">
        <f t="shared" si="23"/>
        <v>35</v>
      </c>
      <c r="B75" s="71" t="s">
        <v>175</v>
      </c>
      <c r="D75" s="372">
        <f t="shared" si="21"/>
        <v>175161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34991</v>
      </c>
      <c r="N75" s="157">
        <f>_xll.Get_Balance(N83,"PTD","USD","Total","A","","001","547211","ED","AN","DL")</f>
        <v>14934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2"/>
      <c r="R75" s="393">
        <f t="shared" si="22"/>
        <v>175161</v>
      </c>
    </row>
    <row r="76" spans="1:18">
      <c r="A76" s="255">
        <f t="shared" si="23"/>
        <v>36</v>
      </c>
      <c r="B76" s="71" t="s">
        <v>177</v>
      </c>
      <c r="D76" s="372">
        <f t="shared" si="21"/>
        <v>23414576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2427012</v>
      </c>
      <c r="N76" s="157">
        <f>_xll.Get_Balance(N$83,"PTD","USD","Total","A","","001","547610","ED","AN","DL")</f>
        <v>610298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2"/>
      <c r="R76" s="393">
        <f t="shared" si="22"/>
        <v>23414576</v>
      </c>
    </row>
    <row r="77" spans="1:18">
      <c r="A77" s="255">
        <f>A76+1</f>
        <v>37</v>
      </c>
      <c r="B77" s="52" t="s">
        <v>189</v>
      </c>
      <c r="C77" s="52"/>
      <c r="D77" s="372">
        <f t="shared" si="21"/>
        <v>23597219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2764033</v>
      </c>
      <c r="N77" s="157">
        <f>_xll.Get_Balance(N$83,"PTD","USD","Total","A","","001","547312","ED","AN","DL")</f>
        <v>2606766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2"/>
      <c r="R77" s="393">
        <f>SUM(E77:P77)</f>
        <v>23597219</v>
      </c>
    </row>
    <row r="78" spans="1:18">
      <c r="A78" s="255">
        <f>A77+1</f>
        <v>38</v>
      </c>
      <c r="B78" s="242" t="s">
        <v>178</v>
      </c>
      <c r="C78" s="242"/>
      <c r="D78" s="372">
        <f t="shared" si="21"/>
        <v>3489405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467318</v>
      </c>
      <c r="N78" s="180">
        <f>_xll.Get_Balance(N$83,"PTD","USD","Total","A","","001","547310","ED","AN","DL")</f>
        <v>1006715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2"/>
      <c r="R78" s="394">
        <f t="shared" si="22"/>
        <v>3489405</v>
      </c>
    </row>
    <row r="79" spans="1:18" s="184" customFormat="1" ht="21.75" customHeight="1">
      <c r="A79" s="369">
        <f t="shared" si="23"/>
        <v>39</v>
      </c>
      <c r="B79" s="240" t="s">
        <v>224</v>
      </c>
      <c r="C79" s="240"/>
      <c r="D79" s="194">
        <f t="shared" si="21"/>
        <v>51615439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5836996</v>
      </c>
      <c r="N79" s="171">
        <f t="shared" si="24"/>
        <v>4507069</v>
      </c>
      <c r="O79" s="171">
        <f t="shared" si="24"/>
        <v>0</v>
      </c>
      <c r="P79" s="171">
        <f t="shared" si="24"/>
        <v>0</v>
      </c>
      <c r="Q79" s="395"/>
      <c r="R79" s="396">
        <f>SUM(R73:R78)</f>
        <v>51615439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2"/>
      <c r="R80" s="397"/>
    </row>
    <row r="81" spans="1:18" ht="21" customHeight="1">
      <c r="A81" s="369">
        <f>A79+1</f>
        <v>40</v>
      </c>
      <c r="B81" s="243" t="s">
        <v>54</v>
      </c>
      <c r="C81" s="243"/>
      <c r="D81" s="398">
        <f>SUM(E81:P81)</f>
        <v>106828153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13274961</v>
      </c>
      <c r="N81" s="171">
        <f t="shared" si="25"/>
        <v>13966552</v>
      </c>
      <c r="O81" s="171">
        <f t="shared" si="25"/>
        <v>31525</v>
      </c>
      <c r="P81" s="171">
        <f t="shared" si="25"/>
        <v>32573</v>
      </c>
      <c r="Q81" s="399"/>
      <c r="R81" s="400">
        <f>R23-R45+R62+R79</f>
        <v>259896459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80"/>
    </row>
    <row r="83" spans="1:18" outlineLevel="1">
      <c r="B83" s="244" t="s">
        <v>29</v>
      </c>
      <c r="C83" s="244"/>
      <c r="E83" s="401">
        <v>201801</v>
      </c>
      <c r="F83" s="401">
        <v>201802</v>
      </c>
      <c r="G83" s="401">
        <v>201803</v>
      </c>
      <c r="H83" s="401">
        <v>201804</v>
      </c>
      <c r="I83" s="401">
        <v>201805</v>
      </c>
      <c r="J83" s="401">
        <v>201806</v>
      </c>
      <c r="K83" s="401">
        <v>201807</v>
      </c>
      <c r="L83" s="401">
        <v>201808</v>
      </c>
      <c r="M83" s="401">
        <v>201809</v>
      </c>
      <c r="N83" s="401">
        <v>201810</v>
      </c>
      <c r="O83" s="401">
        <v>201811</v>
      </c>
      <c r="P83" s="401">
        <v>201812</v>
      </c>
      <c r="Q83" s="380"/>
    </row>
    <row r="84" spans="1:18">
      <c r="B84" s="245" t="s">
        <v>231</v>
      </c>
      <c r="C84" s="245"/>
      <c r="D84" s="402"/>
      <c r="E84" s="377"/>
      <c r="F84" s="176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380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-9755185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-809430</v>
      </c>
      <c r="N85" s="157">
        <f>_xll.Get_Balance(N$83,"PTD","USD","Total","A","","001","456100","ED","AN","DL")</f>
        <v>-830529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2"/>
      <c r="R85" s="393">
        <f t="shared" ref="R85:R92" si="27">SUM(E85:P85)</f>
        <v>-9755185</v>
      </c>
    </row>
    <row r="86" spans="1:18">
      <c r="A86" s="255">
        <v>45</v>
      </c>
      <c r="B86" s="244" t="s">
        <v>286</v>
      </c>
      <c r="C86" s="244"/>
      <c r="D86" s="220">
        <f t="shared" si="26"/>
        <v>-770000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-77000</v>
      </c>
      <c r="N86" s="231">
        <f>_xll.Get_Balance(N$83,"PTD","USD","Total","A","","001","456120","ED","AN","DL")</f>
        <v>-77000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92"/>
      <c r="R86" s="393">
        <f t="shared" si="27"/>
        <v>-770000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-267161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-12320</v>
      </c>
      <c r="N87" s="157">
        <f>_xll.Get_Balance(N$83,"PTD","USD","Total","A","","001","456020","ED","AN","DL")</f>
        <v>-71692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3">
        <f t="shared" si="27"/>
        <v>-267161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-1947903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-162989</v>
      </c>
      <c r="N88" s="157">
        <f>_xll.Get_Balance(N$83,"PTD","USD","Total","A","","001","456130","ED","AN","DL")</f>
        <v>-177643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2"/>
      <c r="R88" s="393">
        <f t="shared" si="27"/>
        <v>-1947903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-50200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-5020</v>
      </c>
      <c r="N89" s="197">
        <f>_xll.Get_Balance(N$83,"PTD","USD","Total","A","","001","456017","ED","AN","DL")</f>
        <v>-5020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2"/>
      <c r="R89" s="393">
        <f t="shared" si="27"/>
        <v>-50200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-87810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-8781</v>
      </c>
      <c r="N90" s="157">
        <f>_xll.Get_Balance(N$83,"PTD","USD","Total","A","","001","456700","ED","WA","DL")</f>
        <v>-8781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4"/>
      <c r="R90" s="393">
        <f t="shared" si="27"/>
        <v>-87810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-1468020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-139973</v>
      </c>
      <c r="N91" s="180">
        <f>_xll.Get_Balance(N$83,"PTD","USD","Total","A","","001","456705","ED","AN","DL")</f>
        <v>-139973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2"/>
      <c r="R91" s="394">
        <f t="shared" si="27"/>
        <v>-1468020</v>
      </c>
    </row>
    <row r="92" spans="1:18" s="184" customFormat="1" ht="20.25" customHeight="1">
      <c r="A92" s="369">
        <f>A91+1</f>
        <v>51</v>
      </c>
      <c r="B92" s="247" t="s">
        <v>230</v>
      </c>
      <c r="C92" s="247"/>
      <c r="D92" s="194">
        <f t="shared" si="26"/>
        <v>-14346279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-1215513</v>
      </c>
      <c r="N92" s="194">
        <f t="shared" si="28"/>
        <v>-1310638</v>
      </c>
      <c r="O92" s="194">
        <f t="shared" si="28"/>
        <v>0</v>
      </c>
      <c r="P92" s="194">
        <f t="shared" si="28"/>
        <v>0</v>
      </c>
      <c r="Q92" s="395"/>
      <c r="R92" s="396">
        <f t="shared" si="27"/>
        <v>-14346279</v>
      </c>
    </row>
    <row r="93" spans="1:18">
      <c r="A93" s="255"/>
      <c r="D93" s="73"/>
      <c r="E93" s="220"/>
      <c r="F93" s="372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2"/>
      <c r="R93" s="393"/>
    </row>
    <row r="94" spans="1:18">
      <c r="A94" s="255"/>
      <c r="B94" s="239" t="s">
        <v>232</v>
      </c>
      <c r="C94" s="239"/>
      <c r="D94" s="73"/>
      <c r="E94" s="220"/>
      <c r="F94" s="372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2"/>
      <c r="R94" s="393"/>
    </row>
    <row r="95" spans="1:18">
      <c r="A95" s="255">
        <f>A92+1</f>
        <v>52</v>
      </c>
      <c r="B95" s="52" t="s">
        <v>157</v>
      </c>
      <c r="C95" s="52"/>
      <c r="D95" s="220">
        <f>SUM(E95:P95)</f>
        <v>14611265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1502930</v>
      </c>
      <c r="N95" s="192">
        <f>_xll.Get_Balance(N$83,"PTD","USD","Total","A","","001","565000","ED","AN","DL")</f>
        <v>1415387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2"/>
      <c r="R95" s="393">
        <f>SUM(E95:P95)</f>
        <v>14611265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2"/>
      <c r="R96" s="393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45360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4536</v>
      </c>
      <c r="N97" s="180">
        <f>_xll.Get_Balance(N$83,"PTD","USD","Total","A","","001","565710","ED","AN","DL")</f>
        <v>4536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2"/>
      <c r="R97" s="394">
        <f>SUM(E97:P97)</f>
        <v>45360</v>
      </c>
    </row>
    <row r="98" spans="1:18" s="184" customFormat="1" ht="20.25" customHeight="1">
      <c r="A98" s="369">
        <f>A97+1</f>
        <v>55</v>
      </c>
      <c r="B98" s="247" t="s">
        <v>229</v>
      </c>
      <c r="C98" s="247"/>
      <c r="D98" s="194">
        <f>SUM(E98:P98)</f>
        <v>14656625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1507466</v>
      </c>
      <c r="N98" s="171">
        <f t="shared" si="29"/>
        <v>1419923</v>
      </c>
      <c r="O98" s="171">
        <f t="shared" si="29"/>
        <v>0</v>
      </c>
      <c r="P98" s="171">
        <f t="shared" si="29"/>
        <v>0</v>
      </c>
      <c r="Q98" s="395"/>
      <c r="R98" s="396">
        <f>SUM(E98:P98)</f>
        <v>14656625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2"/>
      <c r="R99" s="393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2"/>
      <c r="R100" s="393"/>
    </row>
    <row r="101" spans="1:18">
      <c r="A101" s="255">
        <f>A98+1</f>
        <v>56</v>
      </c>
      <c r="B101" s="52" t="s">
        <v>354</v>
      </c>
      <c r="D101" s="372">
        <f>SUM(E101:P101)</f>
        <v>405262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39699</v>
      </c>
      <c r="N101" s="176">
        <f>_xll.Get_Balance(N$83,"PTD","USD","Total","A","","001","557170","ED","AN","DL")</f>
        <v>33612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2"/>
      <c r="R101" s="393"/>
    </row>
    <row r="102" spans="1:18">
      <c r="A102" s="255">
        <f>A101+1</f>
        <v>57</v>
      </c>
      <c r="B102" s="254" t="s">
        <v>353</v>
      </c>
      <c r="D102" s="372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2"/>
      <c r="R102" s="393"/>
    </row>
    <row r="103" spans="1:18">
      <c r="A103" s="255">
        <f>A102+1</f>
        <v>58</v>
      </c>
      <c r="B103" s="254" t="s">
        <v>381</v>
      </c>
      <c r="C103" s="71" t="s">
        <v>382</v>
      </c>
      <c r="D103" s="372">
        <f>SUM(E103:P103)</f>
        <v>87095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23300</v>
      </c>
      <c r="N103" s="176">
        <f>_xll.Get_Balance(N$83,"PTD","USD","Total","A","","001","557165","ED","AN","DL")</f>
        <v>2610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2"/>
      <c r="R103" s="393"/>
    </row>
    <row r="104" spans="1:18">
      <c r="A104" s="255">
        <f>A103+1</f>
        <v>59</v>
      </c>
      <c r="B104" s="254" t="s">
        <v>385</v>
      </c>
      <c r="C104" s="71" t="s">
        <v>386</v>
      </c>
      <c r="D104" s="372">
        <f>SUM(E104:P104)</f>
        <v>38770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4391</v>
      </c>
      <c r="N104" s="176">
        <f>_xll.Get_Balance(N$83,"PTD","USD","Total","A","","001","557018","ED","AN","DL")</f>
        <v>4129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2"/>
      <c r="R104" s="393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531127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67390</v>
      </c>
      <c r="N105" s="194">
        <f t="shared" si="30"/>
        <v>40351</v>
      </c>
      <c r="O105" s="194">
        <f t="shared" si="30"/>
        <v>0</v>
      </c>
      <c r="P105" s="194">
        <f t="shared" si="30"/>
        <v>0</v>
      </c>
      <c r="Q105" s="395"/>
      <c r="R105" s="396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2"/>
      <c r="R106" s="393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2"/>
      <c r="R107" s="393"/>
    </row>
    <row r="108" spans="1:18">
      <c r="A108" s="255">
        <f>A105+1</f>
        <v>61</v>
      </c>
      <c r="B108" s="71" t="s">
        <v>208</v>
      </c>
      <c r="D108" s="372">
        <f>SUM(E108:P108)</f>
        <v>17744486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1907615</v>
      </c>
      <c r="N108" s="174">
        <f>_xll.Get_Balance(N$83,"PTD","USD","Total","A","","001","557010","ED","AN","DL")</f>
        <v>1755516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2"/>
      <c r="R108" s="393">
        <f t="shared" ref="R108:R118" si="31">SUM(E108:P108)</f>
        <v>17744486</v>
      </c>
    </row>
    <row r="109" spans="1:18">
      <c r="A109" s="255">
        <f>A108+1</f>
        <v>62</v>
      </c>
      <c r="B109" s="71" t="s">
        <v>179</v>
      </c>
      <c r="D109" s="372">
        <f t="shared" ref="D109:D118" si="32">SUM(E109:P109)</f>
        <v>-2037436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86436</v>
      </c>
      <c r="N109" s="174">
        <f>_xll.Get_Balance(N$83,"PTD","USD","Total","A","","001","557150","ED","AN","DL")</f>
        <v>509676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2"/>
      <c r="R109" s="393">
        <f t="shared" si="31"/>
        <v>-2037436</v>
      </c>
    </row>
    <row r="110" spans="1:18">
      <c r="A110" s="255">
        <f t="shared" ref="A110:A118" si="33">A109+1</f>
        <v>63</v>
      </c>
      <c r="B110" s="71" t="s">
        <v>180</v>
      </c>
      <c r="D110" s="372">
        <f t="shared" si="32"/>
        <v>5935933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817656</v>
      </c>
      <c r="N110" s="174">
        <f>_xll.Get_Balance(N$83,"PTD","USD","Total","A","","001","557700","ED","AN","DL")</f>
        <v>1806503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2"/>
      <c r="R110" s="393">
        <f t="shared" si="31"/>
        <v>5935933</v>
      </c>
    </row>
    <row r="111" spans="1:18">
      <c r="A111" s="255">
        <f t="shared" si="33"/>
        <v>64</v>
      </c>
      <c r="B111" s="52" t="s">
        <v>217</v>
      </c>
      <c r="C111" s="52"/>
      <c r="D111" s="372">
        <f t="shared" si="32"/>
        <v>-5935933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-817656</v>
      </c>
      <c r="N111" s="174">
        <f>_xll.Get_Balance(N$83,"PTD","USD","Total","A","","001","557711","ED","AN","DL")</f>
        <v>-1806503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2"/>
      <c r="R111" s="393">
        <f>SUM(E111:P111)</f>
        <v>-5935933</v>
      </c>
    </row>
    <row r="112" spans="1:18">
      <c r="A112" s="255">
        <f t="shared" si="33"/>
        <v>65</v>
      </c>
      <c r="B112" s="71" t="s">
        <v>212</v>
      </c>
      <c r="D112" s="372">
        <f t="shared" si="32"/>
        <v>35466057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2580244</v>
      </c>
      <c r="N112" s="174">
        <f>_xll.Get_Balance(N$83,"PTD","USD","Total","A","","001","557730","ED","AN","DL")</f>
        <v>5426961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2"/>
      <c r="R112" s="393">
        <f t="shared" si="31"/>
        <v>35466057</v>
      </c>
    </row>
    <row r="113" spans="1:19">
      <c r="A113" s="255">
        <f t="shared" si="33"/>
        <v>66</v>
      </c>
      <c r="B113" s="52" t="s">
        <v>215</v>
      </c>
      <c r="C113" s="52"/>
      <c r="D113" s="372">
        <f t="shared" si="32"/>
        <v>-10470187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-834788</v>
      </c>
      <c r="N113" s="174">
        <f>_xll.Get_Balance(N$83,"PTD","USD","Total","A","","001","456010","ED","AN","DL")</f>
        <v>-1154925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2"/>
      <c r="R113" s="393">
        <f t="shared" si="31"/>
        <v>-10470187</v>
      </c>
    </row>
    <row r="114" spans="1:19">
      <c r="A114" s="255">
        <f t="shared" si="33"/>
        <v>67</v>
      </c>
      <c r="B114" s="71" t="s">
        <v>181</v>
      </c>
      <c r="D114" s="372">
        <f t="shared" si="32"/>
        <v>-29867480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-1233448</v>
      </c>
      <c r="N114" s="174">
        <f>_xll.Get_Balance(N$83,"PTD","USD","Total","A","","001","456015","ED","AN","DL")</f>
        <v>-6461511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2"/>
      <c r="R114" s="393">
        <f t="shared" si="31"/>
        <v>-29867480</v>
      </c>
    </row>
    <row r="115" spans="1:19">
      <c r="A115" s="255">
        <f t="shared" si="33"/>
        <v>68</v>
      </c>
      <c r="B115" s="71" t="s">
        <v>395</v>
      </c>
      <c r="D115" s="372">
        <f t="shared" si="32"/>
        <v>-639807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-78295</v>
      </c>
      <c r="N115" s="174">
        <f>_xll.Get_Balance(N$83,"PTD","USD","Total","A","","001","456018","ED","AN","DL")</f>
        <v>-74042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2"/>
      <c r="R115" s="393"/>
    </row>
    <row r="116" spans="1:19">
      <c r="A116" s="255">
        <f t="shared" si="33"/>
        <v>69</v>
      </c>
      <c r="B116" s="71" t="s">
        <v>213</v>
      </c>
      <c r="D116" s="372">
        <f t="shared" si="32"/>
        <v>-22064038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-3692298</v>
      </c>
      <c r="N116" s="174">
        <f>_xll.Get_Balance(N$83,"PTD","USD","Total","A","","001","456730","ED","AN","DL")</f>
        <v>-1562158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2"/>
      <c r="R116" s="393">
        <f t="shared" si="31"/>
        <v>-22064038</v>
      </c>
    </row>
    <row r="117" spans="1:19">
      <c r="A117" s="255">
        <f t="shared" si="33"/>
        <v>70</v>
      </c>
      <c r="B117" s="52" t="s">
        <v>216</v>
      </c>
      <c r="C117" s="52"/>
      <c r="D117" s="372">
        <f t="shared" si="32"/>
        <v>4812250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709500</v>
      </c>
      <c r="N117" s="160">
        <f>_xll.Get_Balance(N$83,"PTD","USD","Total","A","","001","456711","ED","AN","DL")</f>
        <v>1432550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2"/>
      <c r="R117" s="397">
        <f>SUM(E117:P117)</f>
        <v>4812250</v>
      </c>
    </row>
    <row r="118" spans="1:19">
      <c r="A118" s="255">
        <f t="shared" si="33"/>
        <v>71</v>
      </c>
      <c r="B118" s="242" t="s">
        <v>182</v>
      </c>
      <c r="C118" s="242"/>
      <c r="D118" s="372">
        <f t="shared" si="32"/>
        <v>-4812250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-709500</v>
      </c>
      <c r="N118" s="191">
        <f>_xll.Get_Balance(N$83,"PTD","USD","Total","A","","001","456720","ED","AN","DL")</f>
        <v>-1432550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2"/>
      <c r="R118" s="394">
        <f t="shared" si="31"/>
        <v>-4812250</v>
      </c>
    </row>
    <row r="119" spans="1:19" ht="22.5" customHeight="1">
      <c r="A119" s="405">
        <f>+A118+1</f>
        <v>72</v>
      </c>
      <c r="B119" s="247" t="s">
        <v>247</v>
      </c>
      <c r="C119" s="247"/>
      <c r="D119" s="194">
        <f>SUM(E119:P119)</f>
        <v>-11868405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-1264534</v>
      </c>
      <c r="N119" s="172">
        <f t="shared" si="34"/>
        <v>-1560483</v>
      </c>
      <c r="O119" s="172">
        <f t="shared" si="34"/>
        <v>0</v>
      </c>
      <c r="P119" s="172">
        <f t="shared" si="34"/>
        <v>0</v>
      </c>
      <c r="Q119" s="392"/>
      <c r="R119" s="406">
        <f>SUM(R108:R118)</f>
        <v>-11228598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2"/>
      <c r="R120" s="393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2"/>
      <c r="R121" s="393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2"/>
      <c r="R122" s="397">
        <f>SUM(E122:P122)</f>
        <v>176</v>
      </c>
    </row>
    <row r="123" spans="1:19" ht="18.75" customHeight="1">
      <c r="A123" s="405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>
        <f t="shared" si="35"/>
        <v>0</v>
      </c>
      <c r="N123" s="171">
        <f t="shared" si="35"/>
        <v>0</v>
      </c>
      <c r="O123" s="171">
        <f t="shared" si="35"/>
        <v>0</v>
      </c>
      <c r="P123" s="171">
        <f t="shared" si="35"/>
        <v>0</v>
      </c>
      <c r="Q123" s="392"/>
      <c r="R123" s="393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2"/>
      <c r="R124" s="393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2"/>
      <c r="R125" s="393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7">
        <v>0</v>
      </c>
      <c r="F126" s="407">
        <v>0</v>
      </c>
      <c r="G126" s="407">
        <v>0</v>
      </c>
      <c r="H126" s="407">
        <v>0</v>
      </c>
      <c r="I126" s="407">
        <v>0</v>
      </c>
      <c r="J126" s="407">
        <v>0</v>
      </c>
      <c r="K126" s="407">
        <v>0</v>
      </c>
      <c r="L126" s="407">
        <v>0</v>
      </c>
      <c r="M126" s="407">
        <v>0</v>
      </c>
      <c r="N126" s="407">
        <v>0</v>
      </c>
      <c r="O126" s="407">
        <v>0</v>
      </c>
      <c r="P126" s="407">
        <v>0</v>
      </c>
      <c r="Q126" s="392"/>
      <c r="R126" s="393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641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61</v>
      </c>
      <c r="N127" s="180">
        <f>_xll.Get_Balance(N$83,"PTD","USD","Total","A","","001","557395","ED","AN","DL")</f>
        <v>69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2"/>
      <c r="R127" s="394">
        <f>SUM(E127:P127)</f>
        <v>641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641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61</v>
      </c>
      <c r="N128" s="181">
        <f t="shared" si="36"/>
        <v>69</v>
      </c>
      <c r="O128" s="181">
        <f t="shared" si="36"/>
        <v>0</v>
      </c>
      <c r="P128" s="181">
        <f t="shared" si="36"/>
        <v>0</v>
      </c>
      <c r="Q128" s="392"/>
      <c r="R128" s="393">
        <f>SUM(E128:P128)</f>
        <v>641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2"/>
      <c r="R129" s="393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2"/>
      <c r="R130" s="393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2"/>
      <c r="R131" s="393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2"/>
      <c r="R132" s="394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8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2"/>
      <c r="R134" s="393"/>
    </row>
    <row r="135" spans="1:19" ht="23.25" customHeight="1">
      <c r="A135" s="369">
        <f>A133+1</f>
        <v>82</v>
      </c>
      <c r="B135" s="240" t="s">
        <v>192</v>
      </c>
      <c r="C135" s="240"/>
      <c r="D135" s="194">
        <f>SUM(E135:P135)</f>
        <v>-11867588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>
        <f t="shared" si="38"/>
        <v>-1264473</v>
      </c>
      <c r="N135" s="171">
        <f t="shared" si="38"/>
        <v>-1560414</v>
      </c>
      <c r="O135" s="171">
        <f t="shared" si="38"/>
        <v>0</v>
      </c>
      <c r="P135" s="171">
        <f t="shared" si="38"/>
        <v>0</v>
      </c>
      <c r="Q135" s="392"/>
      <c r="R135" s="393">
        <f>SUM(F135:Q135)</f>
        <v>-11225676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2"/>
      <c r="R136" s="393"/>
    </row>
    <row r="137" spans="1:19" s="184" customFormat="1" ht="25.5" customHeight="1" thickBot="1">
      <c r="A137" s="409">
        <f>A135+1</f>
        <v>83</v>
      </c>
      <c r="B137" s="253" t="s">
        <v>11</v>
      </c>
      <c r="C137" s="253"/>
      <c r="D137" s="410">
        <f>SUM(E137:P137)</f>
        <v>95802038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>
        <f t="shared" si="39"/>
        <v>12369831</v>
      </c>
      <c r="N137" s="198">
        <f t="shared" si="39"/>
        <v>12555774</v>
      </c>
      <c r="O137" s="198">
        <f t="shared" si="39"/>
        <v>31525</v>
      </c>
      <c r="P137" s="198">
        <f t="shared" si="39"/>
        <v>32573</v>
      </c>
      <c r="Q137" s="395"/>
      <c r="R137" s="411"/>
    </row>
    <row r="138" spans="1:19" ht="13.5" thickTop="1"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80"/>
    </row>
    <row r="139" spans="1:19">
      <c r="Q139" s="380"/>
    </row>
    <row r="140" spans="1:19">
      <c r="E140" s="373"/>
      <c r="F140" s="373"/>
      <c r="G140" s="373"/>
      <c r="H140" s="373"/>
      <c r="I140" s="373"/>
      <c r="J140" s="113"/>
      <c r="K140" s="373"/>
      <c r="L140" s="373"/>
      <c r="M140" s="373"/>
      <c r="N140" s="373"/>
      <c r="O140" s="373"/>
      <c r="P140" s="373"/>
      <c r="Q140" s="380"/>
    </row>
    <row r="141" spans="1:19">
      <c r="E141" s="373"/>
      <c r="F141" s="373"/>
      <c r="G141" s="373"/>
      <c r="H141" s="373"/>
      <c r="I141" s="373"/>
      <c r="J141" s="113"/>
      <c r="K141" s="373"/>
      <c r="L141" s="373"/>
      <c r="M141" s="373"/>
      <c r="N141" s="373"/>
      <c r="O141" s="373"/>
      <c r="P141" s="373"/>
      <c r="Q141" s="380"/>
    </row>
    <row r="142" spans="1:19">
      <c r="E142" s="373"/>
      <c r="F142" s="373"/>
      <c r="G142" s="373"/>
      <c r="H142" s="373"/>
      <c r="I142" s="373"/>
      <c r="J142" s="113"/>
      <c r="K142" s="373"/>
      <c r="L142" s="373"/>
      <c r="M142" s="373"/>
      <c r="N142" s="373"/>
      <c r="O142" s="373"/>
      <c r="P142" s="373"/>
      <c r="Q142" s="380"/>
    </row>
    <row r="143" spans="1:19">
      <c r="E143" s="373"/>
      <c r="F143" s="373"/>
      <c r="G143" s="373"/>
      <c r="H143" s="373"/>
      <c r="I143" s="373"/>
      <c r="J143" s="113"/>
      <c r="K143" s="373"/>
      <c r="L143" s="373"/>
      <c r="M143" s="373"/>
      <c r="N143" s="373"/>
      <c r="O143" s="373"/>
      <c r="P143" s="373"/>
      <c r="Q143" s="380"/>
    </row>
    <row r="144" spans="1:19">
      <c r="E144" s="373"/>
      <c r="F144" s="373"/>
      <c r="G144" s="373"/>
      <c r="H144" s="373"/>
      <c r="I144" s="373"/>
      <c r="J144" s="113"/>
      <c r="K144" s="373"/>
      <c r="L144" s="373"/>
      <c r="M144" s="373"/>
      <c r="N144" s="373"/>
      <c r="O144" s="373"/>
      <c r="P144" s="373"/>
      <c r="Q144" s="380"/>
    </row>
    <row r="145" spans="5:17">
      <c r="E145" s="373"/>
      <c r="F145" s="373"/>
      <c r="G145" s="373"/>
      <c r="H145" s="373"/>
      <c r="I145" s="373"/>
      <c r="J145" s="113"/>
      <c r="K145" s="373"/>
      <c r="L145" s="373"/>
      <c r="M145" s="373"/>
      <c r="N145" s="373"/>
      <c r="O145" s="373"/>
      <c r="P145" s="373"/>
      <c r="Q145" s="380"/>
    </row>
    <row r="146" spans="5:17">
      <c r="E146" s="373"/>
      <c r="F146" s="373"/>
      <c r="G146" s="373"/>
      <c r="H146" s="373"/>
      <c r="I146" s="373"/>
      <c r="J146" s="113"/>
      <c r="K146" s="373"/>
      <c r="L146" s="373"/>
      <c r="M146" s="373"/>
      <c r="N146" s="373"/>
      <c r="O146" s="373"/>
      <c r="P146" s="373"/>
      <c r="Q146" s="380"/>
    </row>
    <row r="147" spans="5:17">
      <c r="E147" s="373"/>
      <c r="F147" s="373"/>
      <c r="G147" s="373"/>
      <c r="H147" s="373"/>
      <c r="I147" s="373"/>
      <c r="J147" s="113"/>
      <c r="K147" s="373"/>
      <c r="L147" s="373"/>
      <c r="M147" s="373"/>
      <c r="N147" s="373"/>
      <c r="O147" s="373"/>
      <c r="P147" s="373"/>
      <c r="Q147" s="380"/>
    </row>
    <row r="148" spans="5:17">
      <c r="E148" s="373"/>
      <c r="F148" s="373"/>
      <c r="G148" s="373"/>
      <c r="H148" s="373"/>
      <c r="I148" s="373"/>
      <c r="J148" s="113"/>
      <c r="K148" s="373"/>
      <c r="L148" s="373"/>
      <c r="M148" s="373"/>
      <c r="N148" s="373"/>
      <c r="O148" s="373"/>
      <c r="P148" s="373"/>
      <c r="Q148" s="380"/>
    </row>
    <row r="149" spans="5:17">
      <c r="E149" s="373"/>
      <c r="F149" s="373"/>
      <c r="G149" s="373"/>
      <c r="H149" s="373"/>
      <c r="I149" s="373"/>
      <c r="J149" s="113"/>
      <c r="K149" s="373"/>
      <c r="L149" s="373"/>
      <c r="M149" s="373"/>
      <c r="N149" s="373"/>
      <c r="O149" s="373"/>
      <c r="P149" s="373"/>
      <c r="Q149" s="380"/>
    </row>
    <row r="150" spans="5:17"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80"/>
    </row>
    <row r="151" spans="5:17"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80"/>
    </row>
    <row r="152" spans="5:17"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80"/>
    </row>
    <row r="153" spans="5:17"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80"/>
    </row>
    <row r="154" spans="5:17"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80"/>
    </row>
    <row r="155" spans="5:17"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80"/>
    </row>
    <row r="156" spans="5:17"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80"/>
    </row>
    <row r="157" spans="5:17"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80"/>
    </row>
    <row r="158" spans="5:17"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80"/>
    </row>
    <row r="159" spans="5:17"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80"/>
    </row>
    <row r="160" spans="5:17"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80"/>
    </row>
    <row r="161" spans="5:17"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80"/>
    </row>
    <row r="162" spans="5:17"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80"/>
    </row>
    <row r="163" spans="5:17"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80"/>
    </row>
    <row r="164" spans="5:17"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80"/>
    </row>
    <row r="165" spans="5:17"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80"/>
    </row>
    <row r="166" spans="5:17"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80"/>
    </row>
    <row r="167" spans="5:17"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80"/>
    </row>
    <row r="168" spans="5:17"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80"/>
    </row>
    <row r="169" spans="5:17"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80"/>
    </row>
    <row r="170" spans="5:17"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80"/>
    </row>
    <row r="171" spans="5:17"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80"/>
    </row>
    <row r="172" spans="5:17"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80"/>
    </row>
    <row r="173" spans="5:17"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80"/>
    </row>
    <row r="174" spans="5:17"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80"/>
    </row>
    <row r="175" spans="5:17"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80"/>
    </row>
    <row r="176" spans="5:17">
      <c r="E176" s="373"/>
      <c r="F176" s="373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80"/>
    </row>
    <row r="177" spans="5:17"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73"/>
      <c r="Q177" s="380"/>
    </row>
    <row r="178" spans="5:17"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80"/>
    </row>
    <row r="179" spans="5:17">
      <c r="E179" s="373"/>
      <c r="F179" s="373"/>
      <c r="G179" s="373"/>
      <c r="H179" s="373"/>
      <c r="I179" s="373"/>
      <c r="J179" s="373"/>
      <c r="K179" s="373"/>
      <c r="L179" s="373"/>
      <c r="M179" s="373"/>
      <c r="N179" s="373"/>
      <c r="O179" s="373"/>
      <c r="P179" s="373"/>
      <c r="Q179" s="380"/>
    </row>
    <row r="180" spans="5:17"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80"/>
    </row>
    <row r="181" spans="5:17"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80"/>
    </row>
    <row r="182" spans="5:17"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80"/>
    </row>
    <row r="183" spans="5:17">
      <c r="E183" s="373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80"/>
    </row>
    <row r="184" spans="5:17">
      <c r="E184" s="373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80"/>
    </row>
    <row r="185" spans="5:17">
      <c r="E185" s="373"/>
      <c r="F185" s="373"/>
      <c r="G185" s="373"/>
      <c r="H185" s="373"/>
      <c r="I185" s="373"/>
      <c r="J185" s="373"/>
      <c r="K185" s="373"/>
      <c r="L185" s="373"/>
      <c r="M185" s="373"/>
      <c r="N185" s="373"/>
      <c r="O185" s="373"/>
      <c r="P185" s="373"/>
      <c r="Q185" s="380"/>
    </row>
    <row r="186" spans="5:17"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80"/>
    </row>
    <row r="187" spans="5:17"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3"/>
      <c r="Q187" s="380"/>
    </row>
    <row r="188" spans="5:17"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80"/>
    </row>
    <row r="189" spans="5:17">
      <c r="E189" s="373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80"/>
    </row>
    <row r="190" spans="5:17"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80"/>
    </row>
    <row r="191" spans="5:17"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80"/>
    </row>
    <row r="192" spans="5:17"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80"/>
    </row>
    <row r="193" spans="5:17"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80"/>
    </row>
    <row r="194" spans="5:17"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80"/>
    </row>
    <row r="195" spans="5:17"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80"/>
    </row>
    <row r="196" spans="5:17"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80"/>
    </row>
    <row r="197" spans="5:17">
      <c r="E197" s="373"/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80"/>
    </row>
    <row r="198" spans="5:17"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80"/>
    </row>
    <row r="199" spans="5:17"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  <c r="P199" s="373"/>
      <c r="Q199" s="380"/>
    </row>
    <row r="200" spans="5:17"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80"/>
    </row>
    <row r="201" spans="5:17">
      <c r="E201" s="373"/>
      <c r="F201" s="373"/>
      <c r="G201" s="373"/>
      <c r="H201" s="373"/>
      <c r="I201" s="373"/>
      <c r="J201" s="373"/>
      <c r="K201" s="373"/>
      <c r="L201" s="373"/>
      <c r="M201" s="373"/>
      <c r="N201" s="373"/>
      <c r="O201" s="373"/>
      <c r="P201" s="373"/>
      <c r="Q201" s="380"/>
    </row>
    <row r="202" spans="5:17"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80"/>
    </row>
    <row r="203" spans="5:17">
      <c r="E203" s="373"/>
      <c r="F203" s="373"/>
      <c r="G203" s="373"/>
      <c r="H203" s="373"/>
      <c r="I203" s="373"/>
      <c r="J203" s="373"/>
      <c r="K203" s="373"/>
      <c r="L203" s="373"/>
      <c r="M203" s="373"/>
      <c r="N203" s="373"/>
      <c r="O203" s="373"/>
      <c r="P203" s="373"/>
      <c r="Q203" s="380"/>
    </row>
    <row r="204" spans="5:17"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80"/>
    </row>
    <row r="205" spans="5:17">
      <c r="E205" s="373"/>
      <c r="F205" s="373"/>
      <c r="G205" s="373"/>
      <c r="H205" s="373"/>
      <c r="I205" s="373"/>
      <c r="J205" s="373"/>
      <c r="K205" s="373"/>
      <c r="L205" s="373"/>
      <c r="M205" s="373"/>
      <c r="N205" s="373"/>
      <c r="O205" s="373"/>
      <c r="P205" s="373"/>
      <c r="Q205" s="380"/>
    </row>
    <row r="206" spans="5:17"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80"/>
    </row>
    <row r="207" spans="5:17">
      <c r="E207" s="373"/>
      <c r="F207" s="373"/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80"/>
    </row>
    <row r="208" spans="5:17"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80"/>
    </row>
    <row r="209" spans="5:17"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80"/>
    </row>
    <row r="210" spans="5:17"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80"/>
    </row>
    <row r="211" spans="5:17">
      <c r="E211" s="373"/>
      <c r="F211" s="373"/>
      <c r="G211" s="373"/>
      <c r="H211" s="373"/>
      <c r="I211" s="373"/>
      <c r="J211" s="373"/>
      <c r="K211" s="373"/>
      <c r="L211" s="373"/>
      <c r="M211" s="373"/>
      <c r="N211" s="373"/>
      <c r="O211" s="373"/>
      <c r="P211" s="373"/>
      <c r="Q211" s="380"/>
    </row>
    <row r="212" spans="5:17">
      <c r="E212" s="373"/>
      <c r="F212" s="373"/>
      <c r="G212" s="373"/>
      <c r="H212" s="373"/>
      <c r="I212" s="373"/>
      <c r="J212" s="373"/>
      <c r="K212" s="373"/>
      <c r="L212" s="373"/>
      <c r="M212" s="373"/>
      <c r="N212" s="373"/>
      <c r="O212" s="373"/>
      <c r="P212" s="373"/>
      <c r="Q212" s="380"/>
    </row>
    <row r="213" spans="5:17">
      <c r="E213" s="373"/>
      <c r="F213" s="373"/>
      <c r="G213" s="373"/>
      <c r="H213" s="373"/>
      <c r="I213" s="373"/>
      <c r="J213" s="373"/>
      <c r="K213" s="373"/>
      <c r="L213" s="373"/>
      <c r="M213" s="373"/>
      <c r="N213" s="373"/>
      <c r="O213" s="373"/>
      <c r="P213" s="373"/>
      <c r="Q213" s="380"/>
    </row>
    <row r="214" spans="5:17">
      <c r="E214" s="37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80"/>
    </row>
    <row r="215" spans="5:17">
      <c r="E215" s="373"/>
      <c r="F215" s="373"/>
      <c r="G215" s="373"/>
      <c r="H215" s="373"/>
      <c r="I215" s="373"/>
      <c r="J215" s="373"/>
      <c r="K215" s="373"/>
      <c r="L215" s="373"/>
      <c r="M215" s="373"/>
      <c r="N215" s="373"/>
      <c r="O215" s="373"/>
      <c r="P215" s="373"/>
      <c r="Q215" s="380"/>
    </row>
    <row r="216" spans="5:17">
      <c r="E216" s="373"/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80"/>
    </row>
    <row r="217" spans="5:17">
      <c r="E217" s="373"/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80"/>
    </row>
    <row r="218" spans="5:17"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80"/>
    </row>
    <row r="219" spans="5:17">
      <c r="E219" s="373"/>
      <c r="F219" s="373"/>
      <c r="G219" s="373"/>
      <c r="H219" s="373"/>
      <c r="I219" s="373"/>
      <c r="J219" s="373"/>
      <c r="K219" s="373"/>
      <c r="L219" s="373"/>
      <c r="M219" s="373"/>
      <c r="N219" s="373"/>
      <c r="O219" s="373"/>
      <c r="P219" s="373"/>
      <c r="Q219" s="380"/>
    </row>
    <row r="220" spans="5:17"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80"/>
    </row>
    <row r="221" spans="5:17">
      <c r="E221" s="373"/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80"/>
    </row>
    <row r="222" spans="5:17">
      <c r="E222" s="373"/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  <c r="Q222" s="380"/>
    </row>
    <row r="223" spans="5:17">
      <c r="E223" s="373"/>
      <c r="F223" s="373"/>
      <c r="G223" s="373"/>
      <c r="H223" s="373"/>
      <c r="I223" s="373"/>
      <c r="J223" s="373"/>
      <c r="K223" s="373"/>
      <c r="L223" s="373"/>
      <c r="M223" s="373"/>
      <c r="N223" s="373"/>
      <c r="O223" s="373"/>
      <c r="P223" s="373"/>
      <c r="Q223" s="380"/>
    </row>
    <row r="224" spans="5:17">
      <c r="E224" s="373"/>
      <c r="F224" s="373"/>
      <c r="G224" s="373"/>
      <c r="H224" s="373"/>
      <c r="I224" s="373"/>
      <c r="J224" s="373"/>
      <c r="K224" s="373"/>
      <c r="L224" s="373"/>
      <c r="M224" s="373"/>
      <c r="N224" s="373"/>
      <c r="O224" s="373"/>
      <c r="P224" s="373"/>
      <c r="Q224" s="380"/>
    </row>
    <row r="225" spans="5:17"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80"/>
    </row>
    <row r="226" spans="5:17">
      <c r="E226" s="373"/>
      <c r="F226" s="373"/>
      <c r="G226" s="373"/>
      <c r="H226" s="373"/>
      <c r="I226" s="373"/>
      <c r="J226" s="373"/>
      <c r="K226" s="373"/>
      <c r="L226" s="373"/>
      <c r="M226" s="373"/>
      <c r="N226" s="373"/>
      <c r="O226" s="373"/>
      <c r="P226" s="373"/>
      <c r="Q226" s="380"/>
    </row>
    <row r="227" spans="5:17">
      <c r="E227" s="373"/>
      <c r="F227" s="373"/>
      <c r="G227" s="373"/>
      <c r="H227" s="373"/>
      <c r="I227" s="373"/>
      <c r="J227" s="373"/>
      <c r="K227" s="373"/>
      <c r="L227" s="373"/>
      <c r="M227" s="373"/>
      <c r="N227" s="373"/>
      <c r="O227" s="373"/>
      <c r="P227" s="373"/>
      <c r="Q227" s="380"/>
    </row>
    <row r="228" spans="5:17">
      <c r="E228" s="373"/>
      <c r="F228" s="373"/>
      <c r="G228" s="373"/>
      <c r="H228" s="373"/>
      <c r="I228" s="373"/>
      <c r="J228" s="373"/>
      <c r="K228" s="373"/>
      <c r="L228" s="373"/>
      <c r="M228" s="373"/>
      <c r="N228" s="373"/>
      <c r="O228" s="373"/>
      <c r="P228" s="373"/>
      <c r="Q228" s="380"/>
    </row>
    <row r="229" spans="5:17"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80"/>
    </row>
    <row r="230" spans="5:17"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80"/>
    </row>
    <row r="231" spans="5:17"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80"/>
    </row>
    <row r="232" spans="5:17"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80"/>
    </row>
    <row r="233" spans="5:17">
      <c r="E233" s="373"/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3"/>
      <c r="Q233" s="380"/>
    </row>
    <row r="234" spans="5:17"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80"/>
    </row>
    <row r="235" spans="5:17">
      <c r="E235" s="373"/>
      <c r="F235" s="373"/>
      <c r="G235" s="373"/>
      <c r="H235" s="373"/>
      <c r="I235" s="373"/>
      <c r="J235" s="373"/>
      <c r="K235" s="373"/>
      <c r="L235" s="373"/>
      <c r="M235" s="373"/>
      <c r="N235" s="373"/>
      <c r="O235" s="373"/>
      <c r="P235" s="373"/>
      <c r="Q235" s="380"/>
    </row>
    <row r="236" spans="5:17">
      <c r="E236" s="373"/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3"/>
      <c r="Q236" s="380"/>
    </row>
    <row r="237" spans="5:17"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80"/>
    </row>
    <row r="238" spans="5:17">
      <c r="F238" s="373"/>
      <c r="G238" s="373"/>
      <c r="H238" s="373"/>
      <c r="I238" s="373"/>
      <c r="J238" s="373"/>
      <c r="K238" s="373"/>
      <c r="L238" s="373"/>
      <c r="M238" s="373"/>
      <c r="N238" s="373"/>
      <c r="O238" s="373"/>
      <c r="P238" s="373"/>
      <c r="Q238" s="380"/>
    </row>
    <row r="239" spans="5:17">
      <c r="F239" s="373"/>
      <c r="G239" s="373"/>
      <c r="H239" s="373"/>
      <c r="I239" s="373"/>
      <c r="J239" s="373"/>
      <c r="K239" s="373"/>
      <c r="L239" s="373"/>
      <c r="M239" s="373"/>
      <c r="N239" s="373"/>
      <c r="O239" s="373"/>
      <c r="P239" s="373"/>
      <c r="Q239" s="380"/>
    </row>
    <row r="240" spans="5:17"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80"/>
    </row>
    <row r="241" spans="6:17"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80"/>
    </row>
    <row r="242" spans="6:17"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80"/>
    </row>
    <row r="243" spans="6:17"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80"/>
    </row>
    <row r="244" spans="6:17"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80"/>
    </row>
    <row r="245" spans="6:17"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3"/>
      <c r="Q245" s="380"/>
    </row>
    <row r="246" spans="6:17"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80"/>
    </row>
    <row r="247" spans="6:17"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80"/>
    </row>
    <row r="248" spans="6:17">
      <c r="F248" s="373"/>
      <c r="G248" s="373"/>
      <c r="H248" s="373"/>
      <c r="I248" s="373"/>
      <c r="J248" s="373"/>
      <c r="K248" s="373"/>
      <c r="L248" s="373"/>
      <c r="M248" s="373"/>
      <c r="N248" s="373"/>
      <c r="O248" s="373"/>
      <c r="P248" s="373"/>
      <c r="Q248" s="380"/>
    </row>
    <row r="249" spans="6:17"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80"/>
    </row>
    <row r="250" spans="6:17"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80"/>
    </row>
    <row r="251" spans="6:17"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80"/>
    </row>
    <row r="252" spans="6:17"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80"/>
    </row>
    <row r="253" spans="6:17"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80"/>
    </row>
    <row r="254" spans="6:17"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80"/>
    </row>
    <row r="255" spans="6:17">
      <c r="F255" s="373"/>
      <c r="G255" s="373"/>
      <c r="H255" s="373"/>
      <c r="I255" s="373"/>
      <c r="J255" s="373"/>
      <c r="K255" s="373"/>
      <c r="L255" s="373"/>
      <c r="M255" s="373"/>
      <c r="N255" s="373"/>
      <c r="O255" s="373"/>
      <c r="P255" s="373"/>
      <c r="Q255" s="380"/>
    </row>
    <row r="256" spans="6:17"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80"/>
    </row>
    <row r="257" spans="6:17">
      <c r="F257" s="373"/>
      <c r="G257" s="373"/>
      <c r="H257" s="373"/>
      <c r="I257" s="373"/>
      <c r="J257" s="373"/>
      <c r="K257" s="373"/>
      <c r="L257" s="373"/>
      <c r="M257" s="373"/>
      <c r="N257" s="373"/>
      <c r="O257" s="373"/>
      <c r="P257" s="373"/>
      <c r="Q257" s="380"/>
    </row>
    <row r="258" spans="6:17">
      <c r="F258" s="373"/>
      <c r="G258" s="373"/>
      <c r="H258" s="373"/>
      <c r="I258" s="373"/>
      <c r="J258" s="373"/>
      <c r="K258" s="373"/>
      <c r="L258" s="373"/>
      <c r="M258" s="373"/>
      <c r="N258" s="373"/>
      <c r="O258" s="373"/>
      <c r="P258" s="373"/>
      <c r="Q258" s="380"/>
    </row>
    <row r="259" spans="6:17">
      <c r="F259" s="373"/>
      <c r="G259" s="373"/>
      <c r="H259" s="373"/>
      <c r="I259" s="373"/>
      <c r="J259" s="373"/>
      <c r="K259" s="373"/>
      <c r="L259" s="373"/>
      <c r="M259" s="373"/>
      <c r="N259" s="373"/>
      <c r="O259" s="373"/>
      <c r="P259" s="373"/>
      <c r="Q259" s="380"/>
    </row>
    <row r="260" spans="6:17">
      <c r="F260" s="373"/>
      <c r="G260" s="373"/>
      <c r="H260" s="373"/>
      <c r="I260" s="373"/>
      <c r="J260" s="373"/>
      <c r="K260" s="373"/>
      <c r="L260" s="373"/>
      <c r="M260" s="373"/>
      <c r="N260" s="373"/>
      <c r="O260" s="373"/>
      <c r="P260" s="373"/>
      <c r="Q260" s="380"/>
    </row>
    <row r="261" spans="6:17">
      <c r="F261" s="373"/>
      <c r="G261" s="373"/>
      <c r="H261" s="373"/>
      <c r="I261" s="373"/>
      <c r="J261" s="373"/>
      <c r="K261" s="373"/>
      <c r="L261" s="373"/>
      <c r="M261" s="373"/>
      <c r="N261" s="373"/>
      <c r="O261" s="373"/>
      <c r="P261" s="373"/>
      <c r="Q261" s="380"/>
    </row>
    <row r="262" spans="6:17">
      <c r="F262" s="373"/>
      <c r="G262" s="373"/>
      <c r="H262" s="373"/>
      <c r="I262" s="373"/>
      <c r="J262" s="373"/>
      <c r="K262" s="373"/>
      <c r="L262" s="373"/>
      <c r="M262" s="373"/>
      <c r="N262" s="373"/>
      <c r="O262" s="373"/>
      <c r="P262" s="373"/>
      <c r="Q262" s="380"/>
    </row>
    <row r="263" spans="6:17">
      <c r="F263" s="373"/>
      <c r="G263" s="373"/>
      <c r="H263" s="373"/>
      <c r="I263" s="373"/>
      <c r="J263" s="373"/>
      <c r="K263" s="373"/>
      <c r="L263" s="373"/>
      <c r="M263" s="373"/>
      <c r="N263" s="373"/>
      <c r="O263" s="373"/>
      <c r="P263" s="373"/>
      <c r="Q263" s="380"/>
    </row>
    <row r="264" spans="6:17">
      <c r="F264" s="373"/>
      <c r="G264" s="373"/>
      <c r="H264" s="373"/>
      <c r="I264" s="373"/>
      <c r="J264" s="373"/>
      <c r="K264" s="373"/>
      <c r="L264" s="373"/>
      <c r="M264" s="373"/>
      <c r="N264" s="373"/>
      <c r="O264" s="373"/>
      <c r="P264" s="373"/>
      <c r="Q264" s="380"/>
    </row>
    <row r="265" spans="6:17"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  <c r="P265" s="373"/>
      <c r="Q265" s="380"/>
    </row>
    <row r="266" spans="6:17">
      <c r="F266" s="373"/>
      <c r="G266" s="373"/>
      <c r="H266" s="373"/>
      <c r="I266" s="373"/>
      <c r="J266" s="373"/>
      <c r="K266" s="373"/>
      <c r="L266" s="373"/>
      <c r="M266" s="373"/>
      <c r="N266" s="373"/>
      <c r="O266" s="373"/>
      <c r="P266" s="373"/>
      <c r="Q266" s="380"/>
    </row>
    <row r="267" spans="6:17">
      <c r="F267" s="373"/>
      <c r="G267" s="373"/>
      <c r="H267" s="373"/>
      <c r="I267" s="373"/>
      <c r="J267" s="373"/>
      <c r="K267" s="373"/>
      <c r="L267" s="373"/>
      <c r="M267" s="373"/>
      <c r="N267" s="373"/>
      <c r="O267" s="373"/>
      <c r="P267" s="373"/>
      <c r="Q267" s="380"/>
    </row>
    <row r="268" spans="6:17">
      <c r="F268" s="373"/>
      <c r="G268" s="373"/>
      <c r="H268" s="373"/>
      <c r="I268" s="373"/>
      <c r="J268" s="373"/>
      <c r="K268" s="373"/>
      <c r="L268" s="373"/>
      <c r="M268" s="373"/>
      <c r="N268" s="373"/>
      <c r="O268" s="373"/>
      <c r="P268" s="373"/>
      <c r="Q268" s="380"/>
    </row>
    <row r="269" spans="6:17">
      <c r="F269" s="373"/>
      <c r="G269" s="373"/>
      <c r="H269" s="373"/>
      <c r="I269" s="373"/>
      <c r="J269" s="373"/>
      <c r="K269" s="373"/>
      <c r="L269" s="373"/>
      <c r="M269" s="373"/>
      <c r="N269" s="373"/>
      <c r="O269" s="373"/>
      <c r="P269" s="373"/>
      <c r="Q269" s="380"/>
    </row>
    <row r="270" spans="6:17">
      <c r="F270" s="373"/>
      <c r="G270" s="373"/>
      <c r="H270" s="373"/>
      <c r="I270" s="373"/>
      <c r="J270" s="373"/>
      <c r="K270" s="373"/>
      <c r="L270" s="373"/>
      <c r="M270" s="373"/>
      <c r="N270" s="373"/>
      <c r="O270" s="373"/>
      <c r="P270" s="373"/>
      <c r="Q270" s="380"/>
    </row>
    <row r="271" spans="6:17"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80"/>
    </row>
    <row r="272" spans="6:17">
      <c r="F272" s="373"/>
      <c r="G272" s="373"/>
      <c r="H272" s="373"/>
      <c r="I272" s="373"/>
      <c r="J272" s="373"/>
      <c r="K272" s="373"/>
      <c r="L272" s="373"/>
      <c r="M272" s="373"/>
      <c r="N272" s="373"/>
      <c r="O272" s="373"/>
      <c r="P272" s="373"/>
      <c r="Q272" s="380"/>
    </row>
    <row r="273" spans="6:17">
      <c r="F273" s="373"/>
      <c r="G273" s="373"/>
      <c r="H273" s="373"/>
      <c r="I273" s="373"/>
      <c r="J273" s="373"/>
      <c r="K273" s="373"/>
      <c r="L273" s="373"/>
      <c r="M273" s="373"/>
      <c r="N273" s="373"/>
      <c r="O273" s="373"/>
      <c r="P273" s="373"/>
      <c r="Q273" s="380"/>
    </row>
    <row r="274" spans="6:17"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373"/>
      <c r="Q274" s="380"/>
    </row>
    <row r="275" spans="6:17"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80"/>
    </row>
    <row r="276" spans="6:17">
      <c r="F276" s="373"/>
      <c r="G276" s="373"/>
      <c r="H276" s="373"/>
      <c r="I276" s="373"/>
      <c r="J276" s="373"/>
      <c r="K276" s="373"/>
      <c r="L276" s="373"/>
      <c r="M276" s="373"/>
      <c r="N276" s="373"/>
      <c r="O276" s="373"/>
      <c r="P276" s="373"/>
      <c r="Q276" s="380"/>
    </row>
    <row r="277" spans="6:17"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80"/>
    </row>
    <row r="278" spans="6:17"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80"/>
    </row>
    <row r="279" spans="6:17"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80"/>
    </row>
    <row r="280" spans="6:17">
      <c r="F280" s="373"/>
      <c r="G280" s="373"/>
      <c r="H280" s="373"/>
      <c r="I280" s="373"/>
      <c r="J280" s="373"/>
      <c r="K280" s="373"/>
      <c r="L280" s="373"/>
      <c r="M280" s="373"/>
      <c r="N280" s="373"/>
      <c r="O280" s="373"/>
      <c r="P280" s="373"/>
      <c r="Q280" s="380"/>
    </row>
    <row r="281" spans="6:17">
      <c r="F281" s="373"/>
      <c r="G281" s="373"/>
      <c r="H281" s="373"/>
      <c r="I281" s="373"/>
      <c r="J281" s="373"/>
      <c r="K281" s="373"/>
      <c r="L281" s="373"/>
      <c r="M281" s="373"/>
      <c r="N281" s="373"/>
      <c r="O281" s="373"/>
      <c r="P281" s="373"/>
      <c r="Q281" s="380"/>
    </row>
    <row r="282" spans="6:17">
      <c r="F282" s="373"/>
      <c r="G282" s="373"/>
      <c r="H282" s="373"/>
      <c r="I282" s="373"/>
      <c r="J282" s="373"/>
      <c r="K282" s="373"/>
      <c r="L282" s="373"/>
      <c r="M282" s="373"/>
      <c r="N282" s="373"/>
      <c r="O282" s="373"/>
      <c r="P282" s="373"/>
      <c r="Q282" s="380"/>
    </row>
    <row r="283" spans="6:17">
      <c r="F283" s="373"/>
      <c r="G283" s="373"/>
      <c r="H283" s="373"/>
      <c r="I283" s="373"/>
      <c r="J283" s="373"/>
      <c r="K283" s="373"/>
      <c r="L283" s="373"/>
      <c r="M283" s="373"/>
      <c r="N283" s="373"/>
      <c r="O283" s="373"/>
      <c r="P283" s="373"/>
      <c r="Q283" s="380"/>
    </row>
    <row r="284" spans="6:17">
      <c r="F284" s="373"/>
      <c r="G284" s="373"/>
      <c r="H284" s="373"/>
      <c r="I284" s="373"/>
      <c r="J284" s="373"/>
      <c r="K284" s="373"/>
      <c r="L284" s="373"/>
      <c r="M284" s="373"/>
      <c r="N284" s="373"/>
      <c r="O284" s="373"/>
      <c r="P284" s="373"/>
      <c r="Q284" s="380"/>
    </row>
    <row r="285" spans="6:17">
      <c r="F285" s="373"/>
      <c r="G285" s="373"/>
      <c r="H285" s="373"/>
      <c r="I285" s="373"/>
      <c r="J285" s="373"/>
      <c r="K285" s="373"/>
      <c r="L285" s="373"/>
      <c r="M285" s="373"/>
      <c r="N285" s="373"/>
      <c r="O285" s="373"/>
      <c r="P285" s="373"/>
      <c r="Q285" s="380"/>
    </row>
    <row r="286" spans="6:17">
      <c r="F286" s="373"/>
      <c r="G286" s="373"/>
      <c r="H286" s="373"/>
      <c r="I286" s="373"/>
      <c r="J286" s="373"/>
      <c r="K286" s="373"/>
      <c r="L286" s="373"/>
      <c r="M286" s="373"/>
      <c r="N286" s="373"/>
      <c r="O286" s="373"/>
      <c r="P286" s="373"/>
      <c r="Q286" s="380"/>
    </row>
    <row r="287" spans="6:17">
      <c r="F287" s="373"/>
      <c r="G287" s="373"/>
      <c r="H287" s="373"/>
      <c r="I287" s="373"/>
      <c r="J287" s="373"/>
      <c r="K287" s="373"/>
      <c r="L287" s="373"/>
      <c r="M287" s="373"/>
      <c r="N287" s="373"/>
      <c r="O287" s="373"/>
      <c r="P287" s="373"/>
      <c r="Q287" s="380"/>
    </row>
    <row r="288" spans="6:17"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373"/>
      <c r="Q288" s="380"/>
    </row>
    <row r="289" spans="6:17">
      <c r="F289" s="373"/>
      <c r="G289" s="373"/>
      <c r="H289" s="373"/>
      <c r="I289" s="373"/>
      <c r="J289" s="373"/>
      <c r="K289" s="373"/>
      <c r="L289" s="373"/>
      <c r="M289" s="373"/>
      <c r="N289" s="373"/>
      <c r="O289" s="373"/>
      <c r="P289" s="373"/>
      <c r="Q289" s="380"/>
    </row>
    <row r="290" spans="6:17">
      <c r="F290" s="373"/>
      <c r="G290" s="373"/>
      <c r="H290" s="373"/>
      <c r="I290" s="373"/>
      <c r="J290" s="373"/>
      <c r="K290" s="373"/>
      <c r="L290" s="373"/>
      <c r="M290" s="373"/>
      <c r="N290" s="373"/>
      <c r="O290" s="373"/>
      <c r="P290" s="373"/>
      <c r="Q290" s="380"/>
    </row>
    <row r="291" spans="6:17"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80"/>
    </row>
    <row r="292" spans="6:17">
      <c r="F292" s="373"/>
      <c r="G292" s="373"/>
      <c r="H292" s="373"/>
      <c r="I292" s="373"/>
      <c r="J292" s="373"/>
      <c r="K292" s="373"/>
      <c r="L292" s="373"/>
      <c r="M292" s="373"/>
      <c r="N292" s="373"/>
      <c r="O292" s="373"/>
      <c r="P292" s="373"/>
      <c r="Q292" s="380"/>
    </row>
    <row r="293" spans="6:17">
      <c r="F293" s="373"/>
      <c r="G293" s="373"/>
      <c r="H293" s="373"/>
      <c r="I293" s="373"/>
      <c r="J293" s="373"/>
      <c r="K293" s="373"/>
      <c r="L293" s="373"/>
      <c r="M293" s="373"/>
      <c r="N293" s="373"/>
      <c r="O293" s="373"/>
      <c r="P293" s="373"/>
      <c r="Q293" s="380"/>
    </row>
    <row r="294" spans="6:17"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80"/>
    </row>
    <row r="295" spans="6:17">
      <c r="F295" s="373"/>
      <c r="G295" s="373"/>
      <c r="H295" s="373"/>
      <c r="I295" s="373"/>
      <c r="J295" s="373"/>
      <c r="K295" s="373"/>
      <c r="L295" s="373"/>
      <c r="M295" s="373"/>
      <c r="N295" s="373"/>
      <c r="O295" s="373"/>
      <c r="P295" s="373"/>
      <c r="Q295" s="380"/>
    </row>
    <row r="296" spans="6:17"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80"/>
    </row>
    <row r="297" spans="6:17"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  <c r="P297" s="373"/>
      <c r="Q297" s="380"/>
    </row>
    <row r="298" spans="6:17">
      <c r="F298" s="373"/>
      <c r="G298" s="373"/>
      <c r="H298" s="373"/>
      <c r="I298" s="373"/>
      <c r="J298" s="373"/>
      <c r="K298" s="373"/>
      <c r="L298" s="373"/>
      <c r="M298" s="373"/>
      <c r="N298" s="373"/>
      <c r="O298" s="373"/>
      <c r="P298" s="373"/>
      <c r="Q298" s="380"/>
    </row>
    <row r="299" spans="6:17">
      <c r="F299" s="373"/>
      <c r="G299" s="373"/>
      <c r="H299" s="373"/>
      <c r="I299" s="373"/>
      <c r="J299" s="373"/>
      <c r="K299" s="373"/>
      <c r="L299" s="373"/>
      <c r="M299" s="373"/>
      <c r="N299" s="373"/>
      <c r="O299" s="373"/>
      <c r="P299" s="373"/>
      <c r="Q299" s="380"/>
    </row>
    <row r="300" spans="6:17">
      <c r="F300" s="373"/>
      <c r="G300" s="373"/>
      <c r="H300" s="373"/>
      <c r="I300" s="373"/>
      <c r="J300" s="373"/>
      <c r="K300" s="373"/>
      <c r="L300" s="373"/>
      <c r="M300" s="373"/>
      <c r="N300" s="373"/>
      <c r="O300" s="373"/>
      <c r="P300" s="373"/>
      <c r="Q300" s="380"/>
    </row>
    <row r="301" spans="6:17">
      <c r="F301" s="373"/>
      <c r="G301" s="373"/>
      <c r="H301" s="373"/>
      <c r="I301" s="373"/>
      <c r="J301" s="373"/>
      <c r="K301" s="373"/>
      <c r="L301" s="373"/>
      <c r="M301" s="373"/>
      <c r="N301" s="373"/>
      <c r="O301" s="373"/>
      <c r="P301" s="373"/>
      <c r="Q301" s="380"/>
    </row>
    <row r="302" spans="6:17"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80"/>
    </row>
    <row r="303" spans="6:17"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80"/>
    </row>
    <row r="304" spans="6:17"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80"/>
    </row>
    <row r="305" spans="6:17">
      <c r="F305" s="373"/>
      <c r="G305" s="373"/>
      <c r="H305" s="373"/>
      <c r="I305" s="373"/>
      <c r="J305" s="373"/>
      <c r="K305" s="373"/>
      <c r="L305" s="373"/>
      <c r="M305" s="373"/>
      <c r="N305" s="373"/>
      <c r="O305" s="373"/>
      <c r="P305" s="373"/>
      <c r="Q305" s="380"/>
    </row>
    <row r="306" spans="6:17">
      <c r="F306" s="373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80"/>
    </row>
    <row r="307" spans="6:17">
      <c r="F307" s="373"/>
      <c r="G307" s="373"/>
      <c r="H307" s="373"/>
      <c r="I307" s="373"/>
      <c r="J307" s="373"/>
      <c r="K307" s="373"/>
      <c r="L307" s="373"/>
      <c r="M307" s="373"/>
      <c r="N307" s="373"/>
      <c r="O307" s="373"/>
      <c r="P307" s="373"/>
      <c r="Q307" s="380"/>
    </row>
    <row r="308" spans="6:17"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80"/>
    </row>
    <row r="309" spans="6:17">
      <c r="F309" s="373"/>
      <c r="G309" s="373"/>
      <c r="H309" s="373"/>
      <c r="I309" s="373"/>
      <c r="J309" s="373"/>
      <c r="K309" s="373"/>
      <c r="L309" s="373"/>
      <c r="M309" s="373"/>
      <c r="N309" s="373"/>
      <c r="O309" s="373"/>
      <c r="P309" s="373"/>
      <c r="Q309" s="380"/>
    </row>
    <row r="310" spans="6:17">
      <c r="F310" s="373"/>
      <c r="G310" s="373"/>
      <c r="H310" s="373"/>
      <c r="I310" s="373"/>
      <c r="J310" s="373"/>
      <c r="K310" s="373"/>
      <c r="L310" s="373"/>
      <c r="M310" s="373"/>
      <c r="N310" s="373"/>
      <c r="O310" s="373"/>
      <c r="P310" s="373"/>
      <c r="Q310" s="380"/>
    </row>
    <row r="311" spans="6:17"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80"/>
    </row>
    <row r="312" spans="6:17">
      <c r="F312" s="373"/>
      <c r="G312" s="373"/>
      <c r="H312" s="373"/>
      <c r="I312" s="373"/>
      <c r="J312" s="373"/>
      <c r="K312" s="373"/>
      <c r="L312" s="373"/>
      <c r="M312" s="373"/>
      <c r="N312" s="373"/>
      <c r="O312" s="373"/>
      <c r="P312" s="373"/>
      <c r="Q312" s="380"/>
    </row>
    <row r="313" spans="6:17">
      <c r="F313" s="373"/>
      <c r="G313" s="373"/>
      <c r="H313" s="373"/>
      <c r="I313" s="373"/>
      <c r="J313" s="373"/>
      <c r="K313" s="373"/>
      <c r="L313" s="373"/>
      <c r="M313" s="373"/>
      <c r="N313" s="373"/>
      <c r="O313" s="373"/>
      <c r="P313" s="373"/>
      <c r="Q313" s="380"/>
    </row>
    <row r="314" spans="6:17"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80"/>
    </row>
    <row r="315" spans="6:17">
      <c r="F315" s="373"/>
      <c r="G315" s="373"/>
      <c r="H315" s="373"/>
      <c r="I315" s="373"/>
      <c r="J315" s="373"/>
      <c r="K315" s="373"/>
      <c r="L315" s="373"/>
      <c r="M315" s="373"/>
      <c r="N315" s="373"/>
      <c r="O315" s="373"/>
      <c r="P315" s="373"/>
      <c r="Q315" s="380"/>
    </row>
    <row r="316" spans="6:17">
      <c r="F316" s="373"/>
      <c r="G316" s="373"/>
      <c r="H316" s="373"/>
      <c r="I316" s="373"/>
      <c r="J316" s="373"/>
      <c r="K316" s="373"/>
      <c r="L316" s="373"/>
      <c r="M316" s="373"/>
      <c r="N316" s="373"/>
      <c r="O316" s="373"/>
      <c r="P316" s="373"/>
      <c r="Q316" s="380"/>
    </row>
    <row r="317" spans="6:17"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80"/>
    </row>
    <row r="318" spans="6:17"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80"/>
    </row>
    <row r="319" spans="6:17"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80"/>
    </row>
    <row r="320" spans="6:17"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80"/>
    </row>
    <row r="321" spans="6:17">
      <c r="F321" s="373"/>
      <c r="G321" s="373"/>
      <c r="H321" s="373"/>
      <c r="I321" s="373"/>
      <c r="J321" s="373"/>
      <c r="K321" s="373"/>
      <c r="L321" s="373"/>
      <c r="M321" s="373"/>
      <c r="N321" s="373"/>
      <c r="O321" s="373"/>
      <c r="P321" s="373"/>
      <c r="Q321" s="380"/>
    </row>
    <row r="322" spans="6:17"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80"/>
    </row>
    <row r="323" spans="6:17"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73"/>
      <c r="Q323" s="380"/>
    </row>
    <row r="324" spans="6:17">
      <c r="F324" s="373"/>
      <c r="G324" s="373"/>
      <c r="H324" s="373"/>
      <c r="I324" s="373"/>
      <c r="J324" s="373"/>
      <c r="K324" s="373"/>
      <c r="L324" s="373"/>
      <c r="M324" s="373"/>
      <c r="N324" s="373"/>
      <c r="O324" s="373"/>
      <c r="P324" s="373"/>
      <c r="Q324" s="380"/>
    </row>
    <row r="325" spans="6:17"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80"/>
    </row>
    <row r="326" spans="6:17"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80"/>
    </row>
    <row r="327" spans="6:17">
      <c r="F327" s="373"/>
      <c r="G327" s="373"/>
      <c r="H327" s="373"/>
      <c r="I327" s="373"/>
      <c r="J327" s="373"/>
      <c r="K327" s="373"/>
      <c r="L327" s="373"/>
      <c r="M327" s="373"/>
      <c r="N327" s="373"/>
      <c r="O327" s="373"/>
      <c r="P327" s="373"/>
      <c r="Q327" s="380"/>
    </row>
    <row r="328" spans="6:17">
      <c r="F328" s="373"/>
      <c r="G328" s="373"/>
      <c r="H328" s="373"/>
      <c r="I328" s="373"/>
      <c r="J328" s="373"/>
      <c r="K328" s="373"/>
      <c r="L328" s="373"/>
      <c r="M328" s="373"/>
      <c r="N328" s="373"/>
      <c r="O328" s="373"/>
      <c r="P328" s="373"/>
      <c r="Q328" s="380"/>
    </row>
    <row r="329" spans="6:17">
      <c r="F329" s="373"/>
      <c r="G329" s="373"/>
      <c r="H329" s="373"/>
      <c r="I329" s="373"/>
      <c r="J329" s="373"/>
      <c r="K329" s="373"/>
      <c r="L329" s="373"/>
      <c r="M329" s="373"/>
      <c r="N329" s="373"/>
      <c r="O329" s="373"/>
      <c r="P329" s="373"/>
      <c r="Q329" s="380"/>
    </row>
    <row r="330" spans="6:17"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80"/>
    </row>
    <row r="331" spans="6:17"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80"/>
    </row>
    <row r="332" spans="6:17"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80"/>
    </row>
    <row r="333" spans="6:17">
      <c r="F333" s="373"/>
      <c r="G333" s="373"/>
      <c r="H333" s="373"/>
      <c r="I333" s="373"/>
      <c r="J333" s="373"/>
      <c r="K333" s="373"/>
      <c r="L333" s="373"/>
      <c r="M333" s="373"/>
      <c r="N333" s="373"/>
      <c r="O333" s="373"/>
      <c r="P333" s="373"/>
      <c r="Q333" s="380"/>
    </row>
    <row r="334" spans="6:17">
      <c r="F334" s="373"/>
      <c r="G334" s="373"/>
      <c r="H334" s="373"/>
      <c r="I334" s="373"/>
      <c r="J334" s="373"/>
      <c r="K334" s="373"/>
      <c r="L334" s="373"/>
      <c r="M334" s="373"/>
      <c r="N334" s="373"/>
      <c r="O334" s="373"/>
      <c r="P334" s="373"/>
      <c r="Q334" s="380"/>
    </row>
    <row r="335" spans="6:17">
      <c r="F335" s="373"/>
      <c r="G335" s="373"/>
      <c r="H335" s="373"/>
      <c r="I335" s="373"/>
      <c r="J335" s="373"/>
      <c r="K335" s="373"/>
      <c r="L335" s="373"/>
      <c r="M335" s="373"/>
      <c r="N335" s="373"/>
      <c r="O335" s="373"/>
      <c r="P335" s="373"/>
      <c r="Q335" s="380"/>
    </row>
    <row r="336" spans="6:17"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80"/>
    </row>
    <row r="337" spans="6:17">
      <c r="F337" s="373"/>
      <c r="G337" s="373"/>
      <c r="H337" s="373"/>
      <c r="I337" s="373"/>
      <c r="J337" s="373"/>
      <c r="K337" s="373"/>
      <c r="L337" s="373"/>
      <c r="M337" s="373"/>
      <c r="N337" s="373"/>
      <c r="O337" s="373"/>
      <c r="P337" s="373"/>
      <c r="Q337" s="380"/>
    </row>
    <row r="338" spans="6:17"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80"/>
    </row>
    <row r="339" spans="6:17">
      <c r="F339" s="373"/>
      <c r="G339" s="373"/>
      <c r="H339" s="373"/>
      <c r="I339" s="373"/>
      <c r="J339" s="373"/>
      <c r="K339" s="373"/>
      <c r="L339" s="373"/>
      <c r="M339" s="373"/>
      <c r="N339" s="373"/>
      <c r="O339" s="373"/>
      <c r="P339" s="373"/>
      <c r="Q339" s="380"/>
    </row>
    <row r="340" spans="6:17">
      <c r="F340" s="373"/>
      <c r="G340" s="373"/>
      <c r="H340" s="373"/>
      <c r="I340" s="373"/>
      <c r="J340" s="373"/>
      <c r="K340" s="373"/>
      <c r="L340" s="373"/>
      <c r="M340" s="373"/>
      <c r="N340" s="373"/>
      <c r="O340" s="373"/>
      <c r="P340" s="373"/>
      <c r="Q340" s="380"/>
    </row>
    <row r="341" spans="6:17">
      <c r="F341" s="373"/>
      <c r="G341" s="373"/>
      <c r="H341" s="373"/>
      <c r="I341" s="373"/>
      <c r="J341" s="373"/>
      <c r="K341" s="373"/>
      <c r="L341" s="373"/>
      <c r="M341" s="373"/>
      <c r="N341" s="373"/>
      <c r="O341" s="373"/>
      <c r="P341" s="373"/>
      <c r="Q341" s="380"/>
    </row>
    <row r="342" spans="6:17">
      <c r="F342" s="373"/>
      <c r="G342" s="373"/>
      <c r="H342" s="373"/>
      <c r="I342" s="373"/>
      <c r="J342" s="373"/>
      <c r="K342" s="373"/>
      <c r="L342" s="373"/>
      <c r="M342" s="373"/>
      <c r="N342" s="373"/>
      <c r="O342" s="373"/>
      <c r="P342" s="373"/>
      <c r="Q342" s="380"/>
    </row>
    <row r="343" spans="6:17"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80"/>
    </row>
    <row r="344" spans="6:17"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73"/>
      <c r="Q344" s="380"/>
    </row>
    <row r="345" spans="6:17"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80"/>
    </row>
    <row r="346" spans="6:17"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80"/>
    </row>
    <row r="347" spans="6:17">
      <c r="F347" s="373"/>
      <c r="G347" s="373"/>
      <c r="H347" s="373"/>
      <c r="I347" s="373"/>
      <c r="J347" s="373"/>
      <c r="K347" s="373"/>
      <c r="L347" s="373"/>
      <c r="M347" s="373"/>
      <c r="N347" s="373"/>
      <c r="O347" s="373"/>
      <c r="P347" s="373"/>
      <c r="Q347" s="380"/>
    </row>
    <row r="348" spans="6:17">
      <c r="F348" s="373"/>
      <c r="G348" s="373"/>
      <c r="H348" s="373"/>
      <c r="I348" s="373"/>
      <c r="J348" s="373"/>
      <c r="K348" s="373"/>
      <c r="L348" s="373"/>
      <c r="M348" s="373"/>
      <c r="N348" s="373"/>
      <c r="O348" s="373"/>
      <c r="P348" s="373"/>
      <c r="Q348" s="380"/>
    </row>
    <row r="349" spans="6:17">
      <c r="F349" s="373"/>
      <c r="G349" s="373"/>
      <c r="H349" s="373"/>
      <c r="I349" s="373"/>
      <c r="J349" s="373"/>
      <c r="K349" s="373"/>
      <c r="L349" s="373"/>
      <c r="M349" s="373"/>
      <c r="N349" s="373"/>
      <c r="O349" s="373"/>
      <c r="P349" s="373"/>
      <c r="Q349" s="380"/>
    </row>
    <row r="350" spans="6:17">
      <c r="F350" s="373"/>
      <c r="G350" s="373"/>
      <c r="H350" s="373"/>
      <c r="I350" s="373"/>
      <c r="J350" s="373"/>
      <c r="K350" s="373"/>
      <c r="L350" s="373"/>
      <c r="M350" s="373"/>
      <c r="N350" s="373"/>
      <c r="O350" s="373"/>
      <c r="P350" s="373"/>
      <c r="Q350" s="380"/>
    </row>
    <row r="351" spans="6:17"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80"/>
    </row>
    <row r="352" spans="6:17"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80"/>
    </row>
    <row r="353" spans="6:17"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80"/>
    </row>
    <row r="354" spans="6:17"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80"/>
    </row>
    <row r="355" spans="6:17"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3"/>
      <c r="Q355" s="380"/>
    </row>
    <row r="356" spans="6:17"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80"/>
    </row>
    <row r="357" spans="6:17">
      <c r="F357" s="373"/>
      <c r="G357" s="373"/>
      <c r="H357" s="373"/>
      <c r="I357" s="373"/>
      <c r="J357" s="373"/>
      <c r="K357" s="373"/>
      <c r="L357" s="373"/>
      <c r="M357" s="373"/>
      <c r="N357" s="373"/>
      <c r="O357" s="373"/>
      <c r="P357" s="373"/>
      <c r="Q357" s="380"/>
    </row>
    <row r="358" spans="6:17">
      <c r="F358" s="373"/>
      <c r="G358" s="373"/>
      <c r="H358" s="373"/>
      <c r="I358" s="373"/>
      <c r="J358" s="373"/>
      <c r="K358" s="373"/>
      <c r="L358" s="373"/>
      <c r="M358" s="373"/>
      <c r="N358" s="373"/>
      <c r="O358" s="373"/>
      <c r="P358" s="373"/>
      <c r="Q358" s="380"/>
    </row>
    <row r="359" spans="6:17"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80"/>
    </row>
    <row r="360" spans="6:17">
      <c r="F360" s="373"/>
      <c r="G360" s="373"/>
      <c r="H360" s="373"/>
      <c r="I360" s="373"/>
      <c r="J360" s="373"/>
      <c r="K360" s="373"/>
      <c r="L360" s="373"/>
      <c r="M360" s="373"/>
      <c r="N360" s="373"/>
      <c r="O360" s="373"/>
      <c r="P360" s="373"/>
      <c r="Q360" s="380"/>
    </row>
    <row r="361" spans="6:17">
      <c r="F361" s="373"/>
      <c r="G361" s="373"/>
      <c r="H361" s="373"/>
      <c r="I361" s="373"/>
      <c r="J361" s="373"/>
      <c r="K361" s="373"/>
      <c r="L361" s="373"/>
      <c r="M361" s="373"/>
      <c r="N361" s="373"/>
      <c r="O361" s="373"/>
      <c r="P361" s="373"/>
      <c r="Q361" s="380"/>
    </row>
    <row r="362" spans="6:17">
      <c r="F362" s="373"/>
      <c r="G362" s="373"/>
      <c r="H362" s="373"/>
      <c r="I362" s="373"/>
      <c r="J362" s="373"/>
      <c r="K362" s="373"/>
      <c r="L362" s="373"/>
      <c r="M362" s="373"/>
      <c r="N362" s="373"/>
      <c r="O362" s="373"/>
      <c r="P362" s="373"/>
      <c r="Q362" s="380"/>
    </row>
    <row r="363" spans="6:17">
      <c r="F363" s="373"/>
      <c r="G363" s="373"/>
      <c r="H363" s="373"/>
      <c r="I363" s="373"/>
      <c r="J363" s="373"/>
      <c r="K363" s="373"/>
      <c r="L363" s="373"/>
      <c r="M363" s="373"/>
      <c r="N363" s="373"/>
      <c r="O363" s="373"/>
      <c r="P363" s="373"/>
      <c r="Q363" s="380"/>
    </row>
    <row r="364" spans="6:17">
      <c r="F364" s="373"/>
      <c r="G364" s="373"/>
      <c r="H364" s="373"/>
      <c r="I364" s="373"/>
      <c r="J364" s="373"/>
      <c r="K364" s="373"/>
      <c r="L364" s="373"/>
      <c r="M364" s="373"/>
      <c r="N364" s="373"/>
      <c r="O364" s="373"/>
      <c r="P364" s="373"/>
      <c r="Q364" s="380"/>
    </row>
    <row r="365" spans="6:17">
      <c r="F365" s="373"/>
      <c r="G365" s="373"/>
      <c r="H365" s="373"/>
      <c r="I365" s="373"/>
      <c r="J365" s="373"/>
      <c r="K365" s="373"/>
      <c r="L365" s="373"/>
      <c r="M365" s="373"/>
      <c r="N365" s="373"/>
      <c r="O365" s="373"/>
      <c r="P365" s="373"/>
      <c r="Q365" s="380"/>
    </row>
    <row r="366" spans="6:17">
      <c r="F366" s="373"/>
      <c r="G366" s="373"/>
      <c r="H366" s="373"/>
      <c r="I366" s="373"/>
      <c r="J366" s="373"/>
      <c r="K366" s="373"/>
      <c r="L366" s="373"/>
      <c r="M366" s="373"/>
      <c r="N366" s="373"/>
      <c r="O366" s="373"/>
      <c r="P366" s="373"/>
      <c r="Q366" s="380"/>
    </row>
    <row r="367" spans="6:17">
      <c r="F367" s="373"/>
      <c r="G367" s="373"/>
      <c r="H367" s="373"/>
      <c r="I367" s="373"/>
      <c r="J367" s="373"/>
      <c r="K367" s="373"/>
      <c r="L367" s="373"/>
      <c r="M367" s="373"/>
      <c r="N367" s="373"/>
      <c r="O367" s="373"/>
      <c r="P367" s="373"/>
      <c r="Q367" s="380"/>
    </row>
    <row r="368" spans="6:17"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80"/>
    </row>
    <row r="369" spans="6:17">
      <c r="F369" s="373"/>
      <c r="G369" s="373"/>
      <c r="H369" s="373"/>
      <c r="I369" s="373"/>
      <c r="J369" s="373"/>
      <c r="K369" s="373"/>
      <c r="L369" s="373"/>
      <c r="M369" s="373"/>
      <c r="N369" s="373"/>
      <c r="O369" s="373"/>
      <c r="P369" s="373"/>
      <c r="Q369" s="380"/>
    </row>
    <row r="370" spans="6:17"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80"/>
    </row>
    <row r="371" spans="6:17">
      <c r="F371" s="373"/>
      <c r="G371" s="373"/>
      <c r="H371" s="373"/>
      <c r="I371" s="373"/>
      <c r="J371" s="373"/>
      <c r="K371" s="373"/>
      <c r="L371" s="373"/>
      <c r="M371" s="373"/>
      <c r="N371" s="373"/>
      <c r="O371" s="373"/>
      <c r="P371" s="373"/>
      <c r="Q371" s="380"/>
    </row>
    <row r="372" spans="6:17"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80"/>
    </row>
    <row r="373" spans="6:17"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73"/>
      <c r="Q373" s="380"/>
    </row>
    <row r="374" spans="6:17">
      <c r="F374" s="373"/>
      <c r="G374" s="373"/>
      <c r="H374" s="373"/>
      <c r="I374" s="373"/>
      <c r="J374" s="373"/>
      <c r="K374" s="373"/>
      <c r="L374" s="373"/>
      <c r="M374" s="373"/>
      <c r="N374" s="373"/>
      <c r="O374" s="373"/>
      <c r="P374" s="373"/>
      <c r="Q374" s="380"/>
    </row>
    <row r="375" spans="6:17">
      <c r="F375" s="373"/>
      <c r="G375" s="373"/>
      <c r="H375" s="373"/>
      <c r="I375" s="373"/>
      <c r="J375" s="373"/>
      <c r="K375" s="373"/>
      <c r="L375" s="373"/>
      <c r="M375" s="373"/>
      <c r="N375" s="373"/>
      <c r="O375" s="373"/>
      <c r="P375" s="373"/>
      <c r="Q375" s="380"/>
    </row>
    <row r="376" spans="6:17">
      <c r="F376" s="373"/>
      <c r="G376" s="373"/>
      <c r="H376" s="373"/>
      <c r="I376" s="373"/>
      <c r="J376" s="373"/>
      <c r="K376" s="373"/>
      <c r="L376" s="373"/>
      <c r="M376" s="373"/>
      <c r="N376" s="373"/>
      <c r="O376" s="373"/>
      <c r="P376" s="373"/>
      <c r="Q376" s="380"/>
    </row>
    <row r="377" spans="6:17">
      <c r="F377" s="373"/>
      <c r="G377" s="373"/>
      <c r="H377" s="373"/>
      <c r="I377" s="373"/>
      <c r="J377" s="373"/>
      <c r="K377" s="373"/>
      <c r="L377" s="373"/>
      <c r="M377" s="373"/>
      <c r="N377" s="373"/>
      <c r="O377" s="373"/>
      <c r="P377" s="373"/>
      <c r="Q377" s="380"/>
    </row>
    <row r="378" spans="6:17">
      <c r="F378" s="373"/>
      <c r="G378" s="373"/>
      <c r="H378" s="373"/>
      <c r="I378" s="373"/>
      <c r="J378" s="373"/>
      <c r="K378" s="373"/>
      <c r="L378" s="373"/>
      <c r="M378" s="373"/>
      <c r="N378" s="373"/>
      <c r="O378" s="373"/>
      <c r="P378" s="373"/>
      <c r="Q378" s="380"/>
    </row>
    <row r="379" spans="6:17">
      <c r="F379" s="373"/>
      <c r="G379" s="373"/>
      <c r="H379" s="373"/>
      <c r="I379" s="373"/>
      <c r="J379" s="373"/>
      <c r="K379" s="373"/>
      <c r="L379" s="373"/>
      <c r="M379" s="373"/>
      <c r="N379" s="373"/>
      <c r="O379" s="373"/>
      <c r="P379" s="373"/>
      <c r="Q379" s="380"/>
    </row>
    <row r="380" spans="6:17">
      <c r="F380" s="373"/>
      <c r="G380" s="373"/>
      <c r="H380" s="373"/>
      <c r="I380" s="373"/>
      <c r="J380" s="373"/>
      <c r="K380" s="373"/>
      <c r="L380" s="373"/>
      <c r="M380" s="373"/>
      <c r="N380" s="373"/>
      <c r="O380" s="373"/>
      <c r="P380" s="373"/>
      <c r="Q380" s="380"/>
    </row>
    <row r="381" spans="6:17">
      <c r="F381" s="373"/>
      <c r="G381" s="373"/>
      <c r="H381" s="373"/>
      <c r="I381" s="373"/>
      <c r="J381" s="373"/>
      <c r="K381" s="373"/>
      <c r="L381" s="373"/>
      <c r="M381" s="373"/>
      <c r="N381" s="373"/>
      <c r="O381" s="373"/>
      <c r="P381" s="373"/>
      <c r="Q381" s="380"/>
    </row>
    <row r="382" spans="6:17">
      <c r="F382" s="373"/>
      <c r="G382" s="373"/>
      <c r="H382" s="373"/>
      <c r="I382" s="373"/>
      <c r="J382" s="373"/>
      <c r="K382" s="373"/>
      <c r="L382" s="373"/>
      <c r="M382" s="373"/>
      <c r="N382" s="373"/>
      <c r="O382" s="373"/>
      <c r="P382" s="373"/>
      <c r="Q382" s="380"/>
    </row>
    <row r="383" spans="6:17">
      <c r="F383" s="373"/>
      <c r="G383" s="373"/>
      <c r="H383" s="373"/>
      <c r="I383" s="373"/>
      <c r="J383" s="373"/>
      <c r="K383" s="373"/>
      <c r="L383" s="373"/>
      <c r="M383" s="373"/>
      <c r="N383" s="373"/>
      <c r="O383" s="373"/>
      <c r="P383" s="373"/>
      <c r="Q383" s="380"/>
    </row>
    <row r="384" spans="6:17">
      <c r="F384" s="373"/>
      <c r="G384" s="373"/>
      <c r="H384" s="373"/>
      <c r="I384" s="373"/>
      <c r="J384" s="373"/>
      <c r="K384" s="373"/>
      <c r="L384" s="373"/>
      <c r="M384" s="373"/>
      <c r="N384" s="373"/>
      <c r="O384" s="373"/>
      <c r="P384" s="373"/>
      <c r="Q384" s="380"/>
    </row>
    <row r="385" spans="6:17">
      <c r="F385" s="373"/>
      <c r="G385" s="373"/>
      <c r="H385" s="373"/>
      <c r="I385" s="373"/>
      <c r="J385" s="373"/>
      <c r="K385" s="373"/>
      <c r="L385" s="373"/>
      <c r="M385" s="373"/>
      <c r="N385" s="373"/>
      <c r="O385" s="373"/>
      <c r="P385" s="373"/>
      <c r="Q385" s="380"/>
    </row>
    <row r="386" spans="6:17">
      <c r="F386" s="373"/>
      <c r="G386" s="373"/>
      <c r="H386" s="373"/>
      <c r="I386" s="373"/>
      <c r="J386" s="373"/>
      <c r="K386" s="373"/>
      <c r="L386" s="373"/>
      <c r="M386" s="373"/>
      <c r="N386" s="373"/>
      <c r="O386" s="373"/>
      <c r="P386" s="373"/>
      <c r="Q386" s="380"/>
    </row>
    <row r="387" spans="6:17">
      <c r="F387" s="373"/>
      <c r="G387" s="373"/>
      <c r="H387" s="373"/>
      <c r="I387" s="373"/>
      <c r="J387" s="373"/>
      <c r="K387" s="373"/>
      <c r="L387" s="373"/>
      <c r="M387" s="373"/>
      <c r="N387" s="373"/>
      <c r="O387" s="373"/>
      <c r="P387" s="373"/>
      <c r="Q387" s="380"/>
    </row>
    <row r="388" spans="6:17">
      <c r="F388" s="373"/>
      <c r="G388" s="373"/>
      <c r="H388" s="373"/>
      <c r="I388" s="373"/>
      <c r="J388" s="373"/>
      <c r="K388" s="373"/>
      <c r="L388" s="373"/>
      <c r="M388" s="373"/>
      <c r="N388" s="373"/>
      <c r="O388" s="373"/>
      <c r="P388" s="373"/>
      <c r="Q388" s="380"/>
    </row>
    <row r="389" spans="6:17">
      <c r="F389" s="373"/>
      <c r="G389" s="373"/>
      <c r="H389" s="373"/>
      <c r="I389" s="373"/>
      <c r="J389" s="373"/>
      <c r="K389" s="373"/>
      <c r="L389" s="373"/>
      <c r="M389" s="373"/>
      <c r="N389" s="373"/>
      <c r="O389" s="373"/>
      <c r="P389" s="373"/>
      <c r="Q389" s="380"/>
    </row>
    <row r="390" spans="6:17">
      <c r="F390" s="373"/>
      <c r="G390" s="373"/>
      <c r="H390" s="373"/>
      <c r="I390" s="373"/>
      <c r="J390" s="373"/>
      <c r="K390" s="373"/>
      <c r="L390" s="373"/>
      <c r="M390" s="373"/>
      <c r="N390" s="373"/>
      <c r="O390" s="373"/>
      <c r="P390" s="373"/>
      <c r="Q390" s="380"/>
    </row>
    <row r="391" spans="6:17">
      <c r="F391" s="373"/>
      <c r="G391" s="373"/>
      <c r="H391" s="373"/>
      <c r="I391" s="373"/>
      <c r="J391" s="373"/>
      <c r="K391" s="373"/>
      <c r="L391" s="373"/>
      <c r="M391" s="373"/>
      <c r="N391" s="373"/>
      <c r="O391" s="373"/>
      <c r="P391" s="373"/>
      <c r="Q391" s="380"/>
    </row>
    <row r="392" spans="6:17">
      <c r="F392" s="373"/>
      <c r="G392" s="373"/>
      <c r="H392" s="373"/>
      <c r="I392" s="373"/>
      <c r="J392" s="373"/>
      <c r="K392" s="373"/>
      <c r="L392" s="373"/>
      <c r="M392" s="373"/>
      <c r="N392" s="373"/>
      <c r="O392" s="373"/>
      <c r="P392" s="373"/>
      <c r="Q392" s="380"/>
    </row>
    <row r="393" spans="6:17">
      <c r="F393" s="373"/>
      <c r="G393" s="373"/>
      <c r="H393" s="373"/>
      <c r="I393" s="373"/>
      <c r="J393" s="373"/>
      <c r="K393" s="373"/>
      <c r="L393" s="373"/>
      <c r="M393" s="373"/>
      <c r="N393" s="373"/>
      <c r="O393" s="373"/>
      <c r="P393" s="373"/>
      <c r="Q393" s="380"/>
    </row>
    <row r="394" spans="6:17">
      <c r="F394" s="373"/>
      <c r="G394" s="373"/>
      <c r="H394" s="373"/>
      <c r="I394" s="373"/>
      <c r="J394" s="373"/>
      <c r="K394" s="373"/>
      <c r="L394" s="373"/>
      <c r="M394" s="373"/>
      <c r="N394" s="373"/>
      <c r="O394" s="373"/>
      <c r="P394" s="373"/>
      <c r="Q394" s="380"/>
    </row>
    <row r="395" spans="6:17"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380"/>
    </row>
    <row r="396" spans="6:17"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  <c r="P396" s="373"/>
      <c r="Q396" s="380"/>
    </row>
    <row r="397" spans="6:17">
      <c r="F397" s="373"/>
      <c r="G397" s="373"/>
      <c r="H397" s="373"/>
      <c r="I397" s="373"/>
      <c r="J397" s="373"/>
      <c r="K397" s="373"/>
      <c r="L397" s="373"/>
      <c r="M397" s="373"/>
      <c r="N397" s="373"/>
      <c r="O397" s="373"/>
      <c r="P397" s="373"/>
      <c r="Q397" s="380"/>
    </row>
    <row r="398" spans="6:17">
      <c r="F398" s="373"/>
      <c r="G398" s="373"/>
      <c r="H398" s="373"/>
      <c r="I398" s="373"/>
      <c r="J398" s="373"/>
      <c r="K398" s="373"/>
      <c r="L398" s="373"/>
      <c r="M398" s="373"/>
      <c r="N398" s="373"/>
      <c r="O398" s="373"/>
      <c r="P398" s="373"/>
      <c r="Q398" s="380"/>
    </row>
    <row r="399" spans="6:17">
      <c r="F399" s="373"/>
      <c r="G399" s="373"/>
      <c r="H399" s="373"/>
      <c r="I399" s="373"/>
      <c r="J399" s="373"/>
      <c r="K399" s="373"/>
      <c r="L399" s="373"/>
      <c r="M399" s="373"/>
      <c r="N399" s="373"/>
      <c r="O399" s="373"/>
      <c r="P399" s="373"/>
      <c r="Q399" s="380"/>
    </row>
    <row r="400" spans="6:17">
      <c r="F400" s="373"/>
      <c r="G400" s="373"/>
      <c r="H400" s="373"/>
      <c r="I400" s="373"/>
      <c r="J400" s="373"/>
      <c r="K400" s="373"/>
      <c r="L400" s="373"/>
      <c r="M400" s="373"/>
      <c r="N400" s="373"/>
      <c r="O400" s="373"/>
      <c r="P400" s="373"/>
      <c r="Q400" s="380"/>
    </row>
    <row r="401" spans="6:17">
      <c r="F401" s="373"/>
      <c r="G401" s="373"/>
      <c r="H401" s="373"/>
      <c r="I401" s="373"/>
      <c r="J401" s="373"/>
      <c r="K401" s="373"/>
      <c r="L401" s="373"/>
      <c r="M401" s="373"/>
      <c r="N401" s="373"/>
      <c r="O401" s="373"/>
      <c r="P401" s="373"/>
      <c r="Q401" s="380"/>
    </row>
    <row r="402" spans="6:17">
      <c r="F402" s="373"/>
      <c r="G402" s="373"/>
      <c r="H402" s="373"/>
      <c r="I402" s="373"/>
      <c r="J402" s="373"/>
      <c r="K402" s="373"/>
      <c r="L402" s="373"/>
      <c r="M402" s="373"/>
      <c r="N402" s="373"/>
      <c r="O402" s="373"/>
      <c r="P402" s="373"/>
      <c r="Q402" s="380"/>
    </row>
    <row r="403" spans="6:17">
      <c r="F403" s="373"/>
      <c r="G403" s="373"/>
      <c r="H403" s="373"/>
      <c r="I403" s="373"/>
      <c r="J403" s="373"/>
      <c r="K403" s="373"/>
      <c r="L403" s="373"/>
      <c r="M403" s="373"/>
      <c r="N403" s="373"/>
      <c r="O403" s="373"/>
      <c r="P403" s="373"/>
      <c r="Q403" s="380"/>
    </row>
    <row r="404" spans="6:17">
      <c r="F404" s="373"/>
      <c r="G404" s="373"/>
      <c r="H404" s="373"/>
      <c r="I404" s="373"/>
      <c r="J404" s="373"/>
      <c r="K404" s="373"/>
      <c r="L404" s="373"/>
      <c r="M404" s="373"/>
      <c r="N404" s="373"/>
      <c r="O404" s="373"/>
      <c r="P404" s="373"/>
      <c r="Q404" s="380"/>
    </row>
    <row r="405" spans="6:17">
      <c r="F405" s="373"/>
      <c r="G405" s="373"/>
      <c r="H405" s="373"/>
      <c r="I405" s="373"/>
      <c r="J405" s="373"/>
      <c r="K405" s="373"/>
      <c r="L405" s="373"/>
      <c r="M405" s="373"/>
      <c r="N405" s="373"/>
      <c r="O405" s="373"/>
      <c r="P405" s="373"/>
      <c r="Q405" s="380"/>
    </row>
    <row r="406" spans="6:17">
      <c r="F406" s="373"/>
      <c r="G406" s="373"/>
      <c r="H406" s="373"/>
      <c r="I406" s="373"/>
      <c r="J406" s="373"/>
      <c r="K406" s="373"/>
      <c r="L406" s="373"/>
      <c r="M406" s="373"/>
      <c r="N406" s="373"/>
      <c r="O406" s="373"/>
      <c r="P406" s="373"/>
      <c r="Q406" s="380"/>
    </row>
    <row r="407" spans="6:17"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73"/>
      <c r="Q407" s="380"/>
    </row>
    <row r="408" spans="6:17">
      <c r="F408" s="373"/>
      <c r="G408" s="373"/>
      <c r="H408" s="373"/>
      <c r="I408" s="373"/>
      <c r="J408" s="373"/>
      <c r="K408" s="373"/>
      <c r="L408" s="373"/>
      <c r="M408" s="373"/>
      <c r="N408" s="373"/>
      <c r="O408" s="373"/>
      <c r="P408" s="373"/>
      <c r="Q408" s="380"/>
    </row>
    <row r="409" spans="6:17">
      <c r="F409" s="373"/>
      <c r="G409" s="373"/>
      <c r="H409" s="373"/>
      <c r="I409" s="373"/>
      <c r="J409" s="373"/>
      <c r="K409" s="373"/>
      <c r="L409" s="373"/>
      <c r="M409" s="373"/>
      <c r="N409" s="373"/>
      <c r="O409" s="373"/>
      <c r="P409" s="373"/>
      <c r="Q409" s="380"/>
    </row>
    <row r="410" spans="6:17">
      <c r="F410" s="373"/>
      <c r="G410" s="373"/>
      <c r="H410" s="373"/>
      <c r="I410" s="373"/>
      <c r="J410" s="373"/>
      <c r="K410" s="373"/>
      <c r="L410" s="373"/>
      <c r="M410" s="373"/>
      <c r="N410" s="373"/>
      <c r="O410" s="373"/>
      <c r="P410" s="373"/>
      <c r="Q410" s="380"/>
    </row>
    <row r="411" spans="6:17">
      <c r="F411" s="373"/>
      <c r="G411" s="373"/>
      <c r="H411" s="373"/>
      <c r="I411" s="373"/>
      <c r="J411" s="373"/>
      <c r="K411" s="373"/>
      <c r="L411" s="373"/>
      <c r="M411" s="373"/>
      <c r="N411" s="373"/>
      <c r="O411" s="373"/>
      <c r="P411" s="373"/>
      <c r="Q411" s="380"/>
    </row>
    <row r="412" spans="6:17">
      <c r="F412" s="373"/>
      <c r="G412" s="373"/>
      <c r="H412" s="373"/>
      <c r="I412" s="373"/>
      <c r="J412" s="373"/>
      <c r="K412" s="373"/>
      <c r="L412" s="373"/>
      <c r="M412" s="373"/>
      <c r="N412" s="373"/>
      <c r="O412" s="373"/>
      <c r="P412" s="373"/>
      <c r="Q412" s="380"/>
    </row>
    <row r="413" spans="6:17">
      <c r="F413" s="373"/>
      <c r="G413" s="373"/>
      <c r="H413" s="373"/>
      <c r="I413" s="373"/>
      <c r="J413" s="373"/>
      <c r="K413" s="373"/>
      <c r="L413" s="373"/>
      <c r="M413" s="373"/>
      <c r="N413" s="373"/>
      <c r="O413" s="373"/>
      <c r="P413" s="373"/>
      <c r="Q413" s="380"/>
    </row>
    <row r="414" spans="6:17">
      <c r="F414" s="373"/>
      <c r="G414" s="373"/>
      <c r="H414" s="373"/>
      <c r="I414" s="373"/>
      <c r="J414" s="373"/>
      <c r="K414" s="373"/>
      <c r="L414" s="373"/>
      <c r="M414" s="373"/>
      <c r="N414" s="373"/>
      <c r="O414" s="373"/>
      <c r="P414" s="373"/>
      <c r="Q414" s="380"/>
    </row>
    <row r="415" spans="6:17">
      <c r="F415" s="373"/>
      <c r="G415" s="373"/>
      <c r="H415" s="373"/>
      <c r="I415" s="373"/>
      <c r="J415" s="373"/>
      <c r="K415" s="373"/>
      <c r="L415" s="373"/>
      <c r="M415" s="373"/>
      <c r="N415" s="373"/>
      <c r="O415" s="373"/>
      <c r="P415" s="373"/>
      <c r="Q415" s="380"/>
    </row>
    <row r="416" spans="6:17">
      <c r="F416" s="373"/>
      <c r="G416" s="373"/>
      <c r="H416" s="373"/>
      <c r="I416" s="373"/>
      <c r="J416" s="373"/>
      <c r="K416" s="373"/>
      <c r="L416" s="373"/>
      <c r="M416" s="373"/>
      <c r="N416" s="373"/>
      <c r="O416" s="373"/>
      <c r="P416" s="373"/>
      <c r="Q416" s="380"/>
    </row>
    <row r="417" spans="6:17">
      <c r="F417" s="373"/>
      <c r="G417" s="373"/>
      <c r="H417" s="373"/>
      <c r="I417" s="373"/>
      <c r="J417" s="373"/>
      <c r="K417" s="373"/>
      <c r="L417" s="373"/>
      <c r="M417" s="373"/>
      <c r="N417" s="373"/>
      <c r="O417" s="373"/>
      <c r="P417" s="373"/>
      <c r="Q417" s="380"/>
    </row>
    <row r="418" spans="6:17">
      <c r="F418" s="373"/>
      <c r="G418" s="373"/>
      <c r="H418" s="373"/>
      <c r="I418" s="373"/>
      <c r="J418" s="373"/>
      <c r="K418" s="373"/>
      <c r="L418" s="373"/>
      <c r="M418" s="373"/>
      <c r="N418" s="373"/>
      <c r="O418" s="373"/>
      <c r="P418" s="373"/>
      <c r="Q418" s="380"/>
    </row>
    <row r="419" spans="6:17">
      <c r="F419" s="373"/>
      <c r="G419" s="373"/>
      <c r="H419" s="373"/>
      <c r="I419" s="373"/>
      <c r="J419" s="373"/>
      <c r="K419" s="373"/>
      <c r="L419" s="373"/>
      <c r="M419" s="373"/>
      <c r="N419" s="373"/>
      <c r="O419" s="373"/>
      <c r="P419" s="373"/>
      <c r="Q419" s="380"/>
    </row>
    <row r="420" spans="6:17">
      <c r="F420" s="373"/>
      <c r="G420" s="373"/>
      <c r="H420" s="373"/>
      <c r="I420" s="373"/>
      <c r="J420" s="373"/>
      <c r="K420" s="373"/>
      <c r="L420" s="373"/>
      <c r="M420" s="373"/>
      <c r="N420" s="373"/>
      <c r="O420" s="373"/>
      <c r="P420" s="373"/>
      <c r="Q420" s="380"/>
    </row>
    <row r="421" spans="6:17">
      <c r="F421" s="373"/>
      <c r="G421" s="373"/>
      <c r="H421" s="373"/>
      <c r="I421" s="373"/>
      <c r="J421" s="373"/>
      <c r="K421" s="373"/>
      <c r="L421" s="373"/>
      <c r="M421" s="373"/>
      <c r="N421" s="373"/>
      <c r="O421" s="373"/>
      <c r="P421" s="373"/>
      <c r="Q421" s="380"/>
    </row>
    <row r="422" spans="6:17">
      <c r="F422" s="373"/>
      <c r="G422" s="373"/>
      <c r="H422" s="373"/>
      <c r="I422" s="373"/>
      <c r="J422" s="373"/>
      <c r="K422" s="373"/>
      <c r="L422" s="373"/>
      <c r="M422" s="373"/>
      <c r="N422" s="373"/>
      <c r="O422" s="373"/>
      <c r="P422" s="373"/>
      <c r="Q422" s="380"/>
    </row>
    <row r="423" spans="6:17">
      <c r="F423" s="373"/>
      <c r="G423" s="373"/>
      <c r="H423" s="373"/>
      <c r="I423" s="373"/>
      <c r="J423" s="373"/>
      <c r="K423" s="373"/>
      <c r="L423" s="373"/>
      <c r="M423" s="373"/>
      <c r="N423" s="373"/>
      <c r="O423" s="373"/>
      <c r="P423" s="373"/>
      <c r="Q423" s="380"/>
    </row>
    <row r="424" spans="6:17">
      <c r="F424" s="373"/>
      <c r="G424" s="373"/>
      <c r="H424" s="373"/>
      <c r="I424" s="373"/>
      <c r="J424" s="373"/>
      <c r="K424" s="373"/>
      <c r="L424" s="373"/>
      <c r="M424" s="373"/>
      <c r="N424" s="373"/>
      <c r="O424" s="373"/>
      <c r="P424" s="373"/>
      <c r="Q424" s="380"/>
    </row>
    <row r="425" spans="6:17">
      <c r="F425" s="373"/>
      <c r="G425" s="373"/>
      <c r="H425" s="373"/>
      <c r="I425" s="373"/>
      <c r="J425" s="373"/>
      <c r="K425" s="373"/>
      <c r="L425" s="373"/>
      <c r="M425" s="373"/>
      <c r="N425" s="373"/>
      <c r="O425" s="373"/>
      <c r="P425" s="373"/>
      <c r="Q425" s="380"/>
    </row>
    <row r="426" spans="6:17">
      <c r="F426" s="373"/>
      <c r="G426" s="373"/>
      <c r="H426" s="373"/>
      <c r="I426" s="373"/>
      <c r="J426" s="373"/>
      <c r="K426" s="373"/>
      <c r="L426" s="373"/>
      <c r="M426" s="373"/>
      <c r="N426" s="373"/>
      <c r="O426" s="373"/>
      <c r="P426" s="373"/>
      <c r="Q426" s="380"/>
    </row>
    <row r="427" spans="6:17">
      <c r="F427" s="373"/>
      <c r="G427" s="373"/>
      <c r="H427" s="373"/>
      <c r="I427" s="373"/>
      <c r="J427" s="373"/>
      <c r="K427" s="373"/>
      <c r="L427" s="373"/>
      <c r="M427" s="373"/>
      <c r="N427" s="373"/>
      <c r="O427" s="373"/>
      <c r="P427" s="373"/>
      <c r="Q427" s="380"/>
    </row>
    <row r="428" spans="6:17">
      <c r="F428" s="373"/>
      <c r="G428" s="373"/>
      <c r="H428" s="373"/>
      <c r="I428" s="373"/>
      <c r="J428" s="373"/>
      <c r="K428" s="373"/>
      <c r="L428" s="373"/>
      <c r="M428" s="373"/>
      <c r="N428" s="373"/>
      <c r="O428" s="373"/>
      <c r="P428" s="373"/>
      <c r="Q428" s="380"/>
    </row>
    <row r="429" spans="6:17">
      <c r="F429" s="373"/>
      <c r="G429" s="373"/>
      <c r="H429" s="373"/>
      <c r="I429" s="373"/>
      <c r="J429" s="373"/>
      <c r="K429" s="373"/>
      <c r="L429" s="373"/>
      <c r="M429" s="373"/>
      <c r="N429" s="373"/>
      <c r="O429" s="373"/>
      <c r="P429" s="373"/>
      <c r="Q429" s="380"/>
    </row>
    <row r="430" spans="6:17">
      <c r="F430" s="373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80"/>
    </row>
    <row r="431" spans="6:17"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80"/>
    </row>
    <row r="432" spans="6:17">
      <c r="F432" s="373"/>
      <c r="G432" s="373"/>
      <c r="H432" s="373"/>
      <c r="I432" s="373"/>
      <c r="J432" s="373"/>
      <c r="K432" s="373"/>
      <c r="L432" s="373"/>
      <c r="M432" s="373"/>
      <c r="N432" s="373"/>
      <c r="O432" s="373"/>
      <c r="P432" s="373"/>
      <c r="Q432" s="380"/>
    </row>
    <row r="433" spans="6:17">
      <c r="F433" s="373"/>
      <c r="G433" s="373"/>
      <c r="H433" s="373"/>
      <c r="I433" s="373"/>
      <c r="J433" s="373"/>
      <c r="K433" s="373"/>
      <c r="L433" s="373"/>
      <c r="M433" s="373"/>
      <c r="N433" s="373"/>
      <c r="O433" s="373"/>
      <c r="P433" s="373"/>
      <c r="Q433" s="380"/>
    </row>
    <row r="434" spans="6:17">
      <c r="F434" s="373"/>
      <c r="G434" s="373"/>
      <c r="H434" s="373"/>
      <c r="I434" s="373"/>
      <c r="J434" s="373"/>
      <c r="K434" s="373"/>
      <c r="L434" s="373"/>
      <c r="M434" s="373"/>
      <c r="N434" s="373"/>
      <c r="O434" s="373"/>
      <c r="P434" s="373"/>
      <c r="Q434" s="380"/>
    </row>
    <row r="435" spans="6:17"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80"/>
    </row>
    <row r="436" spans="6:17">
      <c r="F436" s="373"/>
      <c r="G436" s="373"/>
      <c r="H436" s="373"/>
      <c r="I436" s="373"/>
      <c r="J436" s="373"/>
      <c r="K436" s="373"/>
      <c r="L436" s="373"/>
      <c r="M436" s="373"/>
      <c r="N436" s="373"/>
      <c r="O436" s="373"/>
      <c r="P436" s="373"/>
      <c r="Q436" s="380"/>
    </row>
    <row r="437" spans="6:17">
      <c r="F437" s="373"/>
      <c r="G437" s="373"/>
      <c r="H437" s="373"/>
      <c r="I437" s="373"/>
      <c r="J437" s="373"/>
      <c r="K437" s="373"/>
      <c r="L437" s="373"/>
      <c r="M437" s="373"/>
      <c r="N437" s="373"/>
      <c r="O437" s="373"/>
      <c r="P437" s="373"/>
      <c r="Q437" s="380"/>
    </row>
    <row r="438" spans="6:17">
      <c r="F438" s="373"/>
      <c r="G438" s="373"/>
      <c r="H438" s="373"/>
      <c r="I438" s="373"/>
      <c r="J438" s="373"/>
      <c r="K438" s="373"/>
      <c r="L438" s="373"/>
      <c r="M438" s="373"/>
      <c r="N438" s="373"/>
      <c r="O438" s="373"/>
      <c r="P438" s="373"/>
      <c r="Q438" s="380"/>
    </row>
    <row r="439" spans="6:17">
      <c r="F439" s="373"/>
      <c r="G439" s="373"/>
      <c r="H439" s="373"/>
      <c r="I439" s="373"/>
      <c r="J439" s="373"/>
      <c r="K439" s="373"/>
      <c r="L439" s="373"/>
      <c r="M439" s="373"/>
      <c r="N439" s="373"/>
      <c r="O439" s="373"/>
      <c r="P439" s="373"/>
      <c r="Q439" s="380"/>
    </row>
    <row r="440" spans="6:17">
      <c r="F440" s="373"/>
      <c r="G440" s="373"/>
      <c r="H440" s="373"/>
      <c r="I440" s="373"/>
      <c r="J440" s="373"/>
      <c r="K440" s="373"/>
      <c r="L440" s="373"/>
      <c r="M440" s="373"/>
      <c r="N440" s="373"/>
      <c r="O440" s="373"/>
      <c r="P440" s="373"/>
      <c r="Q440" s="380"/>
    </row>
    <row r="441" spans="6:17">
      <c r="F441" s="373"/>
      <c r="G441" s="373"/>
      <c r="H441" s="373"/>
      <c r="I441" s="373"/>
      <c r="J441" s="373"/>
      <c r="K441" s="373"/>
      <c r="L441" s="373"/>
      <c r="M441" s="373"/>
      <c r="N441" s="373"/>
      <c r="O441" s="373"/>
      <c r="P441" s="373"/>
      <c r="Q441" s="380"/>
    </row>
    <row r="442" spans="6:17">
      <c r="F442" s="373"/>
      <c r="G442" s="373"/>
      <c r="H442" s="373"/>
      <c r="I442" s="373"/>
      <c r="J442" s="373"/>
      <c r="K442" s="373"/>
      <c r="L442" s="373"/>
      <c r="M442" s="373"/>
      <c r="N442" s="373"/>
      <c r="O442" s="373"/>
      <c r="P442" s="373"/>
      <c r="Q442" s="380"/>
    </row>
    <row r="443" spans="6:17">
      <c r="F443" s="373"/>
      <c r="G443" s="373"/>
      <c r="H443" s="373"/>
      <c r="I443" s="373"/>
      <c r="J443" s="373"/>
      <c r="K443" s="373"/>
      <c r="L443" s="373"/>
      <c r="M443" s="373"/>
      <c r="N443" s="373"/>
      <c r="O443" s="373"/>
      <c r="P443" s="373"/>
      <c r="Q443" s="380"/>
    </row>
    <row r="444" spans="6:17">
      <c r="F444" s="373"/>
      <c r="G444" s="373"/>
      <c r="H444" s="373"/>
      <c r="I444" s="373"/>
      <c r="J444" s="373"/>
      <c r="K444" s="373"/>
      <c r="L444" s="373"/>
      <c r="M444" s="373"/>
      <c r="N444" s="373"/>
      <c r="O444" s="373"/>
      <c r="P444" s="373"/>
      <c r="Q444" s="380"/>
    </row>
    <row r="445" spans="6:17">
      <c r="F445" s="373"/>
      <c r="G445" s="373"/>
      <c r="H445" s="373"/>
      <c r="I445" s="373"/>
      <c r="J445" s="373"/>
      <c r="K445" s="373"/>
      <c r="L445" s="373"/>
      <c r="M445" s="373"/>
      <c r="N445" s="373"/>
      <c r="O445" s="373"/>
      <c r="P445" s="373"/>
      <c r="Q445" s="380"/>
    </row>
    <row r="446" spans="6:17">
      <c r="F446" s="373"/>
      <c r="G446" s="373"/>
      <c r="H446" s="373"/>
      <c r="I446" s="373"/>
      <c r="J446" s="373"/>
      <c r="K446" s="373"/>
      <c r="L446" s="373"/>
      <c r="M446" s="373"/>
      <c r="N446" s="373"/>
      <c r="O446" s="373"/>
      <c r="P446" s="373"/>
      <c r="Q446" s="380"/>
    </row>
    <row r="447" spans="6:17">
      <c r="F447" s="373"/>
      <c r="G447" s="373"/>
      <c r="H447" s="373"/>
      <c r="I447" s="373"/>
      <c r="J447" s="373"/>
      <c r="K447" s="373"/>
      <c r="L447" s="373"/>
      <c r="M447" s="373"/>
      <c r="N447" s="373"/>
      <c r="O447" s="373"/>
      <c r="P447" s="373"/>
      <c r="Q447" s="380"/>
    </row>
    <row r="448" spans="6:17">
      <c r="F448" s="373"/>
      <c r="G448" s="373"/>
      <c r="H448" s="373"/>
      <c r="I448" s="373"/>
      <c r="J448" s="373"/>
      <c r="K448" s="373"/>
      <c r="L448" s="373"/>
      <c r="M448" s="373"/>
      <c r="N448" s="373"/>
      <c r="O448" s="373"/>
      <c r="P448" s="373"/>
      <c r="Q448" s="380"/>
    </row>
    <row r="449" spans="6:17"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80"/>
    </row>
    <row r="450" spans="6:17">
      <c r="F450" s="373"/>
      <c r="G450" s="373"/>
      <c r="H450" s="373"/>
      <c r="I450" s="373"/>
      <c r="J450" s="373"/>
      <c r="K450" s="373"/>
      <c r="L450" s="373"/>
      <c r="M450" s="373"/>
      <c r="N450" s="373"/>
      <c r="O450" s="373"/>
      <c r="P450" s="373"/>
      <c r="Q450" s="380"/>
    </row>
    <row r="451" spans="6:17">
      <c r="F451" s="373"/>
      <c r="G451" s="373"/>
      <c r="H451" s="373"/>
      <c r="I451" s="373"/>
      <c r="J451" s="373"/>
      <c r="K451" s="373"/>
      <c r="L451" s="373"/>
      <c r="M451" s="373"/>
      <c r="N451" s="373"/>
      <c r="O451" s="373"/>
      <c r="P451" s="373"/>
      <c r="Q451" s="380"/>
    </row>
    <row r="452" spans="6:17">
      <c r="F452" s="373"/>
      <c r="G452" s="373"/>
      <c r="H452" s="373"/>
      <c r="I452" s="373"/>
      <c r="J452" s="373"/>
      <c r="K452" s="373"/>
      <c r="L452" s="373"/>
      <c r="M452" s="373"/>
      <c r="N452" s="373"/>
      <c r="O452" s="373"/>
      <c r="P452" s="373"/>
      <c r="Q452" s="380"/>
    </row>
    <row r="453" spans="6:17">
      <c r="F453" s="373"/>
      <c r="G453" s="373"/>
      <c r="H453" s="373"/>
      <c r="I453" s="373"/>
      <c r="J453" s="373"/>
      <c r="K453" s="373"/>
      <c r="L453" s="373"/>
      <c r="M453" s="373"/>
      <c r="N453" s="373"/>
      <c r="O453" s="373"/>
      <c r="P453" s="373"/>
      <c r="Q453" s="380"/>
    </row>
    <row r="454" spans="6:17">
      <c r="F454" s="373"/>
      <c r="G454" s="373"/>
      <c r="H454" s="373"/>
      <c r="I454" s="373"/>
      <c r="J454" s="373"/>
      <c r="K454" s="373"/>
      <c r="L454" s="373"/>
      <c r="M454" s="373"/>
      <c r="N454" s="373"/>
      <c r="O454" s="373"/>
      <c r="P454" s="373"/>
      <c r="Q454" s="380"/>
    </row>
    <row r="455" spans="6:17">
      <c r="F455" s="373"/>
      <c r="G455" s="373"/>
      <c r="H455" s="373"/>
      <c r="I455" s="373"/>
      <c r="J455" s="373"/>
      <c r="K455" s="373"/>
      <c r="L455" s="373"/>
      <c r="M455" s="373"/>
      <c r="N455" s="373"/>
      <c r="O455" s="373"/>
      <c r="P455" s="373"/>
      <c r="Q455" s="380"/>
    </row>
    <row r="456" spans="6:17">
      <c r="F456" s="373"/>
      <c r="G456" s="373"/>
      <c r="H456" s="373"/>
      <c r="I456" s="373"/>
      <c r="J456" s="373"/>
      <c r="K456" s="373"/>
      <c r="L456" s="373"/>
      <c r="M456" s="373"/>
      <c r="N456" s="373"/>
      <c r="O456" s="373"/>
      <c r="P456" s="373"/>
      <c r="Q456" s="380"/>
    </row>
    <row r="457" spans="6:17">
      <c r="F457" s="373"/>
      <c r="G457" s="373"/>
      <c r="H457" s="373"/>
      <c r="I457" s="373"/>
      <c r="J457" s="373"/>
      <c r="K457" s="373"/>
      <c r="L457" s="373"/>
      <c r="M457" s="373"/>
      <c r="N457" s="373"/>
      <c r="O457" s="373"/>
      <c r="P457" s="373"/>
      <c r="Q457" s="380"/>
    </row>
    <row r="458" spans="6:17">
      <c r="F458" s="373"/>
      <c r="G458" s="373"/>
      <c r="H458" s="373"/>
      <c r="I458" s="373"/>
      <c r="J458" s="373"/>
      <c r="K458" s="373"/>
      <c r="L458" s="373"/>
      <c r="M458" s="373"/>
      <c r="N458" s="373"/>
      <c r="O458" s="373"/>
      <c r="P458" s="373"/>
      <c r="Q458" s="380"/>
    </row>
    <row r="459" spans="6:17">
      <c r="F459" s="373"/>
      <c r="G459" s="373"/>
      <c r="H459" s="373"/>
      <c r="I459" s="373"/>
      <c r="J459" s="373"/>
      <c r="K459" s="373"/>
      <c r="L459" s="373"/>
      <c r="M459" s="373"/>
      <c r="N459" s="373"/>
      <c r="O459" s="373"/>
      <c r="P459" s="373"/>
      <c r="Q459" s="380"/>
    </row>
    <row r="460" spans="6:17">
      <c r="F460" s="373"/>
      <c r="G460" s="373"/>
      <c r="H460" s="373"/>
      <c r="I460" s="373"/>
      <c r="J460" s="373"/>
      <c r="K460" s="373"/>
      <c r="L460" s="373"/>
      <c r="M460" s="373"/>
      <c r="N460" s="373"/>
      <c r="O460" s="373"/>
      <c r="P460" s="373"/>
      <c r="Q460" s="380"/>
    </row>
    <row r="461" spans="6:17">
      <c r="F461" s="373"/>
      <c r="G461" s="373"/>
      <c r="H461" s="373"/>
      <c r="I461" s="373"/>
      <c r="J461" s="373"/>
      <c r="K461" s="373"/>
      <c r="L461" s="373"/>
      <c r="M461" s="373"/>
      <c r="N461" s="373"/>
      <c r="O461" s="373"/>
      <c r="P461" s="373"/>
      <c r="Q461" s="380"/>
    </row>
    <row r="462" spans="6:17"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  <c r="P462" s="373"/>
      <c r="Q462" s="380"/>
    </row>
    <row r="463" spans="6:17">
      <c r="F463" s="373"/>
      <c r="G463" s="373"/>
      <c r="H463" s="373"/>
      <c r="I463" s="373"/>
      <c r="J463" s="373"/>
      <c r="K463" s="373"/>
      <c r="L463" s="373"/>
      <c r="M463" s="373"/>
      <c r="N463" s="373"/>
      <c r="O463" s="373"/>
      <c r="P463" s="373"/>
      <c r="Q463" s="380"/>
    </row>
    <row r="464" spans="6:17">
      <c r="F464" s="373"/>
      <c r="G464" s="373"/>
      <c r="H464" s="373"/>
      <c r="I464" s="373"/>
      <c r="J464" s="373"/>
      <c r="K464" s="373"/>
      <c r="L464" s="373"/>
      <c r="M464" s="373"/>
      <c r="N464" s="373"/>
      <c r="O464" s="373"/>
      <c r="P464" s="373"/>
      <c r="Q464" s="380"/>
    </row>
    <row r="465" spans="6:17">
      <c r="F465" s="373"/>
      <c r="G465" s="373"/>
      <c r="H465" s="373"/>
      <c r="I465" s="373"/>
      <c r="J465" s="373"/>
      <c r="K465" s="373"/>
      <c r="L465" s="373"/>
      <c r="M465" s="373"/>
      <c r="N465" s="373"/>
      <c r="O465" s="373"/>
      <c r="P465" s="373"/>
      <c r="Q465" s="380"/>
    </row>
    <row r="466" spans="6:17">
      <c r="F466" s="373"/>
      <c r="G466" s="373"/>
      <c r="H466" s="373"/>
      <c r="I466" s="373"/>
      <c r="J466" s="373"/>
      <c r="K466" s="373"/>
      <c r="L466" s="373"/>
      <c r="M466" s="373"/>
      <c r="N466" s="373"/>
      <c r="O466" s="373"/>
      <c r="P466" s="373"/>
      <c r="Q466" s="380"/>
    </row>
    <row r="467" spans="6:17">
      <c r="F467" s="373"/>
      <c r="G467" s="373"/>
      <c r="H467" s="373"/>
      <c r="I467" s="373"/>
      <c r="J467" s="373"/>
      <c r="K467" s="373"/>
      <c r="L467" s="373"/>
      <c r="M467" s="373"/>
      <c r="N467" s="373"/>
      <c r="O467" s="373"/>
      <c r="P467" s="373"/>
      <c r="Q467" s="380"/>
    </row>
    <row r="468" spans="6:17">
      <c r="F468" s="373"/>
      <c r="G468" s="373"/>
      <c r="H468" s="373"/>
      <c r="I468" s="373"/>
      <c r="J468" s="373"/>
      <c r="K468" s="373"/>
      <c r="L468" s="373"/>
      <c r="M468" s="373"/>
      <c r="N468" s="373"/>
      <c r="O468" s="373"/>
      <c r="P468" s="373"/>
      <c r="Q468" s="380"/>
    </row>
    <row r="469" spans="6:17">
      <c r="F469" s="373"/>
      <c r="G469" s="373"/>
      <c r="H469" s="373"/>
      <c r="I469" s="373"/>
      <c r="J469" s="373"/>
      <c r="K469" s="373"/>
      <c r="L469" s="373"/>
      <c r="M469" s="373"/>
      <c r="N469" s="373"/>
      <c r="O469" s="373"/>
      <c r="P469" s="373"/>
      <c r="Q469" s="380"/>
    </row>
    <row r="470" spans="6:17">
      <c r="F470" s="373"/>
      <c r="G470" s="373"/>
      <c r="H470" s="373"/>
      <c r="I470" s="373"/>
      <c r="J470" s="373"/>
      <c r="K470" s="373"/>
      <c r="L470" s="373"/>
      <c r="M470" s="373"/>
      <c r="N470" s="373"/>
      <c r="O470" s="373"/>
      <c r="P470" s="373"/>
      <c r="Q470" s="380"/>
    </row>
    <row r="471" spans="6:17">
      <c r="F471" s="373"/>
      <c r="G471" s="373"/>
      <c r="H471" s="373"/>
      <c r="I471" s="373"/>
      <c r="J471" s="373"/>
      <c r="K471" s="373"/>
      <c r="L471" s="373"/>
      <c r="M471" s="373"/>
      <c r="N471" s="373"/>
      <c r="O471" s="373"/>
      <c r="P471" s="373"/>
      <c r="Q471" s="380"/>
    </row>
    <row r="472" spans="6:17">
      <c r="F472" s="373"/>
      <c r="G472" s="373"/>
      <c r="H472" s="373"/>
      <c r="I472" s="373"/>
      <c r="J472" s="373"/>
      <c r="K472" s="373"/>
      <c r="L472" s="373"/>
      <c r="M472" s="373"/>
      <c r="N472" s="373"/>
      <c r="O472" s="373"/>
      <c r="P472" s="373"/>
      <c r="Q472" s="380"/>
    </row>
    <row r="473" spans="6:17">
      <c r="F473" s="373"/>
      <c r="G473" s="373"/>
      <c r="H473" s="373"/>
      <c r="I473" s="373"/>
      <c r="J473" s="373"/>
      <c r="K473" s="373"/>
      <c r="L473" s="373"/>
      <c r="M473" s="373"/>
      <c r="N473" s="373"/>
      <c r="O473" s="373"/>
      <c r="P473" s="373"/>
      <c r="Q473" s="380"/>
    </row>
    <row r="474" spans="6:17">
      <c r="F474" s="373"/>
      <c r="G474" s="373"/>
      <c r="H474" s="373"/>
      <c r="I474" s="373"/>
      <c r="J474" s="373"/>
      <c r="K474" s="373"/>
      <c r="L474" s="373"/>
      <c r="M474" s="373"/>
      <c r="N474" s="373"/>
      <c r="O474" s="373"/>
      <c r="P474" s="373"/>
      <c r="Q474" s="380"/>
    </row>
    <row r="475" spans="6:17">
      <c r="F475" s="373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80"/>
    </row>
    <row r="476" spans="6:17">
      <c r="F476" s="373"/>
      <c r="G476" s="373"/>
      <c r="H476" s="373"/>
      <c r="I476" s="373"/>
      <c r="J476" s="373"/>
      <c r="K476" s="373"/>
      <c r="L476" s="373"/>
      <c r="M476" s="373"/>
      <c r="N476" s="373"/>
      <c r="O476" s="373"/>
      <c r="P476" s="373"/>
      <c r="Q476" s="380"/>
    </row>
    <row r="477" spans="6:17">
      <c r="F477" s="373"/>
      <c r="G477" s="373"/>
      <c r="H477" s="373"/>
      <c r="I477" s="373"/>
      <c r="J477" s="373"/>
      <c r="K477" s="373"/>
      <c r="L477" s="373"/>
      <c r="M477" s="373"/>
      <c r="N477" s="373"/>
      <c r="O477" s="373"/>
      <c r="P477" s="373"/>
      <c r="Q477" s="380"/>
    </row>
    <row r="478" spans="6:17">
      <c r="F478" s="373"/>
      <c r="G478" s="373"/>
      <c r="H478" s="373"/>
      <c r="I478" s="373"/>
      <c r="J478" s="373"/>
      <c r="K478" s="373"/>
      <c r="L478" s="373"/>
      <c r="M478" s="373"/>
      <c r="N478" s="373"/>
      <c r="O478" s="373"/>
      <c r="P478" s="373"/>
      <c r="Q478" s="380"/>
    </row>
    <row r="479" spans="6:17">
      <c r="F479" s="373"/>
      <c r="G479" s="373"/>
      <c r="H479" s="373"/>
      <c r="I479" s="373"/>
      <c r="J479" s="373"/>
      <c r="K479" s="373"/>
      <c r="L479" s="373"/>
      <c r="M479" s="373"/>
      <c r="N479" s="373"/>
      <c r="O479" s="373"/>
      <c r="P479" s="373"/>
      <c r="Q479" s="380"/>
    </row>
    <row r="480" spans="6:17">
      <c r="F480" s="373"/>
      <c r="G480" s="373"/>
      <c r="H480" s="373"/>
      <c r="I480" s="373"/>
      <c r="J480" s="373"/>
      <c r="K480" s="373"/>
      <c r="L480" s="373"/>
      <c r="M480" s="373"/>
      <c r="N480" s="373"/>
      <c r="O480" s="373"/>
      <c r="P480" s="373"/>
      <c r="Q480" s="380"/>
    </row>
    <row r="481" spans="6:17">
      <c r="F481" s="373"/>
      <c r="G481" s="373"/>
      <c r="H481" s="373"/>
      <c r="I481" s="373"/>
      <c r="J481" s="373"/>
      <c r="K481" s="373"/>
      <c r="L481" s="373"/>
      <c r="M481" s="373"/>
      <c r="N481" s="373"/>
      <c r="O481" s="373"/>
      <c r="P481" s="373"/>
      <c r="Q481" s="380"/>
    </row>
    <row r="482" spans="6:17">
      <c r="F482" s="373"/>
      <c r="G482" s="373"/>
      <c r="H482" s="373"/>
      <c r="I482" s="373"/>
      <c r="J482" s="373"/>
      <c r="K482" s="373"/>
      <c r="L482" s="373"/>
      <c r="M482" s="373"/>
      <c r="N482" s="373"/>
      <c r="O482" s="373"/>
      <c r="P482" s="373"/>
      <c r="Q482" s="380"/>
    </row>
    <row r="483" spans="6:17">
      <c r="F483" s="373"/>
      <c r="G483" s="373"/>
      <c r="H483" s="373"/>
      <c r="I483" s="373"/>
      <c r="J483" s="373"/>
      <c r="K483" s="373"/>
      <c r="L483" s="373"/>
      <c r="M483" s="373"/>
      <c r="N483" s="373"/>
      <c r="O483" s="373"/>
      <c r="P483" s="373"/>
      <c r="Q483" s="380"/>
    </row>
    <row r="484" spans="6:17">
      <c r="F484" s="373"/>
      <c r="G484" s="373"/>
      <c r="H484" s="373"/>
      <c r="I484" s="373"/>
      <c r="J484" s="373"/>
      <c r="K484" s="373"/>
      <c r="L484" s="373"/>
      <c r="M484" s="373"/>
      <c r="N484" s="373"/>
      <c r="O484" s="373"/>
      <c r="P484" s="373"/>
      <c r="Q484" s="380"/>
    </row>
    <row r="485" spans="6:17">
      <c r="F485" s="373"/>
      <c r="G485" s="373"/>
      <c r="H485" s="373"/>
      <c r="I485" s="373"/>
      <c r="J485" s="373"/>
      <c r="K485" s="373"/>
      <c r="L485" s="373"/>
      <c r="M485" s="373"/>
      <c r="N485" s="373"/>
      <c r="O485" s="373"/>
      <c r="P485" s="373"/>
      <c r="Q485" s="380"/>
    </row>
    <row r="486" spans="6:17">
      <c r="F486" s="373"/>
      <c r="G486" s="373"/>
      <c r="H486" s="373"/>
      <c r="I486" s="373"/>
      <c r="J486" s="373"/>
      <c r="K486" s="373"/>
      <c r="L486" s="373"/>
      <c r="M486" s="373"/>
      <c r="N486" s="373"/>
      <c r="O486" s="373"/>
      <c r="P486" s="373"/>
      <c r="Q486" s="380"/>
    </row>
    <row r="487" spans="6:17">
      <c r="F487" s="373"/>
      <c r="G487" s="373"/>
      <c r="H487" s="373"/>
      <c r="I487" s="373"/>
      <c r="J487" s="373"/>
      <c r="K487" s="373"/>
      <c r="L487" s="373"/>
      <c r="M487" s="373"/>
      <c r="N487" s="373"/>
      <c r="O487" s="373"/>
      <c r="P487" s="373"/>
      <c r="Q487" s="380"/>
    </row>
    <row r="488" spans="6:17">
      <c r="F488" s="373"/>
      <c r="G488" s="373"/>
      <c r="H488" s="373"/>
      <c r="I488" s="373"/>
      <c r="J488" s="373"/>
      <c r="K488" s="373"/>
      <c r="L488" s="373"/>
      <c r="M488" s="373"/>
      <c r="N488" s="373"/>
      <c r="O488" s="373"/>
      <c r="P488" s="373"/>
      <c r="Q488" s="380"/>
    </row>
    <row r="489" spans="6:17">
      <c r="F489" s="373"/>
      <c r="G489" s="373"/>
      <c r="H489" s="373"/>
      <c r="I489" s="373"/>
      <c r="J489" s="373"/>
      <c r="K489" s="373"/>
      <c r="L489" s="373"/>
      <c r="M489" s="373"/>
      <c r="N489" s="373"/>
      <c r="O489" s="373"/>
      <c r="P489" s="373"/>
      <c r="Q489" s="380"/>
    </row>
    <row r="490" spans="6:17">
      <c r="F490" s="373"/>
      <c r="G490" s="373"/>
      <c r="H490" s="373"/>
      <c r="I490" s="373"/>
      <c r="J490" s="373"/>
      <c r="K490" s="373"/>
      <c r="L490" s="373"/>
      <c r="M490" s="373"/>
      <c r="N490" s="373"/>
      <c r="O490" s="373"/>
      <c r="P490" s="373"/>
      <c r="Q490" s="380"/>
    </row>
    <row r="491" spans="6:17">
      <c r="F491" s="373"/>
      <c r="G491" s="373"/>
      <c r="H491" s="373"/>
      <c r="I491" s="373"/>
      <c r="J491" s="373"/>
      <c r="K491" s="373"/>
      <c r="L491" s="373"/>
      <c r="M491" s="373"/>
      <c r="N491" s="373"/>
      <c r="O491" s="373"/>
      <c r="P491" s="373"/>
      <c r="Q491" s="380"/>
    </row>
    <row r="492" spans="6:17">
      <c r="F492" s="373"/>
      <c r="G492" s="373"/>
      <c r="H492" s="373"/>
      <c r="I492" s="373"/>
      <c r="J492" s="373"/>
      <c r="K492" s="373"/>
      <c r="L492" s="373"/>
      <c r="M492" s="373"/>
      <c r="N492" s="373"/>
      <c r="O492" s="373"/>
      <c r="P492" s="373"/>
      <c r="Q492" s="380"/>
    </row>
    <row r="493" spans="6:17">
      <c r="F493" s="373"/>
      <c r="G493" s="373"/>
      <c r="H493" s="373"/>
      <c r="I493" s="373"/>
      <c r="J493" s="373"/>
      <c r="K493" s="373"/>
      <c r="L493" s="373"/>
      <c r="M493" s="373"/>
      <c r="N493" s="373"/>
      <c r="O493" s="373"/>
      <c r="P493" s="373"/>
      <c r="Q493" s="380"/>
    </row>
    <row r="494" spans="6:17">
      <c r="F494" s="373"/>
      <c r="G494" s="373"/>
      <c r="H494" s="373"/>
      <c r="I494" s="373"/>
      <c r="J494" s="373"/>
      <c r="K494" s="373"/>
      <c r="L494" s="373"/>
      <c r="M494" s="373"/>
      <c r="N494" s="373"/>
      <c r="O494" s="373"/>
      <c r="P494" s="373"/>
      <c r="Q494" s="380"/>
    </row>
    <row r="495" spans="6:17">
      <c r="F495" s="373"/>
      <c r="G495" s="373"/>
      <c r="H495" s="373"/>
      <c r="I495" s="373"/>
      <c r="J495" s="373"/>
      <c r="K495" s="373"/>
      <c r="L495" s="373"/>
      <c r="M495" s="373"/>
      <c r="N495" s="373"/>
      <c r="O495" s="373"/>
      <c r="P495" s="373"/>
      <c r="Q495" s="380"/>
    </row>
    <row r="496" spans="6:17">
      <c r="F496" s="373"/>
      <c r="G496" s="373"/>
      <c r="H496" s="373"/>
      <c r="I496" s="373"/>
      <c r="J496" s="373"/>
      <c r="K496" s="373"/>
      <c r="L496" s="373"/>
      <c r="M496" s="373"/>
      <c r="N496" s="373"/>
      <c r="O496" s="373"/>
      <c r="P496" s="373"/>
      <c r="Q496" s="380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324" customWidth="1"/>
    <col min="2" max="2" width="15.7109375" style="324" bestFit="1" customWidth="1"/>
    <col min="3" max="3" width="15.85546875" style="324" bestFit="1" customWidth="1"/>
    <col min="4" max="4" width="15.140625" style="324" bestFit="1" customWidth="1"/>
    <col min="5" max="5" width="16.42578125" style="324" bestFit="1" customWidth="1"/>
    <col min="6" max="6" width="16.5703125" style="324" bestFit="1" customWidth="1"/>
    <col min="7" max="7" width="15" style="324" bestFit="1" customWidth="1"/>
    <col min="8" max="8" width="15.140625" style="324" bestFit="1" customWidth="1"/>
    <col min="9" max="9" width="16.42578125" style="324" bestFit="1" customWidth="1"/>
    <col min="10" max="10" width="15" style="324" bestFit="1" customWidth="1"/>
    <col min="11" max="11" width="15.140625" style="324" bestFit="1" customWidth="1"/>
    <col min="12" max="12" width="15.5703125" style="324" customWidth="1"/>
    <col min="13" max="13" width="15" style="324" bestFit="1" customWidth="1"/>
    <col min="14" max="14" width="17" style="324" bestFit="1" customWidth="1"/>
    <col min="15" max="15" width="7.7109375" style="324"/>
    <col min="16" max="16" width="23" style="324" bestFit="1" customWidth="1"/>
    <col min="17" max="17" width="10.85546875" style="324" bestFit="1" customWidth="1"/>
    <col min="18" max="16384" width="7.7109375" style="324"/>
  </cols>
  <sheetData>
    <row r="1" spans="1:17" ht="15.75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7" ht="20.25">
      <c r="A2" s="434" t="s">
        <v>325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7" ht="23.25">
      <c r="A3" s="435" t="s">
        <v>387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7" ht="15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7" spans="1:17" ht="27" customHeight="1">
      <c r="A7" s="325" t="s">
        <v>326</v>
      </c>
      <c r="B7" s="326">
        <v>43131</v>
      </c>
      <c r="C7" s="326">
        <f>EOMONTH(B7,1)</f>
        <v>43159</v>
      </c>
      <c r="D7" s="326">
        <f t="shared" ref="D7:M7" si="0">EOMONTH(C7,1)</f>
        <v>43190</v>
      </c>
      <c r="E7" s="326">
        <f t="shared" si="0"/>
        <v>43220</v>
      </c>
      <c r="F7" s="326">
        <f t="shared" si="0"/>
        <v>43251</v>
      </c>
      <c r="G7" s="326">
        <f t="shared" si="0"/>
        <v>43281</v>
      </c>
      <c r="H7" s="326">
        <f t="shared" si="0"/>
        <v>43312</v>
      </c>
      <c r="I7" s="326">
        <f t="shared" si="0"/>
        <v>43343</v>
      </c>
      <c r="J7" s="326">
        <f t="shared" si="0"/>
        <v>43373</v>
      </c>
      <c r="K7" s="326">
        <f t="shared" si="0"/>
        <v>43404</v>
      </c>
      <c r="L7" s="326">
        <f t="shared" si="0"/>
        <v>43434</v>
      </c>
      <c r="M7" s="326">
        <f t="shared" si="0"/>
        <v>43465</v>
      </c>
      <c r="N7" s="327" t="s">
        <v>319</v>
      </c>
    </row>
    <row r="8" spans="1:17" ht="24.95" customHeight="1">
      <c r="A8" s="328" t="s">
        <v>296</v>
      </c>
      <c r="B8" s="329">
        <f>'Input Tab'!C53</f>
        <v>574460</v>
      </c>
      <c r="C8" s="329">
        <f>'Input Tab'!D53</f>
        <v>485123</v>
      </c>
      <c r="D8" s="329">
        <f>'Input Tab'!E53</f>
        <v>466253</v>
      </c>
      <c r="E8" s="329">
        <f>'Input Tab'!F53</f>
        <v>456157</v>
      </c>
      <c r="F8" s="329">
        <f>'Input Tab'!G53</f>
        <v>380976</v>
      </c>
      <c r="G8" s="329">
        <f>'Input Tab'!H53</f>
        <v>422918</v>
      </c>
      <c r="H8" s="329">
        <f>'Input Tab'!I53</f>
        <v>442082</v>
      </c>
      <c r="I8" s="329">
        <f>'Input Tab'!J53</f>
        <v>510132</v>
      </c>
      <c r="J8" s="329">
        <f>'Input Tab'!K53</f>
        <v>452187</v>
      </c>
      <c r="K8" s="329">
        <f>'Input Tab'!L53</f>
        <v>409389</v>
      </c>
      <c r="L8" s="329">
        <f>'Input Tab'!M53</f>
        <v>0</v>
      </c>
      <c r="M8" s="329">
        <f>'Input Tab'!N53</f>
        <v>0</v>
      </c>
      <c r="N8" s="221">
        <f t="shared" ref="N8:N13" si="1">SUM(B8:M8)</f>
        <v>4599677</v>
      </c>
      <c r="P8" s="330"/>
    </row>
    <row r="9" spans="1:17" ht="24.95" customHeight="1">
      <c r="A9" s="331" t="s">
        <v>320</v>
      </c>
      <c r="B9" s="329">
        <f>-261455979/1000</f>
        <v>-261456</v>
      </c>
      <c r="C9" s="332">
        <f>IF(C8=0,0,-B10)</f>
        <v>-232280</v>
      </c>
      <c r="D9" s="332">
        <f t="shared" ref="D9:M9" si="2">IF(D8=0,0,-C10)</f>
        <v>-228151</v>
      </c>
      <c r="E9" s="332">
        <f t="shared" si="2"/>
        <v>-250554</v>
      </c>
      <c r="F9" s="332">
        <f t="shared" si="2"/>
        <v>-228167</v>
      </c>
      <c r="G9" s="332">
        <f t="shared" si="2"/>
        <v>-264393</v>
      </c>
      <c r="H9" s="332">
        <f t="shared" si="2"/>
        <v>-261603</v>
      </c>
      <c r="I9" s="332">
        <f t="shared" si="2"/>
        <v>-303871</v>
      </c>
      <c r="J9" s="332">
        <f t="shared" si="2"/>
        <v>-290570</v>
      </c>
      <c r="K9" s="332">
        <f t="shared" si="2"/>
        <v>-237419</v>
      </c>
      <c r="L9" s="332">
        <f t="shared" si="2"/>
        <v>0</v>
      </c>
      <c r="M9" s="332">
        <f t="shared" si="2"/>
        <v>0</v>
      </c>
      <c r="N9" s="221">
        <f t="shared" si="1"/>
        <v>-2558464</v>
      </c>
    </row>
    <row r="10" spans="1:17" ht="24.95" customHeight="1">
      <c r="A10" s="331" t="s">
        <v>321</v>
      </c>
      <c r="B10" s="329">
        <f>'Input Tab'!C54</f>
        <v>232280</v>
      </c>
      <c r="C10" s="329">
        <f>'Input Tab'!D54</f>
        <v>228151</v>
      </c>
      <c r="D10" s="329">
        <f>'Input Tab'!E54</f>
        <v>250554</v>
      </c>
      <c r="E10" s="329">
        <f>'Input Tab'!F54</f>
        <v>228167</v>
      </c>
      <c r="F10" s="329">
        <f>'Input Tab'!G54</f>
        <v>264393</v>
      </c>
      <c r="G10" s="329">
        <f>'Input Tab'!H54</f>
        <v>261603</v>
      </c>
      <c r="H10" s="329">
        <f>'Input Tab'!I54</f>
        <v>303871</v>
      </c>
      <c r="I10" s="329">
        <f>'Input Tab'!J54</f>
        <v>290570</v>
      </c>
      <c r="J10" s="329">
        <f>'Input Tab'!K54</f>
        <v>237419</v>
      </c>
      <c r="K10" s="329">
        <f>'Input Tab'!L54</f>
        <v>267643</v>
      </c>
      <c r="L10" s="329">
        <f>'Input Tab'!M54</f>
        <v>0</v>
      </c>
      <c r="M10" s="329">
        <f>'Input Tab'!N54</f>
        <v>0</v>
      </c>
      <c r="N10" s="221">
        <f t="shared" si="1"/>
        <v>2564651</v>
      </c>
      <c r="P10" s="333"/>
      <c r="Q10" s="333"/>
    </row>
    <row r="11" spans="1:17" ht="30.75" customHeight="1">
      <c r="A11" s="334" t="s">
        <v>327</v>
      </c>
      <c r="B11" s="335">
        <f t="shared" ref="B11:L11" si="3">SUM(B8:B10)</f>
        <v>545284</v>
      </c>
      <c r="C11" s="335">
        <f t="shared" si="3"/>
        <v>480994</v>
      </c>
      <c r="D11" s="335">
        <f t="shared" si="3"/>
        <v>488656</v>
      </c>
      <c r="E11" s="335">
        <f t="shared" si="3"/>
        <v>433770</v>
      </c>
      <c r="F11" s="335">
        <f t="shared" si="3"/>
        <v>417202</v>
      </c>
      <c r="G11" s="335">
        <f t="shared" si="3"/>
        <v>420128</v>
      </c>
      <c r="H11" s="335">
        <f t="shared" si="3"/>
        <v>484350</v>
      </c>
      <c r="I11" s="335">
        <f t="shared" si="3"/>
        <v>496831</v>
      </c>
      <c r="J11" s="335">
        <f t="shared" si="3"/>
        <v>399036</v>
      </c>
      <c r="K11" s="335">
        <f t="shared" si="3"/>
        <v>439613</v>
      </c>
      <c r="L11" s="335">
        <f t="shared" si="3"/>
        <v>0</v>
      </c>
      <c r="M11" s="335">
        <f>SUM(M8:M10)</f>
        <v>0</v>
      </c>
      <c r="N11" s="336">
        <f t="shared" si="1"/>
        <v>4605864</v>
      </c>
      <c r="P11" s="337"/>
      <c r="Q11" s="330"/>
    </row>
    <row r="12" spans="1:17" ht="32.25" customHeight="1">
      <c r="A12" s="338" t="s">
        <v>328</v>
      </c>
      <c r="B12" s="339">
        <f>'Input Tab'!C55</f>
        <v>555937</v>
      </c>
      <c r="C12" s="339">
        <f>'Input Tab'!D55</f>
        <v>498647</v>
      </c>
      <c r="D12" s="339">
        <f>'Input Tab'!E55</f>
        <v>492113</v>
      </c>
      <c r="E12" s="339">
        <f>'Input Tab'!F55</f>
        <v>431145</v>
      </c>
      <c r="F12" s="339">
        <f>'Input Tab'!G55</f>
        <v>432473</v>
      </c>
      <c r="G12" s="339">
        <f>'Input Tab'!H55</f>
        <v>424693</v>
      </c>
      <c r="H12" s="339">
        <f>'Input Tab'!I55</f>
        <v>490670</v>
      </c>
      <c r="I12" s="339">
        <f>'Input Tab'!J55</f>
        <v>464617</v>
      </c>
      <c r="J12" s="339">
        <f>'Input Tab'!K55</f>
        <v>435934</v>
      </c>
      <c r="K12" s="339">
        <f>'Input Tab'!L55</f>
        <v>436959</v>
      </c>
      <c r="L12" s="339">
        <f>'Input Tab'!M55</f>
        <v>468856</v>
      </c>
      <c r="M12" s="339">
        <f>'Input Tab'!N55</f>
        <v>553150</v>
      </c>
      <c r="N12" s="340">
        <f>SUM(B12:K12)</f>
        <v>4663188</v>
      </c>
      <c r="P12" s="341" t="s">
        <v>343</v>
      </c>
    </row>
    <row r="13" spans="1:17" ht="38.25" customHeight="1">
      <c r="A13" s="342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>
        <f t="shared" si="4"/>
        <v>-36898</v>
      </c>
      <c r="K13" s="222">
        <f t="shared" si="4"/>
        <v>2654</v>
      </c>
      <c r="L13" s="222" t="str">
        <f t="shared" si="4"/>
        <v xml:space="preserve"> </v>
      </c>
      <c r="M13" s="222" t="str">
        <f t="shared" si="4"/>
        <v xml:space="preserve"> </v>
      </c>
      <c r="N13" s="343">
        <f t="shared" si="1"/>
        <v>-57324</v>
      </c>
    </row>
    <row r="14" spans="1:17" ht="42.75" customHeight="1">
      <c r="A14" s="342" t="s">
        <v>329</v>
      </c>
      <c r="B14" s="344">
        <f>'Input Tab'!C56</f>
        <v>15.66</v>
      </c>
      <c r="C14" s="344">
        <f>'Input Tab'!D56</f>
        <v>15.66</v>
      </c>
      <c r="D14" s="344">
        <f>'Input Tab'!E56</f>
        <v>15.66</v>
      </c>
      <c r="E14" s="344">
        <f>'Input Tab'!F56</f>
        <v>15.66</v>
      </c>
      <c r="F14" s="344">
        <f>'Input Tab'!G56</f>
        <v>18.11</v>
      </c>
      <c r="G14" s="344">
        <f>'Input Tab'!H56</f>
        <v>18.11</v>
      </c>
      <c r="H14" s="344">
        <f>'Input Tab'!I56</f>
        <v>18.11</v>
      </c>
      <c r="I14" s="344">
        <f>'Input Tab'!J56</f>
        <v>18.11</v>
      </c>
      <c r="J14" s="344">
        <f>'Input Tab'!K56</f>
        <v>18.11</v>
      </c>
      <c r="K14" s="344">
        <f>'Input Tab'!L56</f>
        <v>18.11</v>
      </c>
      <c r="L14" s="344">
        <f>'Input Tab'!M56</f>
        <v>18.11</v>
      </c>
      <c r="M14" s="344">
        <f>'Input Tab'!N56</f>
        <v>18.11</v>
      </c>
      <c r="N14" s="221"/>
    </row>
    <row r="15" spans="1:17" ht="30.75" customHeight="1" thickBot="1">
      <c r="A15" s="345" t="s">
        <v>330</v>
      </c>
      <c r="B15" s="346">
        <f>B13*B14</f>
        <v>-166826</v>
      </c>
      <c r="C15" s="346">
        <f>IF(C8=0,0,C13*C14)</f>
        <v>-276446</v>
      </c>
      <c r="D15" s="346">
        <f t="shared" ref="D15:M15" si="5">IF(D8=0,0,D13*D14)</f>
        <v>-54137</v>
      </c>
      <c r="E15" s="346">
        <f t="shared" si="5"/>
        <v>41108</v>
      </c>
      <c r="F15" s="346">
        <f t="shared" si="5"/>
        <v>-276558</v>
      </c>
      <c r="G15" s="346">
        <f t="shared" si="5"/>
        <v>-82672</v>
      </c>
      <c r="H15" s="346">
        <f t="shared" si="5"/>
        <v>-114455</v>
      </c>
      <c r="I15" s="346">
        <f t="shared" si="5"/>
        <v>583396</v>
      </c>
      <c r="J15" s="346">
        <f t="shared" si="5"/>
        <v>-668223</v>
      </c>
      <c r="K15" s="346">
        <f t="shared" si="5"/>
        <v>48064</v>
      </c>
      <c r="L15" s="346">
        <f t="shared" si="5"/>
        <v>0</v>
      </c>
      <c r="M15" s="346">
        <f t="shared" si="5"/>
        <v>0</v>
      </c>
      <c r="N15" s="346">
        <f>SUM(B15:M15)</f>
        <v>-966749</v>
      </c>
    </row>
    <row r="16" spans="1:17" ht="20.100000000000001" customHeight="1" thickTop="1">
      <c r="G16" s="347"/>
      <c r="N16" s="330"/>
    </row>
    <row r="17" spans="1:16" ht="20.100000000000001" customHeight="1">
      <c r="A17" s="348"/>
      <c r="N17" s="330"/>
    </row>
    <row r="18" spans="1:16" ht="36.75" customHeight="1">
      <c r="A18" s="349" t="s">
        <v>331</v>
      </c>
      <c r="B18" s="350">
        <f>B7</f>
        <v>43131</v>
      </c>
      <c r="C18" s="350">
        <f t="shared" ref="C18:N18" si="6">C7</f>
        <v>43159</v>
      </c>
      <c r="D18" s="350">
        <f t="shared" si="6"/>
        <v>43190</v>
      </c>
      <c r="E18" s="350">
        <f t="shared" si="6"/>
        <v>43220</v>
      </c>
      <c r="F18" s="350">
        <f t="shared" si="6"/>
        <v>43251</v>
      </c>
      <c r="G18" s="350">
        <f t="shared" si="6"/>
        <v>43281</v>
      </c>
      <c r="H18" s="350">
        <f t="shared" si="6"/>
        <v>43312</v>
      </c>
      <c r="I18" s="350">
        <f t="shared" si="6"/>
        <v>43343</v>
      </c>
      <c r="J18" s="350">
        <f t="shared" si="6"/>
        <v>43373</v>
      </c>
      <c r="K18" s="350">
        <f t="shared" si="6"/>
        <v>43404</v>
      </c>
      <c r="L18" s="350">
        <f t="shared" si="6"/>
        <v>43434</v>
      </c>
      <c r="M18" s="350">
        <f t="shared" si="6"/>
        <v>43465</v>
      </c>
      <c r="N18" s="326" t="str">
        <f t="shared" si="6"/>
        <v>YTD</v>
      </c>
    </row>
    <row r="19" spans="1:16" ht="29.25" customHeight="1">
      <c r="A19" s="351" t="s">
        <v>2</v>
      </c>
      <c r="B19" s="352">
        <f>IF(B8=0," ",B15*-1)</f>
        <v>166826</v>
      </c>
      <c r="C19" s="352">
        <f>IF(C8=0," ",C15*-1)</f>
        <v>276446</v>
      </c>
      <c r="D19" s="352">
        <f t="shared" ref="D19:M19" si="7">IF(D8=0," ",D15*-1)</f>
        <v>54137</v>
      </c>
      <c r="E19" s="352">
        <f t="shared" si="7"/>
        <v>-41108</v>
      </c>
      <c r="F19" s="352">
        <f t="shared" si="7"/>
        <v>276558</v>
      </c>
      <c r="G19" s="352">
        <f t="shared" si="7"/>
        <v>82672</v>
      </c>
      <c r="H19" s="352">
        <f t="shared" si="7"/>
        <v>114455</v>
      </c>
      <c r="I19" s="352">
        <f t="shared" si="7"/>
        <v>-583396</v>
      </c>
      <c r="J19" s="352">
        <f t="shared" si="7"/>
        <v>668223</v>
      </c>
      <c r="K19" s="352">
        <f t="shared" si="7"/>
        <v>-48064</v>
      </c>
      <c r="L19" s="352" t="str">
        <f t="shared" si="7"/>
        <v xml:space="preserve"> </v>
      </c>
      <c r="M19" s="352" t="str">
        <f t="shared" si="7"/>
        <v xml:space="preserve"> </v>
      </c>
      <c r="N19" s="352">
        <f>N15*-1</f>
        <v>966749</v>
      </c>
    </row>
    <row r="20" spans="1:16" ht="15.75">
      <c r="A20" s="353"/>
      <c r="B20" s="354" t="str">
        <f>IF(B19&lt;0,"Rebate","Surcharge")</f>
        <v>Surcharge</v>
      </c>
      <c r="C20" s="354" t="str">
        <f t="shared" ref="C20:N20" si="8">IF(C19&lt;0,"Rebate","Surcharge")</f>
        <v>Surcharge</v>
      </c>
      <c r="D20" s="354" t="str">
        <f t="shared" si="8"/>
        <v>Surcharge</v>
      </c>
      <c r="E20" s="354" t="str">
        <f t="shared" si="8"/>
        <v>Rebate</v>
      </c>
      <c r="F20" s="354" t="str">
        <f t="shared" si="8"/>
        <v>Surcharge</v>
      </c>
      <c r="G20" s="354" t="str">
        <f t="shared" si="8"/>
        <v>Surcharge</v>
      </c>
      <c r="H20" s="354" t="str">
        <f t="shared" si="8"/>
        <v>Surcharge</v>
      </c>
      <c r="I20" s="354" t="str">
        <f t="shared" si="8"/>
        <v>Rebate</v>
      </c>
      <c r="J20" s="354" t="str">
        <f t="shared" si="8"/>
        <v>Surcharge</v>
      </c>
      <c r="K20" s="354" t="str">
        <f t="shared" si="8"/>
        <v>Rebate</v>
      </c>
      <c r="L20" s="354" t="str">
        <f t="shared" si="8"/>
        <v>Surcharge</v>
      </c>
      <c r="M20" s="354" t="str">
        <f t="shared" si="8"/>
        <v>Surcharge</v>
      </c>
      <c r="N20" s="354" t="str">
        <f t="shared" si="8"/>
        <v>Surcharge</v>
      </c>
    </row>
    <row r="21" spans="1:16" ht="27" customHeight="1">
      <c r="A21" s="355" t="s">
        <v>324</v>
      </c>
      <c r="B21" s="356">
        <f>'Input Tab'!C58</f>
        <v>-37943.33</v>
      </c>
      <c r="C21" s="356">
        <f>'Input Tab'!D58</f>
        <v>339003.31</v>
      </c>
      <c r="D21" s="356">
        <f>'Input Tab'!E58</f>
        <v>187670.73</v>
      </c>
      <c r="E21" s="356">
        <f>'Input Tab'!F58</f>
        <v>-84609.600000000006</v>
      </c>
      <c r="F21" s="356">
        <f>'Input Tab'!G58</f>
        <v>107839.18</v>
      </c>
      <c r="G21" s="356">
        <f>'Input Tab'!H58</f>
        <v>-120586.87</v>
      </c>
      <c r="H21" s="356">
        <f>'Input Tab'!I58</f>
        <v>-749950.95</v>
      </c>
      <c r="I21" s="356">
        <f>'Input Tab'!J58</f>
        <v>-189109.75</v>
      </c>
      <c r="J21" s="356">
        <f>'Input Tab'!K58</f>
        <v>-118698.29</v>
      </c>
      <c r="K21" s="356">
        <f>'Input Tab'!L58</f>
        <v>-79221.710000000006</v>
      </c>
      <c r="L21" s="356">
        <f>'Input Tab'!M58</f>
        <v>-448598.03</v>
      </c>
      <c r="M21" s="356">
        <f>'Input Tab'!N58</f>
        <v>-402928.44</v>
      </c>
      <c r="N21" s="356">
        <f>SUM(B21:M21)</f>
        <v>-1597133.75</v>
      </c>
      <c r="P21" s="71" t="s">
        <v>384</v>
      </c>
    </row>
    <row r="22" spans="1:16">
      <c r="A22" s="347"/>
      <c r="B22" s="357" t="str">
        <f>IF(B21&lt;0,"Rebate","Surcharge")</f>
        <v>Rebate</v>
      </c>
      <c r="C22" s="357" t="str">
        <f t="shared" ref="C22:N22" si="9">IF(C21&lt;0,"Rebate","Surcharge")</f>
        <v>Surcharge</v>
      </c>
      <c r="D22" s="357" t="str">
        <f t="shared" si="9"/>
        <v>Surcharge</v>
      </c>
      <c r="E22" s="357" t="str">
        <f t="shared" si="9"/>
        <v>Rebate</v>
      </c>
      <c r="F22" s="357" t="str">
        <f t="shared" si="9"/>
        <v>Surcharge</v>
      </c>
      <c r="G22" s="357" t="str">
        <f t="shared" si="9"/>
        <v>Rebate</v>
      </c>
      <c r="H22" s="357" t="str">
        <f t="shared" si="9"/>
        <v>Rebate</v>
      </c>
      <c r="I22" s="357" t="str">
        <f t="shared" si="9"/>
        <v>Rebate</v>
      </c>
      <c r="J22" s="357" t="str">
        <f t="shared" si="9"/>
        <v>Rebate</v>
      </c>
      <c r="K22" s="357" t="str">
        <f t="shared" si="9"/>
        <v>Rebate</v>
      </c>
      <c r="L22" s="357" t="str">
        <f t="shared" si="9"/>
        <v>Rebate</v>
      </c>
      <c r="M22" s="357" t="str">
        <f t="shared" si="9"/>
        <v>Rebate</v>
      </c>
      <c r="N22" s="357" t="str">
        <f t="shared" si="9"/>
        <v>Rebate</v>
      </c>
    </row>
    <row r="25" spans="1:16">
      <c r="G25" s="330"/>
    </row>
    <row r="34" spans="1:1">
      <c r="A34" s="35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9" t="s">
        <v>220</v>
      </c>
      <c r="B1" s="439"/>
      <c r="C1" s="439"/>
      <c r="D1" s="439"/>
      <c r="E1" s="439"/>
      <c r="F1" s="439"/>
      <c r="G1" s="439"/>
      <c r="H1" s="439"/>
    </row>
    <row r="2" spans="1:8" ht="15.75">
      <c r="A2" s="440" t="s">
        <v>334</v>
      </c>
      <c r="B2" s="440"/>
      <c r="C2" s="440"/>
      <c r="D2" s="440"/>
      <c r="E2" s="440"/>
      <c r="F2" s="440"/>
      <c r="G2" s="440"/>
      <c r="H2" s="440"/>
    </row>
    <row r="3" spans="1:8">
      <c r="A3" s="26"/>
    </row>
    <row r="4" spans="1:8" ht="16.5" thickBot="1">
      <c r="A4" s="26"/>
      <c r="B4" s="438" t="s">
        <v>339</v>
      </c>
      <c r="C4" s="438"/>
      <c r="D4" s="438"/>
      <c r="E4" s="438"/>
      <c r="F4" s="438"/>
      <c r="G4" s="438"/>
      <c r="H4" s="438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8" t="s">
        <v>340</v>
      </c>
      <c r="C21" s="438"/>
      <c r="D21" s="438"/>
      <c r="E21" s="438"/>
      <c r="F21" s="438"/>
      <c r="G21" s="438"/>
      <c r="H21" s="438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8" t="s">
        <v>342</v>
      </c>
      <c r="C38" s="438"/>
      <c r="D38" s="438"/>
      <c r="E38" s="438"/>
      <c r="F38" s="438"/>
      <c r="G38" s="438"/>
      <c r="H38" s="438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D6CC082-3EC7-471B-B6E5-87AD4D11516F}"/>
</file>

<file path=customXml/itemProps2.xml><?xml version="1.0" encoding="utf-8"?>
<ds:datastoreItem xmlns:ds="http://schemas.openxmlformats.org/officeDocument/2006/customXml" ds:itemID="{0324A369-9B7B-406D-A561-4F5E573C5CB5}"/>
</file>

<file path=customXml/itemProps3.xml><?xml version="1.0" encoding="utf-8"?>
<ds:datastoreItem xmlns:ds="http://schemas.openxmlformats.org/officeDocument/2006/customXml" ds:itemID="{6C359F43-042A-4A1D-AA9E-6747729ADD41}"/>
</file>

<file path=customXml/itemProps4.xml><?xml version="1.0" encoding="utf-8"?>
<ds:datastoreItem xmlns:ds="http://schemas.openxmlformats.org/officeDocument/2006/customXml" ds:itemID="{615ACC03-1FC7-4104-9564-914210E4E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2018-10-03T22:02:36Z</cp:lastPrinted>
  <dcterms:created xsi:type="dcterms:W3CDTF">2002-02-05T19:51:48Z</dcterms:created>
  <dcterms:modified xsi:type="dcterms:W3CDTF">2018-11-12T18:07:58Z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