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0.xml" ContentType="application/vnd.openxmlformats-officedocument.drawing+xml"/>
  <Override PartName="/xl/charts/colors10.xml" ContentType="application/vnd.ms-office.chartcolorstyle+xml"/>
  <Override PartName="/xl/charts/style10.xml" ContentType="application/vnd.ms-office.chartstyle+xml"/>
  <Override PartName="/xl/charts/chart10.xml" ContentType="application/vnd.openxmlformats-officedocument.drawingml.chart+xml"/>
  <Override PartName="/xl/charts/colors8.xml" ContentType="application/vnd.ms-office.chartcolorstyle+xml"/>
  <Override PartName="/xl/charts/style8.xml" ContentType="application/vnd.ms-office.chartstyle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pivotTables/pivotTable4.xml" ContentType="application/vnd.openxmlformats-officedocument.spreadsheetml.pivotTab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pivotTables/pivotTable5.xml" ContentType="application/vnd.openxmlformats-officedocument.spreadsheetml.pivotTable+xml"/>
  <Override PartName="/xl/worksheets/sheet1.xml" ContentType="application/vnd.openxmlformats-officedocument.spreadsheetml.worksheet+xml"/>
  <Override PartName="/xl/charts/style9.xml" ContentType="application/vnd.ms-office.chartstyle+xml"/>
  <Override PartName="/xl/pivotTables/pivotTable3.xml" ContentType="application/vnd.openxmlformats-officedocument.spreadsheetml.pivotTable+xml"/>
  <Override PartName="/xl/charts/colors9.xml" ContentType="application/vnd.ms-office.chartcolorstyle+xml"/>
  <Override PartName="/xl/worksheets/sheet6.xml" ContentType="application/vnd.openxmlformats-officedocument.spreadsheetml.worksheet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olors7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3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pivotTables/pivotTable2.xml" ContentType="application/vnd.openxmlformats-officedocument.spreadsheetml.pivotTable+xml"/>
  <Override PartName="/xl/charts/style5.xml" ContentType="application/vnd.ms-office.chartstyle+xml"/>
  <Override PartName="/xl/charts/colors6.xml" ContentType="application/vnd.ms-office.chartcolorstyle+xml"/>
  <Override PartName="/xl/worksheets/sheet4.xml" ContentType="application/vnd.openxmlformats-officedocument.spreadsheetml.worksheet+xml"/>
  <Override PartName="/xl/pivotTables/pivotTable1.xml" ContentType="application/vnd.openxmlformats-officedocument.spreadsheetml.pivotTable+xml"/>
  <Override PartName="/xl/charts/chart7.xml" ContentType="application/vnd.openxmlformats-officedocument.drawingml.chart+xml"/>
  <Override PartName="/xl/charts/style6.xml" ContentType="application/vnd.ms-office.chartstyle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style7.xml" ContentType="application/vnd.ms-office.chartstyle+xml"/>
  <Override PartName="/xl/drawings/drawing5.xml" ContentType="application/vnd.openxmlformats-officedocument.drawing+xml"/>
  <Override PartName="/xl/pivotCache/pivotCacheRecords4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Records5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OR Natural Gas GRC UG 389\Direct Testimony\200 Thies\"/>
    </mc:Choice>
  </mc:AlternateContent>
  <bookViews>
    <workbookView xWindow="0" yWindow="0" windowWidth="13710" windowHeight="5970" tabRatio="836" activeTab="1"/>
  </bookViews>
  <sheets>
    <sheet name="1 Reliability" sheetId="3" r:id="rId1"/>
    <sheet name="2 3 4 Summary" sheetId="2" r:id="rId2"/>
    <sheet name="5 Customer Growth" sheetId="11" r:id="rId3"/>
    <sheet name="Customer Requested" sheetId="4" r:id="rId4"/>
    <sheet name="6 Mandatory" sheetId="6" r:id="rId5"/>
    <sheet name="7 Failed Plant" sheetId="9" r:id="rId6"/>
    <sheet name="8 Asset Condition" sheetId="10" r:id="rId7"/>
    <sheet name="9 Service Quality" sheetId="5" r:id="rId8"/>
    <sheet name="10 Perf &amp; Capacity" sheetId="7" r:id="rId9"/>
    <sheet name="Business Case Requests" sheetId="1" r:id="rId10"/>
    <sheet name="Quick Facts" sheetId="12" r:id="rId11"/>
  </sheets>
  <definedNames>
    <definedName name="_xlnm._FilterDatabase" localSheetId="4" hidden="1">'6 Mandatory'!$A$3:$I$36</definedName>
    <definedName name="_xlnm._FilterDatabase" localSheetId="9" hidden="1">'Business Case Requests'!$B$7:$I$155</definedName>
    <definedName name="BCType">#REF!</definedName>
    <definedName name="Driver">#REF!</definedName>
    <definedName name="_xlnm.Print_Area" localSheetId="9">'Business Case Requests'!$B$1:$I$155</definedName>
    <definedName name="_xlnm.Print_Titles" localSheetId="9">'Business Case Requests'!$1:$7</definedName>
    <definedName name="Prioritization_Status">#REF!</definedName>
  </definedNames>
  <calcPr calcId="152511"/>
  <pivotCaches>
    <pivotCache cacheId="0" r:id="rId12"/>
    <pivotCache cacheId="1" r:id="rId13"/>
    <pivotCache cacheId="2" r:id="rId14"/>
    <pivotCache cacheId="3" r:id="rId15"/>
    <pivotCache cacheId="4" r:id="rId16"/>
  </pivotCaches>
</workbook>
</file>

<file path=xl/calcChain.xml><?xml version="1.0" encoding="utf-8"?>
<calcChain xmlns="http://schemas.openxmlformats.org/spreadsheetml/2006/main">
  <c r="L37" i="7" l="1"/>
  <c r="F46" i="7"/>
  <c r="G46" i="7"/>
  <c r="C46" i="7"/>
  <c r="D63" i="10"/>
  <c r="E63" i="10"/>
  <c r="F63" i="10"/>
  <c r="G63" i="10"/>
  <c r="H63" i="10"/>
  <c r="I63" i="10"/>
  <c r="C63" i="10"/>
  <c r="U1" i="11" l="1"/>
  <c r="L15" i="10"/>
  <c r="D37" i="6"/>
  <c r="E37" i="6"/>
  <c r="F37" i="6"/>
  <c r="G37" i="6"/>
  <c r="C37" i="6"/>
  <c r="K27" i="7" l="1"/>
  <c r="K26" i="7"/>
  <c r="K25" i="7"/>
  <c r="K31" i="7" l="1"/>
  <c r="F18" i="5"/>
  <c r="G18" i="5"/>
  <c r="G19" i="5"/>
  <c r="F20" i="5"/>
  <c r="G20" i="5"/>
  <c r="G17" i="5"/>
  <c r="F17" i="5"/>
  <c r="U13" i="2" l="1"/>
  <c r="I9" i="5"/>
  <c r="I10" i="5"/>
  <c r="I11" i="5"/>
  <c r="E156" i="1" l="1"/>
  <c r="I10" i="11" l="1"/>
  <c r="I9" i="11"/>
  <c r="I6" i="11"/>
  <c r="I5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H4" i="9" l="1"/>
  <c r="I4" i="9"/>
  <c r="H5" i="9"/>
  <c r="I5" i="9"/>
  <c r="H6" i="9"/>
  <c r="I6" i="9"/>
  <c r="H7" i="9"/>
  <c r="I7" i="9"/>
  <c r="H8" i="9"/>
  <c r="I8" i="9"/>
  <c r="H9" i="9"/>
  <c r="I9" i="9"/>
  <c r="H10" i="9"/>
  <c r="I10" i="9"/>
  <c r="I3" i="9"/>
  <c r="H3" i="9"/>
  <c r="H4" i="10"/>
  <c r="I4" i="10"/>
  <c r="H5" i="10"/>
  <c r="I5" i="10"/>
  <c r="H6" i="10"/>
  <c r="I6" i="10"/>
  <c r="H7" i="10"/>
  <c r="I7" i="10"/>
  <c r="H8" i="10"/>
  <c r="I8" i="10"/>
  <c r="H9" i="10"/>
  <c r="I9" i="10"/>
  <c r="H10" i="10"/>
  <c r="I10" i="10"/>
  <c r="H11" i="10"/>
  <c r="I1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H24" i="10"/>
  <c r="I24" i="10"/>
  <c r="H25" i="10"/>
  <c r="I25" i="10"/>
  <c r="H26" i="10"/>
  <c r="I26" i="10"/>
  <c r="H27" i="10"/>
  <c r="I27" i="10"/>
  <c r="H28" i="10"/>
  <c r="I28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40" i="10"/>
  <c r="I40" i="10"/>
  <c r="H41" i="10"/>
  <c r="I41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H59" i="10"/>
  <c r="I59" i="10"/>
  <c r="H60" i="10"/>
  <c r="I60" i="10"/>
  <c r="H61" i="10"/>
  <c r="I61" i="10"/>
  <c r="H62" i="10"/>
  <c r="I62" i="10"/>
  <c r="I3" i="10"/>
  <c r="H3" i="10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I4" i="7"/>
  <c r="H4" i="7"/>
  <c r="H5" i="6"/>
  <c r="I5" i="6"/>
  <c r="H6" i="6"/>
  <c r="I6" i="6"/>
  <c r="H7" i="6"/>
  <c r="I7" i="6"/>
  <c r="H8" i="6"/>
  <c r="I8" i="6"/>
  <c r="H9" i="6"/>
  <c r="I9" i="6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I4" i="6"/>
  <c r="H4" i="6"/>
  <c r="H36" i="6" l="1"/>
  <c r="I36" i="6"/>
  <c r="I4" i="5"/>
  <c r="I5" i="5"/>
  <c r="I6" i="5"/>
  <c r="I7" i="5"/>
  <c r="I8" i="5"/>
  <c r="I12" i="5"/>
  <c r="I3" i="5"/>
  <c r="H4" i="5"/>
  <c r="H5" i="5"/>
  <c r="H6" i="5"/>
  <c r="H7" i="5"/>
  <c r="H8" i="5"/>
  <c r="H11" i="5"/>
  <c r="H12" i="5"/>
  <c r="H3" i="5"/>
  <c r="G54" i="10"/>
  <c r="F54" i="10"/>
  <c r="E54" i="10"/>
  <c r="D54" i="10"/>
  <c r="E51" i="10"/>
  <c r="D51" i="10"/>
  <c r="E10" i="9"/>
  <c r="G10" i="9"/>
  <c r="C10" i="9"/>
  <c r="G8" i="9"/>
  <c r="F8" i="9"/>
  <c r="F10" i="9" s="1"/>
  <c r="E8" i="9"/>
  <c r="D8" i="9"/>
  <c r="D10" i="9" s="1"/>
  <c r="E31" i="7"/>
  <c r="E46" i="7" s="1"/>
  <c r="D31" i="7"/>
  <c r="D46" i="7" s="1"/>
  <c r="D13" i="5"/>
  <c r="E13" i="5"/>
  <c r="F13" i="5"/>
  <c r="G13" i="5"/>
  <c r="C13" i="5"/>
  <c r="H31" i="7" l="1"/>
  <c r="H46" i="7" s="1"/>
  <c r="I31" i="7"/>
  <c r="I46" i="7" s="1"/>
  <c r="H13" i="5"/>
  <c r="I13" i="5"/>
  <c r="D6" i="4"/>
  <c r="E6" i="4"/>
  <c r="F6" i="4"/>
  <c r="G6" i="4"/>
  <c r="C6" i="4"/>
  <c r="S17" i="2"/>
  <c r="I150" i="1" l="1"/>
  <c r="H150" i="1"/>
  <c r="G150" i="1"/>
  <c r="F150" i="1"/>
  <c r="I137" i="1"/>
  <c r="H137" i="1"/>
  <c r="G137" i="1"/>
  <c r="F137" i="1"/>
  <c r="G71" i="1"/>
  <c r="G114" i="1"/>
  <c r="F71" i="1"/>
  <c r="F114" i="1"/>
  <c r="C23" i="2" l="1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B3" i="2"/>
  <c r="B12" i="2" s="1"/>
  <c r="C3" i="2"/>
  <c r="C12" i="2" s="1"/>
  <c r="D3" i="2"/>
  <c r="D12" i="2" s="1"/>
  <c r="E3" i="2"/>
  <c r="E12" i="2" s="1"/>
  <c r="F3" i="2"/>
  <c r="F12" i="2" s="1"/>
  <c r="B4" i="2"/>
  <c r="B13" i="2" s="1"/>
  <c r="C4" i="2"/>
  <c r="C13" i="2" s="1"/>
  <c r="D4" i="2"/>
  <c r="D13" i="2" s="1"/>
  <c r="E4" i="2"/>
  <c r="E13" i="2" s="1"/>
  <c r="F4" i="2"/>
  <c r="F13" i="2" s="1"/>
  <c r="B5" i="2"/>
  <c r="B15" i="2" s="1"/>
  <c r="C5" i="2"/>
  <c r="C15" i="2" s="1"/>
  <c r="D5" i="2"/>
  <c r="D15" i="2" s="1"/>
  <c r="E5" i="2"/>
  <c r="E15" i="2" s="1"/>
  <c r="F5" i="2"/>
  <c r="F15" i="2" s="1"/>
  <c r="B6" i="2"/>
  <c r="B16" i="2" s="1"/>
  <c r="C6" i="2"/>
  <c r="C16" i="2" s="1"/>
  <c r="D6" i="2"/>
  <c r="D16" i="2" s="1"/>
  <c r="E6" i="2"/>
  <c r="E16" i="2" s="1"/>
  <c r="F6" i="2"/>
  <c r="F16" i="2" s="1"/>
  <c r="B7" i="2"/>
  <c r="B14" i="2" s="1"/>
  <c r="C7" i="2"/>
  <c r="C14" i="2" s="1"/>
  <c r="D7" i="2"/>
  <c r="D14" i="2" s="1"/>
  <c r="E7" i="2"/>
  <c r="E14" i="2" s="1"/>
  <c r="F7" i="2"/>
  <c r="F14" i="2" s="1"/>
  <c r="F2" i="2"/>
  <c r="F11" i="2" s="1"/>
  <c r="E2" i="2"/>
  <c r="E11" i="2" s="1"/>
  <c r="D2" i="2"/>
  <c r="D11" i="2" s="1"/>
  <c r="C2" i="2"/>
  <c r="C11" i="2" s="1"/>
  <c r="B2" i="2"/>
  <c r="B11" i="2" s="1"/>
  <c r="D17" i="2" l="1"/>
  <c r="G15" i="2"/>
  <c r="B17" i="2"/>
  <c r="G11" i="2"/>
  <c r="C17" i="2"/>
  <c r="G14" i="2"/>
  <c r="F17" i="2"/>
  <c r="G12" i="2"/>
  <c r="G16" i="2"/>
  <c r="E17" i="2"/>
  <c r="G13" i="2"/>
  <c r="H20" i="2"/>
  <c r="H22" i="2"/>
  <c r="H23" i="2"/>
  <c r="H26" i="2"/>
  <c r="H21" i="2"/>
  <c r="H24" i="2"/>
  <c r="H25" i="2"/>
  <c r="C27" i="2"/>
  <c r="E27" i="2"/>
  <c r="D27" i="2"/>
  <c r="F27" i="2"/>
  <c r="G27" i="2"/>
  <c r="B8" i="2"/>
  <c r="C8" i="2"/>
  <c r="D8" i="2"/>
  <c r="E8" i="2"/>
  <c r="F8" i="2"/>
  <c r="G17" i="2" l="1"/>
  <c r="H15" i="2" s="1"/>
  <c r="H16" i="2"/>
  <c r="H14" i="2"/>
  <c r="H27" i="2"/>
  <c r="I20" i="2" s="1"/>
  <c r="I5" i="1"/>
  <c r="I6" i="1" s="1"/>
  <c r="H5" i="1"/>
  <c r="H6" i="1" s="1"/>
  <c r="G5" i="1"/>
  <c r="G6" i="1" s="1"/>
  <c r="F5" i="1"/>
  <c r="F6" i="1" s="1"/>
  <c r="E5" i="1"/>
  <c r="E6" i="1" s="1"/>
  <c r="H11" i="2" l="1"/>
  <c r="H12" i="2"/>
  <c r="H13" i="2"/>
  <c r="I25" i="2"/>
  <c r="I24" i="2"/>
  <c r="I22" i="2"/>
  <c r="I23" i="2"/>
  <c r="I26" i="2"/>
  <c r="I21" i="2"/>
  <c r="A8" i="1"/>
  <c r="A9" i="1" s="1"/>
  <c r="A10" i="1" s="1"/>
  <c r="A11" i="1" s="1"/>
  <c r="A12" i="1" s="1"/>
  <c r="A13" i="1" s="1"/>
  <c r="A14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</calcChain>
</file>

<file path=xl/comments1.xml><?xml version="1.0" encoding="utf-8"?>
<comments xmlns="http://schemas.openxmlformats.org/spreadsheetml/2006/main">
  <authors>
    <author>Webster, Jeremiah</author>
  </authors>
  <commentList>
    <comment ref="F71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1,080,000, plant work expected to move to O&amp;M in mid-2021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1,036,800 moved from Coyote LTSA to offset, plant work expected to move to O&amp;M in mid-2021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FKA Gas Meter Shop conversion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1,080,000, plant work expected to move to O&amp;M in mid-2021</t>
        </r>
      </text>
    </comment>
    <comment ref="G114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1,036,800 moved from Coyote LTSA to offset, plant work expected to move to O&amp;M in mid-2021</t>
        </r>
      </text>
    </comment>
    <comment ref="F137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750,000 asset condition work moved from Electric Storm to Transmission - Minor Rebuild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750,000 asset condition work moved from Electric Storm to Transmission - Minor Rebuild</t>
        </r>
      </text>
    </comment>
    <comment ref="H137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750,000 asset condition work moved from Electric Storm to Transmission - Minor Rebuild</t>
        </r>
      </text>
    </comment>
    <comment ref="I137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750,000 asset condition work moved from Electric Storm to Transmission - Minor Rebuild</t>
        </r>
      </text>
    </comment>
    <comment ref="F150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750,000 asset condition work moved from Electric Storm to Transmission - Minor Rebuild</t>
        </r>
      </text>
    </comment>
    <comment ref="G150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750,000 asset condition work moved from Electric Storm to Transmission - Minor Rebuild</t>
        </r>
      </text>
    </comment>
    <comment ref="H150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750,000 asset condition work moved from Electric Storm to Transmission - Minor Rebuild</t>
        </r>
      </text>
    </comment>
    <comment ref="I150" authorId="0" shapeId="0">
      <text>
        <r>
          <rPr>
            <b/>
            <sz val="9"/>
            <color indexed="81"/>
            <rFont val="Tahoma"/>
            <family val="2"/>
          </rPr>
          <t>Webster, Jeremiah:</t>
        </r>
        <r>
          <rPr>
            <sz val="9"/>
            <color indexed="81"/>
            <rFont val="Tahoma"/>
            <family val="2"/>
          </rPr>
          <t xml:space="preserve">
750,000 asset condition work moved from Electric Storm to Transmission - Minor Rebuild</t>
        </r>
      </text>
    </comment>
  </commentList>
</comments>
</file>

<file path=xl/sharedStrings.xml><?xml version="1.0" encoding="utf-8"?>
<sst xmlns="http://schemas.openxmlformats.org/spreadsheetml/2006/main" count="1014" uniqueCount="291">
  <si>
    <t>Base Load Hydro</t>
  </si>
  <si>
    <t>Regulating Hydro</t>
  </si>
  <si>
    <t>Clark Fork Settlement Agreement</t>
  </si>
  <si>
    <t>Coyote Springs LTSA</t>
  </si>
  <si>
    <t>Distribution Minor Rebuild</t>
  </si>
  <si>
    <t>Enterprise Security</t>
  </si>
  <si>
    <t>Environmental Compliance</t>
  </si>
  <si>
    <t>Gas Non-Revenue Program</t>
  </si>
  <si>
    <t>Hydro Safety Minor Blanket</t>
  </si>
  <si>
    <t>Little Falls Plant Upgrade</t>
  </si>
  <si>
    <t>New Revenue - Growth</t>
  </si>
  <si>
    <t>Primary URD Cable Replacement</t>
  </si>
  <si>
    <t>Spokane River License Implementation</t>
  </si>
  <si>
    <t>Structures and Improvements/Furniture</t>
  </si>
  <si>
    <t>Generation</t>
  </si>
  <si>
    <t>Gas</t>
  </si>
  <si>
    <t>Other</t>
  </si>
  <si>
    <t>ET</t>
  </si>
  <si>
    <t>T&amp;D</t>
  </si>
  <si>
    <t>Environmental</t>
  </si>
  <si>
    <t>Growth</t>
  </si>
  <si>
    <t>Function</t>
  </si>
  <si>
    <t>Sum</t>
  </si>
  <si>
    <t>Business Case</t>
  </si>
  <si>
    <t>New Pullman Service Center</t>
  </si>
  <si>
    <t>Gas Cathodic Protection Program</t>
  </si>
  <si>
    <t>Gas Deteriorated Steel Pipe Replacement Program</t>
  </si>
  <si>
    <t>Gas ERT Replacement Program</t>
  </si>
  <si>
    <t>Gas Isolated Steel Replacement Program</t>
  </si>
  <si>
    <t>Gas Overbuilt Pipe Replacement Program</t>
  </si>
  <si>
    <t>Gas PMC Program</t>
  </si>
  <si>
    <t>Gas Reinforcement Program</t>
  </si>
  <si>
    <t>Gas Replacement Street and Highway Program</t>
  </si>
  <si>
    <t>Gas Telemetry Program</t>
  </si>
  <si>
    <t>Colstrip Transmission</t>
  </si>
  <si>
    <t>Meter Minor Blanket</t>
  </si>
  <si>
    <t>Energy Imbalance Market</t>
  </si>
  <si>
    <t>Idaho AMI</t>
  </si>
  <si>
    <t>Gas Schweitzer Mtn Rd HP Reinforcement</t>
  </si>
  <si>
    <t>Gas Cheney HP Reinforcement</t>
  </si>
  <si>
    <t>Gas Warden HP Reinforcement</t>
  </si>
  <si>
    <t>Automation Replacement</t>
  </si>
  <si>
    <t>Guidance</t>
  </si>
  <si>
    <t>Enterprise Business Continuity</t>
  </si>
  <si>
    <t>High Voltage Protection (HVP) Refresh</t>
  </si>
  <si>
    <t>Atlas</t>
  </si>
  <si>
    <t>Fleet Services Capital Plan</t>
  </si>
  <si>
    <t>Gas Facility Replacement Program (GFRP) Aldyl A Pipe Replacement</t>
  </si>
  <si>
    <t>Gas Regulator Station Replacement Program</t>
  </si>
  <si>
    <t>Base Load Thermal Program</t>
  </si>
  <si>
    <t>Cabinet Gorge Automation</t>
  </si>
  <si>
    <t>Cabinet Gorge Station Service</t>
  </si>
  <si>
    <t>Colstrip 3&amp;4 Capital Projects</t>
  </si>
  <si>
    <t>Generation DC Supplied System Update</t>
  </si>
  <si>
    <t>Little Falls Spillway Flashboard Replacement</t>
  </si>
  <si>
    <t>Long Lake Plant Upgrade</t>
  </si>
  <si>
    <t>Peaking Generation Business Case</t>
  </si>
  <si>
    <t>Post Falls HED Redevelopment Program</t>
  </si>
  <si>
    <t>Apprentice/Craft Training</t>
  </si>
  <si>
    <t>Capital Tools &amp; Stores</t>
  </si>
  <si>
    <t>WSDOT Franchises</t>
  </si>
  <si>
    <t>Jackson Prairie Joint Project</t>
  </si>
  <si>
    <t>Distribution Grid Modernization</t>
  </si>
  <si>
    <t>Distribution Transformer Change Out Program</t>
  </si>
  <si>
    <t>Wood Pole Management</t>
  </si>
  <si>
    <t>Elec Relocation and Replacement Program</t>
  </si>
  <si>
    <t>LED Change-Out Program</t>
  </si>
  <si>
    <t>Protection System Upgrade for PRC-002</t>
  </si>
  <si>
    <t>SCADA - SOO and BuCC</t>
  </si>
  <si>
    <t>Segment Reconductor and FDR Tie</t>
  </si>
  <si>
    <t>Spokane Valley Transmission Reinforcement Project</t>
  </si>
  <si>
    <t>Electric Storm</t>
  </si>
  <si>
    <t>Substation - New Distribution Station Capacity Program</t>
  </si>
  <si>
    <t>Substation - Station Rebuilds Program</t>
  </si>
  <si>
    <t>Transmission - Minor Rebuild</t>
  </si>
  <si>
    <t>Transmission NERC Low-Risk Priority Lines Mitigation</t>
  </si>
  <si>
    <t>Transmission Construction - Compliance</t>
  </si>
  <si>
    <t>Transmission Major Rebuild - Asset Condition</t>
  </si>
  <si>
    <t>Tribal Permits &amp; Settlements</t>
  </si>
  <si>
    <t>Washington Advanced Metering Infrastructure Project</t>
  </si>
  <si>
    <t>Westside 230/115kV Station "Brownfield Rebuild" Project</t>
  </si>
  <si>
    <t>Outage Management System &amp; Advanced Distribution Management System (OMS &amp; ADMS)</t>
  </si>
  <si>
    <t>Gas Pullman HP Reinforcement Project</t>
  </si>
  <si>
    <t>Long Lake Replace Plant Emergency Generator</t>
  </si>
  <si>
    <t>Cabinet Gorge Control Room Replacement</t>
  </si>
  <si>
    <t>Cabinet Gorge Spillgate Replacement</t>
  </si>
  <si>
    <t>Cabinet Gorge Warehouse Replacement</t>
  </si>
  <si>
    <t>Financial &amp; Accounting Technology</t>
  </si>
  <si>
    <t>Legal &amp; Compliance Technology</t>
  </si>
  <si>
    <t xml:space="preserve">Energy Resources Modernization &amp; Operational Efficiency </t>
  </si>
  <si>
    <t>Human Resources Technology</t>
  </si>
  <si>
    <t>ET Modernization &amp; Operational Efficiency - Technology</t>
  </si>
  <si>
    <t>Energy Delivery Operational Efficiency &amp; Shared Services</t>
  </si>
  <si>
    <t>Energy Delivery Modernization</t>
  </si>
  <si>
    <t>CIP 14 v1 - High Impact Assets</t>
  </si>
  <si>
    <t>Fiber Network Lease Service Replacement</t>
  </si>
  <si>
    <t>Digital Grid Network Expansion</t>
  </si>
  <si>
    <t>Enterprise &amp; Control Network Infrastructure</t>
  </si>
  <si>
    <t xml:space="preserve">Environmental Control &amp; Monitoring Systems </t>
  </si>
  <si>
    <t>Data Center Compute and Storage Systems</t>
  </si>
  <si>
    <t>Endpoint Compute and Productivity Systems</t>
  </si>
  <si>
    <t>Land Mobile Radio &amp; Real Time Communication Systems</t>
  </si>
  <si>
    <t>Enterprise Communication Systems</t>
  </si>
  <si>
    <t>Transmission New Construction - Performance &amp; Capacity</t>
  </si>
  <si>
    <t>Monroe Street Generator Excitation Replacement</t>
  </si>
  <si>
    <t>Ninth &amp; Central 230kV Station &amp; Transmission</t>
  </si>
  <si>
    <t>Noxon Rapids Generator Step-Up Bank C Replacement</t>
  </si>
  <si>
    <t>Noxon Rapids Spillgate Refurbishment</t>
  </si>
  <si>
    <t>Saddle Mountain 230/115kV Station (New) Integration Project Phase 1</t>
  </si>
  <si>
    <t>Saddle Mountain 230/115kV Station (New) Integration Project Phase 2</t>
  </si>
  <si>
    <t>Upper Falls and Monroe Street Permanent Backup Generator</t>
  </si>
  <si>
    <t>Upper Falls Unit Upgrade</t>
  </si>
  <si>
    <t>HMI Control Software</t>
  </si>
  <si>
    <t>Long Lake Stability Enhancement</t>
  </si>
  <si>
    <t>Downtown Network - Asset Condition</t>
  </si>
  <si>
    <t>Downtown Network - Performance &amp; Capacity</t>
  </si>
  <si>
    <t>Rattlesnake Flat Wind Farm Project 115kV Integration Project</t>
  </si>
  <si>
    <t>Cabinet Gorge 230kV Add Bus Isolating Breakers</t>
  </si>
  <si>
    <t>Enterprise Data Science</t>
  </si>
  <si>
    <t>KF_Fuel Yard Equipment Replacement</t>
  </si>
  <si>
    <t>Facilities Driven Technology Improvements</t>
  </si>
  <si>
    <t>Central 24 HR Operations Facility</t>
  </si>
  <si>
    <t>Sandpoint Service Center</t>
  </si>
  <si>
    <t>West Plains New 230kV Substation</t>
  </si>
  <si>
    <t>Little Falls Intake Gate Replacement</t>
  </si>
  <si>
    <t>Cabinet Gorge Unit 1 Governor Upgrade</t>
  </si>
  <si>
    <t>Cabinet Gorge Unit 2 Field Pole Refurbishment</t>
  </si>
  <si>
    <t>Cabinet Gorge Unit 3 Protection &amp; Control Upgrade</t>
  </si>
  <si>
    <t>Facilities and Storage Location Security</t>
  </si>
  <si>
    <t>Generation, Substation &amp; Gas Location Security</t>
  </si>
  <si>
    <t>Telecommunication &amp; Network Distribution location Security</t>
  </si>
  <si>
    <t>Variance to Guidance, (over)/under</t>
  </si>
  <si>
    <t>Gas Operator Qualification Compliance</t>
  </si>
  <si>
    <t>Cabinet Gorge Dam Fishway</t>
  </si>
  <si>
    <t>Technology Failed Assets</t>
  </si>
  <si>
    <t>Cabinet Gorge Unit 4 Protection &amp; Control Upgrade</t>
  </si>
  <si>
    <t>Nine Mile Units 3 &amp; 4 Control Upgrade</t>
  </si>
  <si>
    <t>Generation Masonry Building Rehabilitation</t>
  </si>
  <si>
    <t>Gas Airway Heights HP Reinforcement Project</t>
  </si>
  <si>
    <t>Post Falls Landing and Crane Pad Development</t>
  </si>
  <si>
    <t>CS2 Single Phase Transformer</t>
  </si>
  <si>
    <t>Cabinet Gorge 15 kV Bus Replacement</t>
  </si>
  <si>
    <t>Monroe Street Abandoned Penstock Stabilization</t>
  </si>
  <si>
    <t>Cabinet Gorge Stop Log Replacement</t>
  </si>
  <si>
    <t>Cabinet Gorge Gantry Crane Runway Modernization</t>
  </si>
  <si>
    <t>Cabinet Gorge HVAC Replacement</t>
  </si>
  <si>
    <t>Post Falls North Channel Spillway Rehabilitation</t>
  </si>
  <si>
    <t>Upper Falls Trash Rake Replacement</t>
  </si>
  <si>
    <t>Nine Mile Powerhouse Crane Rehab</t>
  </si>
  <si>
    <t>Nine Mile Unit 3 Mechanical Overhaul</t>
  </si>
  <si>
    <t>Corporate and Craft Training</t>
  </si>
  <si>
    <t>Service Building Basement Renovation</t>
  </si>
  <si>
    <t>Clearwater Wind Generation Interconnection</t>
  </si>
  <si>
    <t>Joint Use</t>
  </si>
  <si>
    <t>Telematics 2025</t>
  </si>
  <si>
    <t>Basic Workplace Technology Delivery</t>
  </si>
  <si>
    <t>Corporate Campus Exterior Wellness-Safety</t>
  </si>
  <si>
    <t>Offset to Budget</t>
  </si>
  <si>
    <t>Primary Driver</t>
  </si>
  <si>
    <t>Mandatory &amp; Compliance</t>
  </si>
  <si>
    <t>Asset Condition</t>
  </si>
  <si>
    <t>Performance &amp; Capacity</t>
  </si>
  <si>
    <t>Customer Service Quality &amp; Reliability</t>
  </si>
  <si>
    <t>Failed Plant &amp; Operations</t>
  </si>
  <si>
    <t>Customer Requested</t>
  </si>
  <si>
    <t>2020 - 2024 Capital Plan -- 2020 Board Approved</t>
  </si>
  <si>
    <t>2020 Approved</t>
  </si>
  <si>
    <t>2021 Approved</t>
  </si>
  <si>
    <t>2022 Approved</t>
  </si>
  <si>
    <t>2023 Approved</t>
  </si>
  <si>
    <t>2024 Approved</t>
  </si>
  <si>
    <t>as of 12/20/2019</t>
  </si>
  <si>
    <t>Raw Data Source: \\c01d60\c01d60\COMMON\Asset Management\Reliability Data from Jill\Reliability Data 2018 - JAN.xlsm  "SQM" tab</t>
  </si>
  <si>
    <t>DATA FROM: UE-170338 Avista REVISED 2016 Service Quality and Electric Reliability Report 5-11-17</t>
  </si>
  <si>
    <t>SAIDI - No MED</t>
  </si>
  <si>
    <t>SAIFI - No MED</t>
  </si>
  <si>
    <t>Average Length of Outages (minutes)</t>
  </si>
  <si>
    <t>Average Number of Outages</t>
  </si>
  <si>
    <t>Average National SAIDI and SAIFI for 2015</t>
  </si>
  <si>
    <t>From: https://www.eia.gov/electricity/data/eia861/  (Download latest year and select Reliability_&lt;current year&gt;)</t>
  </si>
  <si>
    <t>National Average:</t>
  </si>
  <si>
    <t>SAIDI with MED</t>
  </si>
  <si>
    <t>SAIDI without MED</t>
  </si>
  <si>
    <t>SAIFI with MED</t>
  </si>
  <si>
    <t>SAIFI without MED</t>
  </si>
  <si>
    <t>Reliability Measure</t>
  </si>
  <si>
    <t>Spokane</t>
  </si>
  <si>
    <t>Colville</t>
  </si>
  <si>
    <t>System Number of Outages (SAIFI)</t>
  </si>
  <si>
    <t>System Duration of Outages (SAIDI)</t>
  </si>
  <si>
    <t>55 Minutes</t>
  </si>
  <si>
    <t>843 Minutes</t>
  </si>
  <si>
    <t>From \\c01m570\c01m570\Distribution\Data Sources\Copy of Reliability Data 2017.xlsm "SPO" tab and "West" tab</t>
  </si>
  <si>
    <t>Figure 1</t>
  </si>
  <si>
    <t>DATA 2005-2-13 FROM: UE-170338 Avista REVISED 2016 Service Quality and Electric Reliability Report 5-11-17 http://www.publicpower.org/files/PDFs/2015DSReliabilityAndOperationsReport_FINAL.pdf</t>
  </si>
  <si>
    <t>CAIDI - No MED</t>
  </si>
  <si>
    <t>MAIFI - No MED</t>
  </si>
  <si>
    <t>Average Length of Outages (SAIDI)</t>
  </si>
  <si>
    <t>Nat'l SAIDI Ave</t>
  </si>
  <si>
    <t>Average Number of Outages (SAIFI)</t>
  </si>
  <si>
    <t>Nat'l SAIFI Ave</t>
  </si>
  <si>
    <t>Ave. Outage Duration (CAIDI)</t>
  </si>
  <si>
    <t>Nat'l CAIDI Ave</t>
  </si>
  <si>
    <t>Nat'l MAIFI Ave</t>
  </si>
  <si>
    <t>Ave. Number Momentary Outages</t>
  </si>
  <si>
    <t>* Red numbers were averaged as the survey was every other year</t>
  </si>
  <si>
    <t>Total Budget</t>
  </si>
  <si>
    <t>AVISTA CAPITAL BUDGET</t>
  </si>
  <si>
    <t>Five Year Total</t>
  </si>
  <si>
    <t>%</t>
  </si>
  <si>
    <t>Enterprise Technology</t>
  </si>
  <si>
    <t>Transmission &amp; Distribution</t>
  </si>
  <si>
    <t xml:space="preserve">Total </t>
  </si>
  <si>
    <r>
      <rPr>
        <b/>
        <i/>
        <sz val="11"/>
        <color rgb="FF00B050"/>
        <rFont val="Calibri"/>
        <family val="2"/>
        <scheme val="minor"/>
      </rPr>
      <t>Customer Requested</t>
    </r>
    <r>
      <rPr>
        <b/>
        <sz val="11"/>
        <color indexed="8"/>
        <rFont val="Calibri"/>
        <family val="2"/>
        <scheme val="minor"/>
      </rPr>
      <t xml:space="preserve"> Business Cases</t>
    </r>
  </si>
  <si>
    <r>
      <rPr>
        <b/>
        <i/>
        <sz val="11"/>
        <color rgb="FF00B050"/>
        <rFont val="Calibri"/>
        <family val="2"/>
        <scheme val="minor"/>
      </rPr>
      <t>Customer Service Quality &amp; Reliability</t>
    </r>
    <r>
      <rPr>
        <b/>
        <sz val="11"/>
        <color indexed="8"/>
        <rFont val="Calibri"/>
        <family val="2"/>
        <scheme val="minor"/>
      </rPr>
      <t xml:space="preserve"> Business Cases</t>
    </r>
  </si>
  <si>
    <r>
      <rPr>
        <b/>
        <i/>
        <sz val="11"/>
        <color rgb="FF00B050"/>
        <rFont val="Calibri"/>
        <family val="2"/>
        <scheme val="minor"/>
      </rPr>
      <t>Mandatory &amp; Compliance</t>
    </r>
    <r>
      <rPr>
        <b/>
        <sz val="11"/>
        <color indexed="8"/>
        <rFont val="Calibri"/>
        <family val="2"/>
        <scheme val="minor"/>
      </rPr>
      <t xml:space="preserve"> Business Cases</t>
    </r>
  </si>
  <si>
    <r>
      <rPr>
        <b/>
        <i/>
        <sz val="11"/>
        <color rgb="FF00B050"/>
        <rFont val="Calibri"/>
        <family val="2"/>
        <scheme val="minor"/>
      </rPr>
      <t>Performance &amp; Capacity</t>
    </r>
    <r>
      <rPr>
        <b/>
        <sz val="11"/>
        <color indexed="8"/>
        <rFont val="Calibri"/>
        <family val="2"/>
        <scheme val="minor"/>
      </rPr>
      <t xml:space="preserve"> Business Cases</t>
    </r>
  </si>
  <si>
    <r>
      <rPr>
        <b/>
        <i/>
        <sz val="11"/>
        <color rgb="FF00B050"/>
        <rFont val="Calibri"/>
        <family val="2"/>
        <scheme val="minor"/>
      </rPr>
      <t>Asset Condition</t>
    </r>
    <r>
      <rPr>
        <b/>
        <sz val="11"/>
        <color indexed="8"/>
        <rFont val="Calibri"/>
        <family val="2"/>
        <scheme val="minor"/>
      </rPr>
      <t xml:space="preserve"> Business Cases</t>
    </r>
  </si>
  <si>
    <r>
      <rPr>
        <b/>
        <i/>
        <sz val="11"/>
        <color rgb="FF00B050"/>
        <rFont val="Calibri"/>
        <family val="2"/>
        <scheme val="minor"/>
      </rPr>
      <t>Failed Plant</t>
    </r>
    <r>
      <rPr>
        <b/>
        <sz val="11"/>
        <color indexed="8"/>
        <rFont val="Calibri"/>
        <family val="2"/>
        <scheme val="minor"/>
      </rPr>
      <t xml:space="preserve"> Business Cases</t>
    </r>
  </si>
  <si>
    <t>Total</t>
  </si>
  <si>
    <t>Notes: Coyote Springs LTSA:
1,080,000, plant work expected to move to O&amp;M in mid-2021 (Webster, Jeremiah)</t>
  </si>
  <si>
    <t xml:space="preserve">             and 
$1,036,800 moved from Coyote LTSA to offset, plant work expected to move to O&amp;M in mid-2021 (Jeremiah)</t>
  </si>
  <si>
    <r>
      <t xml:space="preserve">             </t>
    </r>
    <r>
      <rPr>
        <b/>
        <sz val="11"/>
        <color rgb="FFFF0000"/>
        <rFont val="Calibri"/>
        <family val="2"/>
        <scheme val="minor"/>
      </rPr>
      <t>Transmission Minor Rebuild</t>
    </r>
    <r>
      <rPr>
        <sz val="11"/>
        <color rgb="FFFF0000"/>
        <rFont val="Calibri"/>
        <family val="2"/>
        <scheme val="minor"/>
      </rPr>
      <t xml:space="preserve"> $750,000 yearly in asset condition work moved from Electric Storm to Transmission - Minor Rebuild (Jeremiah)</t>
    </r>
  </si>
  <si>
    <r>
      <rPr>
        <i/>
        <sz val="11"/>
        <color rgb="FFFF0000"/>
        <rFont val="Calibri"/>
        <family val="2"/>
        <scheme val="minor"/>
      </rPr>
      <t>Notes: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Offset to Budget</t>
    </r>
    <r>
      <rPr>
        <sz val="11"/>
        <color rgb="FFFF0000"/>
        <rFont val="Calibri"/>
        <family val="2"/>
        <scheme val="minor"/>
      </rPr>
      <t xml:space="preserve">  $1,080,000 plant work expected to move to O&amp;M in mid-2021 (Webster, Jeremiah)</t>
    </r>
  </si>
  <si>
    <t>Note: $750,000 asset condition work moved from Electric Storm to Transmission - Minor Rebuild (Jeremiah)</t>
  </si>
  <si>
    <t>5 Year Total</t>
  </si>
  <si>
    <t>5 Year Average</t>
  </si>
  <si>
    <t>Row Labels</t>
  </si>
  <si>
    <t>Grand Total</t>
  </si>
  <si>
    <t>Sum of 5 Year Total</t>
  </si>
  <si>
    <t>Telecommunication &amp; Network Distribution Location Security</t>
  </si>
  <si>
    <t>Natural Gas</t>
  </si>
  <si>
    <t>Year</t>
  </si>
  <si>
    <t>Numbers from Larry La Bolle 1/16/2020:</t>
  </si>
  <si>
    <t>Average Duration of Outages</t>
  </si>
  <si>
    <t>Total WA-ID Electric</t>
  </si>
  <si>
    <t>Total WA-ID-OR Gas</t>
  </si>
  <si>
    <t>Total All Hookups</t>
  </si>
  <si>
    <t>2020 Forecast</t>
  </si>
  <si>
    <t>2021 Forecast</t>
  </si>
  <si>
    <t>2022 Forecast</t>
  </si>
  <si>
    <t>2023 Forecast</t>
  </si>
  <si>
    <t>2024 Forecast</t>
  </si>
  <si>
    <t>2025 Forecast</t>
  </si>
  <si>
    <t>Data acquired from Grant Forsthe</t>
  </si>
  <si>
    <t>Electric Average (2009-2019):</t>
  </si>
  <si>
    <t>Gas Average (2009-2019):</t>
  </si>
  <si>
    <t>ACTUAL</t>
  </si>
  <si>
    <t>FORECAST</t>
  </si>
  <si>
    <t>Electric Average (2020-2025):</t>
  </si>
  <si>
    <t>Gas Average (2020-2025):</t>
  </si>
  <si>
    <r>
      <rPr>
        <b/>
        <i/>
        <sz val="11"/>
        <color theme="0"/>
        <rFont val="Calibri"/>
        <family val="2"/>
        <scheme val="minor"/>
      </rPr>
      <t>Customer Service Quality &amp; Reliability</t>
    </r>
    <r>
      <rPr>
        <b/>
        <sz val="11"/>
        <color theme="0"/>
        <rFont val="Calibri"/>
        <family val="2"/>
        <scheme val="minor"/>
      </rPr>
      <t xml:space="preserve"> Business Cases</t>
    </r>
  </si>
  <si>
    <t>Customer Facing Technology Program</t>
  </si>
  <si>
    <t>Customer Transactional Systems</t>
  </si>
  <si>
    <t>SAIFI*</t>
  </si>
  <si>
    <t>SAIDI*</t>
  </si>
  <si>
    <t>*SAIFI is number of outages per customer for all customers served.</t>
  </si>
  <si>
    <t>**SAIDI is outage time per customer for all customers served (in Hours).</t>
  </si>
  <si>
    <t>Cabinet Gorge Unit 2 Field Pole Refurb</t>
  </si>
  <si>
    <t>Long Lake Emergency Generator</t>
  </si>
  <si>
    <t>Kettle Falls Fuel Yard Equip Replacement</t>
  </si>
  <si>
    <t xml:space="preserve">Corporate Campus Exterior </t>
  </si>
  <si>
    <t>Cheney HP Reinforcement</t>
  </si>
  <si>
    <t>Pullman HP Reinforcement Project</t>
  </si>
  <si>
    <t>Reinforcement Program</t>
  </si>
  <si>
    <t>Schweitzer Mtn Rd HP Reinforcement</t>
  </si>
  <si>
    <t>Telemetry Program</t>
  </si>
  <si>
    <t>Warden HP Reinforcement</t>
  </si>
  <si>
    <t>Airway Heights HP Reinforcement</t>
  </si>
  <si>
    <t>Environmental Control &amp; Monitoring</t>
  </si>
  <si>
    <t>Facilities Driven Technology</t>
  </si>
  <si>
    <t>Fiber Network Lease  Replacement</t>
  </si>
  <si>
    <t>Endpoint Compute and Productivity</t>
  </si>
  <si>
    <t>Enterprise &amp; Control Network</t>
  </si>
  <si>
    <t>Cabinet Gorge Bus Isolating Breakers</t>
  </si>
  <si>
    <t>Substation New Capacity Program</t>
  </si>
  <si>
    <t>Transmission New Construction</t>
  </si>
  <si>
    <t>Downtown Network Performance &amp; Capacity</t>
  </si>
  <si>
    <t>Customer Requested Business Cases</t>
  </si>
  <si>
    <t>Mandatory and Compliance Business Cases (Part 1 of 2)</t>
  </si>
  <si>
    <t>Mandatory and Compliance Business Cases (Part 2 of 2)</t>
  </si>
  <si>
    <t>Failed Plant &amp; Operations Business Cases</t>
  </si>
  <si>
    <t>Asset Condition Business Cases (Part 1 of 2)</t>
  </si>
  <si>
    <t>)</t>
  </si>
  <si>
    <t>Asset Condition Business Cases (Part 2 of 2)</t>
  </si>
  <si>
    <t>Service Quality and Reliability Business Cases</t>
  </si>
  <si>
    <t xml:space="preserve">Outage Management System &amp; Advanced Distribution Management System </t>
  </si>
  <si>
    <t>Gas Deteriorated Steel Pipe Replacement</t>
  </si>
  <si>
    <t>Transmission Major Rebuild</t>
  </si>
  <si>
    <t>Distribution Transformer Change Out</t>
  </si>
  <si>
    <t>Performance and Capacity Business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</si>
</sst>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[$$-409]* #,##0_);_([$$-409]* \(#,##0\);_([$$-409]* &quot;-&quot;_);_(@_)"/>
    <numFmt numFmtId="166" formatCode="#,##0.000"/>
  </numFmts>
  <fonts count="5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11"/>
      <color theme="3" tint="-0.249977111117893"/>
      <name val="Calibri"/>
      <family val="2"/>
    </font>
    <font>
      <b/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0"/>
      <name val="Calibri"/>
      <family val="2"/>
    </font>
    <font>
      <sz val="10"/>
      <color theme="3" tint="-0.249977111117893"/>
      <name val="Calibri"/>
      <family val="2"/>
    </font>
    <font>
      <b/>
      <i/>
      <sz val="11"/>
      <color rgb="FF00B050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u/>
      <sz val="11"/>
      <color rgb="FF000080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8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1" tint="0.34998626667073579"/>
        <bgColor indexed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1" tint="0.499984740745262"/>
        <bgColor indexed="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A0C7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00FF00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27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5" borderId="14" applyNumberFormat="0" applyAlignment="0" applyProtection="0"/>
    <xf numFmtId="0" fontId="22" fillId="26" borderId="15" applyNumberFormat="0" applyAlignment="0" applyProtection="0"/>
    <xf numFmtId="0" fontId="23" fillId="26" borderId="14" applyNumberFormat="0" applyAlignment="0" applyProtection="0"/>
    <xf numFmtId="0" fontId="24" fillId="0" borderId="16" applyNumberFormat="0" applyFill="0" applyAlignment="0" applyProtection="0"/>
    <xf numFmtId="0" fontId="25" fillId="27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4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4" fillId="42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29" fillId="5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9" fillId="0" borderId="0" applyNumberFormat="0" applyFill="0" applyBorder="0" applyAlignment="0" applyProtection="0"/>
    <xf numFmtId="165" fontId="4" fillId="0" borderId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6" borderId="0" applyNumberFormat="0" applyBorder="0" applyAlignment="0" applyProtection="0"/>
    <xf numFmtId="0" fontId="4" fillId="50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7" borderId="0" applyNumberFormat="0" applyBorder="0" applyAlignment="0" applyProtection="0"/>
    <xf numFmtId="0" fontId="4" fillId="51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8" borderId="18" applyNumberFormat="0" applyFont="0" applyAlignment="0" applyProtection="0"/>
    <xf numFmtId="0" fontId="38" fillId="28" borderId="18" applyNumberFormat="0" applyFont="0" applyAlignment="0" applyProtection="0"/>
    <xf numFmtId="0" fontId="38" fillId="28" borderId="18" applyNumberFormat="0" applyFont="0" applyAlignment="0" applyProtection="0"/>
    <xf numFmtId="0" fontId="4" fillId="28" borderId="18" applyNumberFormat="0" applyFont="0" applyAlignment="0" applyProtection="0"/>
    <xf numFmtId="0" fontId="4" fillId="28" borderId="18" applyNumberFormat="0" applyFont="0" applyAlignment="0" applyProtection="0"/>
    <xf numFmtId="0" fontId="2" fillId="28" borderId="18" applyNumberFormat="0" applyFont="0" applyAlignment="0" applyProtection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28" borderId="18" applyNumberFormat="0" applyFont="0" applyAlignment="0" applyProtection="0"/>
    <xf numFmtId="0" fontId="38" fillId="28" borderId="18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3" fillId="0" borderId="30" applyNumberFormat="0" applyFont="0" applyProtection="0">
      <alignment wrapText="1"/>
    </xf>
  </cellStyleXfs>
  <cellXfs count="301">
    <xf numFmtId="0" fontId="0" fillId="0" borderId="0" xfId="0"/>
    <xf numFmtId="0" fontId="5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164" fontId="0" fillId="0" borderId="0" xfId="0" applyNumberFormat="1" applyFont="1" applyBorder="1" applyAlignment="1"/>
    <xf numFmtId="1" fontId="0" fillId="0" borderId="1" xfId="0" applyNumberFormat="1" applyFont="1" applyBorder="1" applyAlignment="1">
      <alignment horizontal="right"/>
    </xf>
    <xf numFmtId="164" fontId="0" fillId="17" borderId="4" xfId="0" applyNumberFormat="1" applyFont="1" applyFill="1" applyBorder="1" applyAlignment="1">
      <alignment horizontal="right"/>
    </xf>
    <xf numFmtId="164" fontId="0" fillId="18" borderId="4" xfId="0" applyNumberFormat="1" applyFont="1" applyFill="1" applyBorder="1" applyAlignment="1">
      <alignment horizontal="right"/>
    </xf>
    <xf numFmtId="164" fontId="0" fillId="19" borderId="4" xfId="0" applyNumberFormat="1" applyFont="1" applyFill="1" applyBorder="1" applyAlignment="1">
      <alignment horizontal="right"/>
    </xf>
    <xf numFmtId="164" fontId="0" fillId="20" borderId="4" xfId="0" applyNumberFormat="1" applyFont="1" applyFill="1" applyBorder="1" applyAlignment="1">
      <alignment horizontal="right"/>
    </xf>
    <xf numFmtId="164" fontId="0" fillId="17" borderId="0" xfId="0" applyNumberFormat="1" applyFont="1" applyFill="1" applyBorder="1" applyAlignment="1">
      <alignment horizontal="right"/>
    </xf>
    <xf numFmtId="164" fontId="0" fillId="18" borderId="0" xfId="0" applyNumberFormat="1" applyFont="1" applyFill="1" applyBorder="1" applyAlignment="1">
      <alignment horizontal="right"/>
    </xf>
    <xf numFmtId="164" fontId="0" fillId="19" borderId="0" xfId="0" applyNumberFormat="1" applyFont="1" applyFill="1" applyBorder="1" applyAlignment="1">
      <alignment horizontal="right"/>
    </xf>
    <xf numFmtId="164" fontId="0" fillId="20" borderId="0" xfId="0" applyNumberFormat="1" applyFont="1" applyFill="1" applyBorder="1" applyAlignment="1">
      <alignment horizontal="right"/>
    </xf>
    <xf numFmtId="5" fontId="6" fillId="3" borderId="0" xfId="1" applyNumberFormat="1" applyFont="1" applyFill="1" applyBorder="1" applyAlignment="1"/>
    <xf numFmtId="5" fontId="6" fillId="4" borderId="0" xfId="1" applyNumberFormat="1" applyFont="1" applyFill="1" applyBorder="1" applyAlignment="1">
      <alignment horizontal="right"/>
    </xf>
    <xf numFmtId="5" fontId="6" fillId="7" borderId="0" xfId="1" applyNumberFormat="1" applyFont="1" applyFill="1" applyBorder="1" applyAlignment="1">
      <alignment horizontal="right"/>
    </xf>
    <xf numFmtId="5" fontId="0" fillId="20" borderId="0" xfId="0" applyNumberFormat="1" applyFont="1" applyFill="1" applyBorder="1" applyAlignment="1">
      <alignment horizontal="right"/>
    </xf>
    <xf numFmtId="5" fontId="6" fillId="8" borderId="0" xfId="1" applyNumberFormat="1" applyFont="1" applyFill="1" applyBorder="1" applyAlignment="1">
      <alignment horizontal="right"/>
    </xf>
    <xf numFmtId="164" fontId="0" fillId="21" borderId="0" xfId="0" applyNumberFormat="1" applyFont="1" applyFill="1" applyBorder="1" applyAlignment="1">
      <alignment horizontal="right"/>
    </xf>
    <xf numFmtId="164" fontId="0" fillId="21" borderId="4" xfId="0" applyNumberFormat="1" applyFont="1" applyFill="1" applyBorder="1" applyAlignment="1">
      <alignment horizontal="right"/>
    </xf>
    <xf numFmtId="5" fontId="6" fillId="9" borderId="1" xfId="1" applyNumberFormat="1" applyFont="1" applyFill="1" applyBorder="1" applyAlignment="1">
      <alignment horizontal="right"/>
    </xf>
    <xf numFmtId="5" fontId="0" fillId="17" borderId="0" xfId="0" applyNumberFormat="1" applyFont="1" applyFill="1" applyBorder="1" applyAlignment="1">
      <alignment horizontal="right"/>
    </xf>
    <xf numFmtId="5" fontId="0" fillId="18" borderId="0" xfId="0" applyNumberFormat="1" applyFont="1" applyFill="1" applyBorder="1" applyAlignment="1">
      <alignment horizontal="right"/>
    </xf>
    <xf numFmtId="5" fontId="0" fillId="19" borderId="0" xfId="0" applyNumberFormat="1" applyFont="1" applyFill="1" applyBorder="1" applyAlignment="1">
      <alignment horizontal="right"/>
    </xf>
    <xf numFmtId="5" fontId="0" fillId="21" borderId="0" xfId="0" applyNumberFormat="1" applyFont="1" applyFill="1" applyBorder="1" applyAlignment="1">
      <alignment horizontal="right"/>
    </xf>
    <xf numFmtId="14" fontId="0" fillId="0" borderId="0" xfId="0" applyNumberFormat="1" applyFont="1" applyBorder="1" applyAlignment="1"/>
    <xf numFmtId="0" fontId="9" fillId="0" borderId="0" xfId="0" applyFont="1" applyBorder="1" applyAlignment="1"/>
    <xf numFmtId="0" fontId="6" fillId="2" borderId="2" xfId="1" applyFont="1" applyFill="1" applyBorder="1" applyAlignment="1">
      <alignment horizontal="center" vertical="center"/>
    </xf>
    <xf numFmtId="0" fontId="6" fillId="11" borderId="2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6" fillId="16" borderId="3" xfId="1" applyFont="1" applyFill="1" applyBorder="1" applyAlignment="1">
      <alignment horizontal="center" vertical="center" wrapText="1"/>
    </xf>
    <xf numFmtId="0" fontId="6" fillId="16" borderId="5" xfId="1" applyFont="1" applyFill="1" applyBorder="1" applyAlignment="1">
      <alignment horizontal="center" wrapText="1"/>
    </xf>
    <xf numFmtId="0" fontId="0" fillId="12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14" borderId="5" xfId="0" applyFont="1" applyFill="1" applyBorder="1" applyAlignment="1">
      <alignment horizontal="center"/>
    </xf>
    <xf numFmtId="1" fontId="0" fillId="10" borderId="5" xfId="0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0" fontId="10" fillId="0" borderId="0" xfId="1" applyFont="1" applyFill="1" applyBorder="1" applyAlignment="1">
      <alignment wrapText="1"/>
    </xf>
    <xf numFmtId="0" fontId="13" fillId="0" borderId="0" xfId="0" applyFont="1" applyBorder="1" applyAlignment="1"/>
    <xf numFmtId="0" fontId="14" fillId="0" borderId="0" xfId="1" applyFont="1" applyFill="1" applyAlignment="1">
      <alignment wrapText="1"/>
    </xf>
    <xf numFmtId="5" fontId="14" fillId="3" borderId="0" xfId="1" applyNumberFormat="1" applyFont="1" applyFill="1" applyAlignment="1"/>
    <xf numFmtId="5" fontId="14" fillId="4" borderId="0" xfId="1" applyNumberFormat="1" applyFont="1" applyFill="1" applyAlignment="1"/>
    <xf numFmtId="5" fontId="14" fillId="7" borderId="0" xfId="1" applyNumberFormat="1" applyFont="1" applyFill="1" applyAlignment="1">
      <alignment horizontal="right"/>
    </xf>
    <xf numFmtId="5" fontId="14" fillId="8" borderId="0" xfId="1" applyNumberFormat="1" applyFont="1" applyFill="1" applyAlignment="1"/>
    <xf numFmtId="5" fontId="14" fillId="9" borderId="1" xfId="1" applyNumberFormat="1" applyFont="1" applyFill="1" applyBorder="1" applyAlignment="1"/>
    <xf numFmtId="1" fontId="0" fillId="0" borderId="0" xfId="0" applyNumberFormat="1" applyFont="1" applyBorder="1" applyAlignment="1">
      <alignment horizontal="right"/>
    </xf>
    <xf numFmtId="0" fontId="0" fillId="0" borderId="0" xfId="0" applyAlignment="1"/>
    <xf numFmtId="37" fontId="0" fillId="0" borderId="0" xfId="0" applyNumberFormat="1"/>
    <xf numFmtId="0" fontId="0" fillId="0" borderId="7" xfId="0" applyBorder="1"/>
    <xf numFmtId="0" fontId="0" fillId="0" borderId="0" xfId="0"/>
    <xf numFmtId="0" fontId="28" fillId="0" borderId="0" xfId="0" applyFont="1" applyAlignment="1">
      <alignment horizontal="center" wrapText="1"/>
    </xf>
    <xf numFmtId="0" fontId="0" fillId="0" borderId="0" xfId="0" applyBorder="1"/>
    <xf numFmtId="0" fontId="31" fillId="0" borderId="0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/>
    </xf>
    <xf numFmtId="0" fontId="32" fillId="55" borderId="20" xfId="0" applyFont="1" applyFill="1" applyBorder="1" applyAlignment="1">
      <alignment horizontal="center" vertical="center" wrapText="1"/>
    </xf>
    <xf numFmtId="0" fontId="32" fillId="57" borderId="20" xfId="0" applyFont="1" applyFill="1" applyBorder="1" applyAlignment="1">
      <alignment horizontal="center" vertical="center" wrapText="1"/>
    </xf>
    <xf numFmtId="6" fontId="36" fillId="57" borderId="2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1" fillId="0" borderId="0" xfId="0" applyFont="1" applyFill="1" applyBorder="1" applyAlignment="1">
      <alignment horizontal="center" vertical="center"/>
    </xf>
    <xf numFmtId="166" fontId="0" fillId="59" borderId="0" xfId="0" applyNumberFormat="1" applyFont="1" applyFill="1" applyBorder="1" applyAlignment="1" applyProtection="1"/>
    <xf numFmtId="0" fontId="35" fillId="56" borderId="20" xfId="0" applyFont="1" applyFill="1" applyBorder="1" applyAlignment="1">
      <alignment horizontal="center" vertical="center"/>
    </xf>
    <xf numFmtId="0" fontId="35" fillId="56" borderId="20" xfId="0" applyFont="1" applyFill="1" applyBorder="1" applyAlignment="1">
      <alignment horizontal="center" vertical="center" wrapText="1"/>
    </xf>
    <xf numFmtId="40" fontId="36" fillId="55" borderId="20" xfId="0" applyNumberFormat="1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right"/>
    </xf>
    <xf numFmtId="164" fontId="0" fillId="53" borderId="27" xfId="0" applyNumberFormat="1" applyFill="1" applyBorder="1"/>
    <xf numFmtId="0" fontId="0" fillId="0" borderId="0" xfId="0"/>
    <xf numFmtId="0" fontId="28" fillId="0" borderId="0" xfId="0" applyFont="1" applyAlignment="1">
      <alignment horizontal="center" wrapText="1"/>
    </xf>
    <xf numFmtId="0" fontId="0" fillId="0" borderId="0" xfId="0" applyBorder="1"/>
    <xf numFmtId="0" fontId="31" fillId="0" borderId="0" xfId="0" applyFont="1" applyBorder="1" applyAlignment="1">
      <alignment horizontal="center" vertical="center"/>
    </xf>
    <xf numFmtId="0" fontId="26" fillId="0" borderId="0" xfId="0" applyFont="1"/>
    <xf numFmtId="0" fontId="0" fillId="0" borderId="0" xfId="0" applyFill="1" applyBorder="1"/>
    <xf numFmtId="0" fontId="31" fillId="0" borderId="0" xfId="0" applyFont="1" applyFill="1" applyBorder="1" applyAlignment="1">
      <alignment horizontal="center" vertical="center"/>
    </xf>
    <xf numFmtId="0" fontId="0" fillId="0" borderId="0" xfId="0"/>
    <xf numFmtId="0" fontId="28" fillId="0" borderId="0" xfId="0" applyFont="1"/>
    <xf numFmtId="164" fontId="0" fillId="0" borderId="0" xfId="0" applyNumberFormat="1"/>
    <xf numFmtId="0" fontId="0" fillId="0" borderId="0" xfId="0" applyFont="1" applyBorder="1" applyAlignment="1"/>
    <xf numFmtId="0" fontId="0" fillId="0" borderId="8" xfId="0" applyFont="1" applyBorder="1" applyAlignment="1"/>
    <xf numFmtId="9" fontId="0" fillId="0" borderId="0" xfId="217" applyFont="1"/>
    <xf numFmtId="0" fontId="28" fillId="0" borderId="0" xfId="0" applyFont="1" applyAlignment="1">
      <alignment horizontal="center"/>
    </xf>
    <xf numFmtId="0" fontId="0" fillId="0" borderId="0" xfId="0" applyFill="1"/>
    <xf numFmtId="164" fontId="0" fillId="54" borderId="27" xfId="0" applyNumberFormat="1" applyFill="1" applyBorder="1"/>
    <xf numFmtId="0" fontId="42" fillId="0" borderId="0" xfId="0" applyFont="1" applyFill="1" applyBorder="1" applyAlignment="1">
      <alignment horizontal="right"/>
    </xf>
    <xf numFmtId="164" fontId="0" fillId="0" borderId="2" xfId="0" applyNumberFormat="1" applyFill="1" applyBorder="1"/>
    <xf numFmtId="164" fontId="29" fillId="0" borderId="2" xfId="0" applyNumberFormat="1" applyFont="1" applyFill="1" applyBorder="1"/>
    <xf numFmtId="164" fontId="29" fillId="0" borderId="3" xfId="0" applyNumberFormat="1" applyFont="1" applyFill="1" applyBorder="1"/>
    <xf numFmtId="164" fontId="0" fillId="0" borderId="0" xfId="0" applyNumberFormat="1" applyFill="1" applyBorder="1"/>
    <xf numFmtId="164" fontId="29" fillId="0" borderId="0" xfId="0" applyNumberFormat="1" applyFont="1" applyFill="1" applyBorder="1"/>
    <xf numFmtId="0" fontId="45" fillId="60" borderId="22" xfId="1" applyFont="1" applyFill="1" applyBorder="1" applyAlignment="1">
      <alignment horizontal="center" vertical="center" wrapText="1"/>
    </xf>
    <xf numFmtId="0" fontId="45" fillId="61" borderId="22" xfId="1" applyFont="1" applyFill="1" applyBorder="1" applyAlignment="1">
      <alignment horizontal="center" vertical="center" wrapText="1"/>
    </xf>
    <xf numFmtId="0" fontId="42" fillId="0" borderId="0" xfId="0" applyFont="1"/>
    <xf numFmtId="0" fontId="44" fillId="64" borderId="22" xfId="1" applyFont="1" applyFill="1" applyBorder="1" applyAlignment="1">
      <alignment horizontal="center" vertical="center" wrapText="1"/>
    </xf>
    <xf numFmtId="37" fontId="0" fillId="55" borderId="20" xfId="0" applyNumberFormat="1" applyFill="1" applyBorder="1"/>
    <xf numFmtId="164" fontId="0" fillId="55" borderId="27" xfId="0" applyNumberFormat="1" applyFill="1" applyBorder="1"/>
    <xf numFmtId="37" fontId="0" fillId="53" borderId="20" xfId="0" applyNumberFormat="1" applyFill="1" applyBorder="1"/>
    <xf numFmtId="37" fontId="0" fillId="54" borderId="20" xfId="0" applyNumberFormat="1" applyFill="1" applyBorder="1"/>
    <xf numFmtId="0" fontId="25" fillId="62" borderId="22" xfId="1" applyFont="1" applyFill="1" applyBorder="1" applyAlignment="1">
      <alignment horizontal="center" vertical="center" wrapText="1"/>
    </xf>
    <xf numFmtId="0" fontId="25" fillId="65" borderId="23" xfId="1" applyFont="1" applyFill="1" applyBorder="1" applyAlignment="1">
      <alignment horizontal="center" vertical="center" wrapText="1"/>
    </xf>
    <xf numFmtId="37" fontId="29" fillId="63" borderId="20" xfId="0" applyNumberFormat="1" applyFont="1" applyFill="1" applyBorder="1"/>
    <xf numFmtId="164" fontId="29" fillId="63" borderId="27" xfId="0" applyNumberFormat="1" applyFont="1" applyFill="1" applyBorder="1"/>
    <xf numFmtId="0" fontId="42" fillId="0" borderId="24" xfId="0" applyFont="1" applyBorder="1" applyAlignment="1"/>
    <xf numFmtId="37" fontId="29" fillId="56" borderId="25" xfId="0" applyNumberFormat="1" applyFont="1" applyFill="1" applyBorder="1"/>
    <xf numFmtId="164" fontId="29" fillId="56" borderId="28" xfId="0" applyNumberFormat="1" applyFont="1" applyFill="1" applyBorder="1"/>
    <xf numFmtId="0" fontId="6" fillId="0" borderId="20" xfId="1" applyFont="1" applyFill="1" applyBorder="1" applyAlignment="1">
      <alignment vertical="center" wrapText="1"/>
    </xf>
    <xf numFmtId="5" fontId="6" fillId="3" borderId="20" xfId="1" applyNumberFormat="1" applyFont="1" applyFill="1" applyBorder="1" applyAlignment="1">
      <alignment vertical="center"/>
    </xf>
    <xf numFmtId="5" fontId="6" fillId="4" borderId="20" xfId="1" applyNumberFormat="1" applyFont="1" applyFill="1" applyBorder="1" applyAlignment="1">
      <alignment horizontal="right" vertical="center"/>
    </xf>
    <xf numFmtId="5" fontId="6" fillId="7" borderId="20" xfId="1" applyNumberFormat="1" applyFont="1" applyFill="1" applyBorder="1" applyAlignment="1">
      <alignment horizontal="right" vertical="center"/>
    </xf>
    <xf numFmtId="5" fontId="6" fillId="8" borderId="20" xfId="1" applyNumberFormat="1" applyFont="1" applyFill="1" applyBorder="1" applyAlignment="1">
      <alignment horizontal="right" vertical="center"/>
    </xf>
    <xf numFmtId="0" fontId="6" fillId="0" borderId="20" xfId="1" applyFont="1" applyFill="1" applyBorder="1" applyAlignment="1">
      <alignment wrapText="1"/>
    </xf>
    <xf numFmtId="5" fontId="6" fillId="9" borderId="25" xfId="1" applyNumberFormat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wrapText="1"/>
    </xf>
    <xf numFmtId="0" fontId="0" fillId="0" borderId="31" xfId="0" applyFont="1" applyBorder="1" applyAlignment="1"/>
    <xf numFmtId="5" fontId="6" fillId="3" borderId="20" xfId="1" applyNumberFormat="1" applyFont="1" applyFill="1" applyBorder="1" applyAlignment="1"/>
    <xf numFmtId="5" fontId="6" fillId="4" borderId="20" xfId="1" applyNumberFormat="1" applyFont="1" applyFill="1" applyBorder="1" applyAlignment="1">
      <alignment horizontal="right"/>
    </xf>
    <xf numFmtId="5" fontId="6" fillId="7" borderId="20" xfId="1" applyNumberFormat="1" applyFont="1" applyFill="1" applyBorder="1" applyAlignment="1">
      <alignment horizontal="right"/>
    </xf>
    <xf numFmtId="5" fontId="6" fillId="8" borderId="20" xfId="1" applyNumberFormat="1" applyFont="1" applyFill="1" applyBorder="1" applyAlignment="1">
      <alignment horizontal="right"/>
    </xf>
    <xf numFmtId="0" fontId="0" fillId="0" borderId="24" xfId="0" applyFont="1" applyBorder="1" applyAlignment="1"/>
    <xf numFmtId="5" fontId="6" fillId="9" borderId="25" xfId="1" applyNumberFormat="1" applyFont="1" applyFill="1" applyBorder="1" applyAlignment="1">
      <alignment horizontal="right"/>
    </xf>
    <xf numFmtId="5" fontId="14" fillId="3" borderId="20" xfId="1" applyNumberFormat="1" applyFont="1" applyFill="1" applyBorder="1" applyAlignment="1"/>
    <xf numFmtId="5" fontId="14" fillId="4" borderId="20" xfId="1" applyNumberFormat="1" applyFont="1" applyFill="1" applyBorder="1" applyAlignment="1"/>
    <xf numFmtId="5" fontId="14" fillId="7" borderId="20" xfId="1" applyNumberFormat="1" applyFont="1" applyFill="1" applyBorder="1" applyAlignment="1">
      <alignment horizontal="right"/>
    </xf>
    <xf numFmtId="5" fontId="14" fillId="8" borderId="20" xfId="1" applyNumberFormat="1" applyFont="1" applyFill="1" applyBorder="1" applyAlignment="1"/>
    <xf numFmtId="5" fontId="28" fillId="0" borderId="27" xfId="0" applyNumberFormat="1" applyFont="1" applyBorder="1"/>
    <xf numFmtId="5" fontId="28" fillId="0" borderId="28" xfId="0" applyNumberFormat="1" applyFont="1" applyBorder="1"/>
    <xf numFmtId="5" fontId="28" fillId="0" borderId="36" xfId="0" applyNumberFormat="1" applyFont="1" applyBorder="1"/>
    <xf numFmtId="0" fontId="26" fillId="0" borderId="0" xfId="0" applyFont="1" applyBorder="1" applyAlignment="1"/>
    <xf numFmtId="0" fontId="25" fillId="73" borderId="26" xfId="1" applyFont="1" applyFill="1" applyBorder="1" applyAlignment="1">
      <alignment horizontal="center" vertical="center"/>
    </xf>
    <xf numFmtId="0" fontId="33" fillId="74" borderId="27" xfId="1" applyFont="1" applyFill="1" applyBorder="1" applyAlignment="1">
      <alignment horizontal="right" wrapText="1"/>
    </xf>
    <xf numFmtId="5" fontId="29" fillId="74" borderId="27" xfId="0" applyNumberFormat="1" applyFont="1" applyFill="1" applyBorder="1"/>
    <xf numFmtId="0" fontId="25" fillId="74" borderId="10" xfId="0" applyFont="1" applyFill="1" applyBorder="1"/>
    <xf numFmtId="0" fontId="33" fillId="74" borderId="26" xfId="0" applyFont="1" applyFill="1" applyBorder="1" applyAlignment="1">
      <alignment horizontal="right"/>
    </xf>
    <xf numFmtId="5" fontId="25" fillId="74" borderId="27" xfId="0" applyNumberFormat="1" applyFont="1" applyFill="1" applyBorder="1"/>
    <xf numFmtId="5" fontId="25" fillId="74" borderId="28" xfId="0" applyNumberFormat="1" applyFont="1" applyFill="1" applyBorder="1"/>
    <xf numFmtId="0" fontId="25" fillId="74" borderId="26" xfId="0" applyFont="1" applyFill="1" applyBorder="1"/>
    <xf numFmtId="0" fontId="0" fillId="0" borderId="34" xfId="0" applyFont="1" applyBorder="1" applyAlignment="1"/>
    <xf numFmtId="0" fontId="6" fillId="0" borderId="32" xfId="1" applyFont="1" applyFill="1" applyBorder="1" applyAlignment="1">
      <alignment wrapText="1"/>
    </xf>
    <xf numFmtId="5" fontId="6" fillId="3" borderId="32" xfId="1" applyNumberFormat="1" applyFont="1" applyFill="1" applyBorder="1" applyAlignment="1"/>
    <xf numFmtId="5" fontId="6" fillId="4" borderId="32" xfId="1" applyNumberFormat="1" applyFont="1" applyFill="1" applyBorder="1" applyAlignment="1">
      <alignment horizontal="right"/>
    </xf>
    <xf numFmtId="5" fontId="6" fillId="7" borderId="32" xfId="1" applyNumberFormat="1" applyFont="1" applyFill="1" applyBorder="1" applyAlignment="1">
      <alignment horizontal="right"/>
    </xf>
    <xf numFmtId="5" fontId="6" fillId="8" borderId="32" xfId="1" applyNumberFormat="1" applyFont="1" applyFill="1" applyBorder="1" applyAlignment="1">
      <alignment horizontal="right"/>
    </xf>
    <xf numFmtId="5" fontId="6" fillId="9" borderId="33" xfId="1" applyNumberFormat="1" applyFont="1" applyFill="1" applyBorder="1" applyAlignment="1">
      <alignment horizontal="right"/>
    </xf>
    <xf numFmtId="0" fontId="45" fillId="72" borderId="29" xfId="1" applyFont="1" applyFill="1" applyBorder="1" applyAlignment="1">
      <alignment horizontal="center" vertical="center"/>
    </xf>
    <xf numFmtId="0" fontId="45" fillId="72" borderId="37" xfId="1" applyFont="1" applyFill="1" applyBorder="1" applyAlignment="1">
      <alignment horizontal="center" vertical="center"/>
    </xf>
    <xf numFmtId="0" fontId="45" fillId="11" borderId="37" xfId="1" applyFont="1" applyFill="1" applyBorder="1" applyAlignment="1">
      <alignment horizontal="center" vertical="center" wrapText="1"/>
    </xf>
    <xf numFmtId="0" fontId="45" fillId="13" borderId="37" xfId="1" applyFont="1" applyFill="1" applyBorder="1" applyAlignment="1">
      <alignment horizontal="center" vertical="center" wrapText="1"/>
    </xf>
    <xf numFmtId="0" fontId="45" fillId="6" borderId="37" xfId="1" applyFont="1" applyFill="1" applyBorder="1" applyAlignment="1">
      <alignment horizontal="center" vertical="center" wrapText="1"/>
    </xf>
    <xf numFmtId="0" fontId="45" fillId="15" borderId="37" xfId="1" applyFont="1" applyFill="1" applyBorder="1" applyAlignment="1">
      <alignment horizontal="center" vertical="center" wrapText="1"/>
    </xf>
    <xf numFmtId="0" fontId="45" fillId="16" borderId="38" xfId="1" applyFont="1" applyFill="1" applyBorder="1" applyAlignment="1">
      <alignment horizontal="center" vertical="center" wrapText="1"/>
    </xf>
    <xf numFmtId="0" fontId="0" fillId="0" borderId="35" xfId="0" applyFont="1" applyBorder="1" applyAlignment="1">
      <alignment vertical="center"/>
    </xf>
    <xf numFmtId="0" fontId="6" fillId="0" borderId="34" xfId="1" applyFont="1" applyFill="1" applyBorder="1" applyAlignment="1">
      <alignment vertical="center" wrapText="1"/>
    </xf>
    <xf numFmtId="5" fontId="6" fillId="3" borderId="32" xfId="1" applyNumberFormat="1" applyFont="1" applyFill="1" applyBorder="1" applyAlignment="1">
      <alignment vertical="center"/>
    </xf>
    <xf numFmtId="5" fontId="6" fillId="4" borderId="32" xfId="1" applyNumberFormat="1" applyFont="1" applyFill="1" applyBorder="1" applyAlignment="1">
      <alignment horizontal="right" vertical="center"/>
    </xf>
    <xf numFmtId="5" fontId="6" fillId="7" borderId="32" xfId="1" applyNumberFormat="1" applyFont="1" applyFill="1" applyBorder="1" applyAlignment="1">
      <alignment horizontal="right" vertical="center"/>
    </xf>
    <xf numFmtId="5" fontId="6" fillId="8" borderId="32" xfId="1" applyNumberFormat="1" applyFont="1" applyFill="1" applyBorder="1" applyAlignment="1">
      <alignment horizontal="right" vertical="center"/>
    </xf>
    <xf numFmtId="5" fontId="6" fillId="9" borderId="33" xfId="1" applyNumberFormat="1" applyFont="1" applyFill="1" applyBorder="1" applyAlignment="1">
      <alignment horizontal="right" vertical="center"/>
    </xf>
    <xf numFmtId="0" fontId="6" fillId="72" borderId="6" xfId="1" applyFont="1" applyFill="1" applyBorder="1" applyAlignment="1">
      <alignment horizontal="center" vertical="center"/>
    </xf>
    <xf numFmtId="0" fontId="45" fillId="72" borderId="6" xfId="1" applyFont="1" applyFill="1" applyBorder="1" applyAlignment="1">
      <alignment horizontal="center" vertical="center"/>
    </xf>
    <xf numFmtId="0" fontId="45" fillId="11" borderId="5" xfId="1" applyFont="1" applyFill="1" applyBorder="1" applyAlignment="1">
      <alignment horizontal="center" vertical="center" wrapText="1"/>
    </xf>
    <xf numFmtId="0" fontId="45" fillId="13" borderId="5" xfId="1" applyFont="1" applyFill="1" applyBorder="1" applyAlignment="1">
      <alignment horizontal="center" vertical="center" wrapText="1"/>
    </xf>
    <xf numFmtId="0" fontId="45" fillId="6" borderId="5" xfId="1" applyFont="1" applyFill="1" applyBorder="1" applyAlignment="1">
      <alignment horizontal="center" vertical="center" wrapText="1"/>
    </xf>
    <xf numFmtId="0" fontId="45" fillId="15" borderId="5" xfId="1" applyFont="1" applyFill="1" applyBorder="1" applyAlignment="1">
      <alignment horizontal="center" vertical="center" wrapText="1"/>
    </xf>
    <xf numFmtId="0" fontId="45" fillId="16" borderId="9" xfId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vertical="center"/>
    </xf>
    <xf numFmtId="0" fontId="6" fillId="0" borderId="32" xfId="1" applyFont="1" applyFill="1" applyBorder="1" applyAlignment="1">
      <alignment vertical="center" wrapText="1"/>
    </xf>
    <xf numFmtId="0" fontId="0" fillId="0" borderId="34" xfId="0" applyFont="1" applyBorder="1" applyAlignment="1">
      <alignment vertical="center"/>
    </xf>
    <xf numFmtId="0" fontId="25" fillId="74" borderId="26" xfId="0" applyFont="1" applyFill="1" applyBorder="1" applyAlignment="1">
      <alignment vertical="center"/>
    </xf>
    <xf numFmtId="0" fontId="33" fillId="74" borderId="27" xfId="1" applyFont="1" applyFill="1" applyBorder="1" applyAlignment="1">
      <alignment horizontal="right" vertical="center" wrapText="1"/>
    </xf>
    <xf numFmtId="5" fontId="25" fillId="74" borderId="27" xfId="1" applyNumberFormat="1" applyFont="1" applyFill="1" applyBorder="1" applyAlignment="1">
      <alignment vertical="center"/>
    </xf>
    <xf numFmtId="0" fontId="33" fillId="74" borderId="27" xfId="1" applyFont="1" applyFill="1" applyBorder="1" applyAlignment="1">
      <alignment horizontal="right" wrapText="1" indent="1"/>
    </xf>
    <xf numFmtId="0" fontId="26" fillId="0" borderId="0" xfId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5" fontId="25" fillId="74" borderId="20" xfId="0" applyNumberFormat="1" applyFont="1" applyFill="1" applyBorder="1" applyAlignment="1"/>
    <xf numFmtId="0" fontId="33" fillId="74" borderId="22" xfId="0" applyFont="1" applyFill="1" applyBorder="1" applyAlignment="1">
      <alignment horizontal="center"/>
    </xf>
    <xf numFmtId="0" fontId="33" fillId="74" borderId="23" xfId="0" applyFont="1" applyFill="1" applyBorder="1" applyAlignment="1">
      <alignment horizontal="center"/>
    </xf>
    <xf numFmtId="5" fontId="25" fillId="74" borderId="25" xfId="0" applyNumberFormat="1" applyFont="1" applyFill="1" applyBorder="1" applyAlignment="1"/>
    <xf numFmtId="5" fontId="25" fillId="74" borderId="27" xfId="0" applyNumberFormat="1" applyFont="1" applyFill="1" applyBorder="1" applyAlignment="1"/>
    <xf numFmtId="5" fontId="25" fillId="74" borderId="28" xfId="0" applyNumberFormat="1" applyFont="1" applyFill="1" applyBorder="1" applyAlignment="1"/>
    <xf numFmtId="0" fontId="0" fillId="0" borderId="0" xfId="0" applyAlignment="1">
      <alignment vertical="center"/>
    </xf>
    <xf numFmtId="0" fontId="10" fillId="0" borderId="20" xfId="1" applyFont="1" applyFill="1" applyBorder="1" applyAlignment="1">
      <alignment vertical="center" wrapText="1"/>
    </xf>
    <xf numFmtId="0" fontId="14" fillId="0" borderId="20" xfId="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2" fontId="0" fillId="0" borderId="39" xfId="0" applyNumberFormat="1" applyFont="1" applyBorder="1"/>
    <xf numFmtId="2" fontId="0" fillId="0" borderId="0" xfId="0" applyNumberFormat="1"/>
    <xf numFmtId="0" fontId="34" fillId="0" borderId="0" xfId="0" applyFont="1"/>
    <xf numFmtId="0" fontId="46" fillId="77" borderId="0" xfId="0" applyFont="1" applyFill="1" applyBorder="1" applyAlignment="1">
      <alignment horizontal="center" wrapText="1"/>
    </xf>
    <xf numFmtId="0" fontId="47" fillId="78" borderId="20" xfId="0" applyFont="1" applyFill="1" applyBorder="1" applyAlignment="1">
      <alignment horizontal="center" wrapText="1"/>
    </xf>
    <xf numFmtId="1" fontId="47" fillId="77" borderId="0" xfId="0" applyNumberFormat="1" applyFont="1" applyFill="1" applyBorder="1"/>
    <xf numFmtId="3" fontId="46" fillId="0" borderId="20" xfId="0" applyNumberFormat="1" applyFont="1" applyFill="1" applyBorder="1"/>
    <xf numFmtId="0" fontId="46" fillId="79" borderId="20" xfId="0" applyFont="1" applyFill="1" applyBorder="1"/>
    <xf numFmtId="0" fontId="47" fillId="77" borderId="0" xfId="0" applyFont="1" applyFill="1" applyBorder="1"/>
    <xf numFmtId="3" fontId="46" fillId="79" borderId="20" xfId="0" applyNumberFormat="1" applyFont="1" applyFill="1" applyBorder="1"/>
    <xf numFmtId="3" fontId="46" fillId="80" borderId="20" xfId="0" applyNumberFormat="1" applyFont="1" applyFill="1" applyBorder="1"/>
    <xf numFmtId="0" fontId="47" fillId="77" borderId="0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left" vertical="top"/>
    </xf>
    <xf numFmtId="3" fontId="0" fillId="0" borderId="0" xfId="0" applyNumberFormat="1"/>
    <xf numFmtId="0" fontId="25" fillId="75" borderId="29" xfId="1" applyFont="1" applyFill="1" applyBorder="1" applyAlignment="1">
      <alignment horizontal="center" vertical="center"/>
    </xf>
    <xf numFmtId="0" fontId="25" fillId="75" borderId="37" xfId="1" applyFont="1" applyFill="1" applyBorder="1" applyAlignment="1">
      <alignment horizontal="center" vertical="center"/>
    </xf>
    <xf numFmtId="0" fontId="33" fillId="76" borderId="22" xfId="0" applyFont="1" applyFill="1" applyBorder="1" applyAlignment="1">
      <alignment horizontal="center"/>
    </xf>
    <xf numFmtId="0" fontId="33" fillId="76" borderId="23" xfId="0" applyFont="1" applyFill="1" applyBorder="1" applyAlignment="1">
      <alignment horizontal="center"/>
    </xf>
    <xf numFmtId="0" fontId="0" fillId="58" borderId="34" xfId="0" applyFont="1" applyFill="1" applyBorder="1" applyAlignment="1"/>
    <xf numFmtId="0" fontId="0" fillId="58" borderId="24" xfId="0" applyFont="1" applyFill="1" applyBorder="1" applyAlignment="1"/>
    <xf numFmtId="0" fontId="4" fillId="58" borderId="32" xfId="1" applyFont="1" applyFill="1" applyBorder="1" applyAlignment="1">
      <alignment wrapText="1"/>
    </xf>
    <xf numFmtId="5" fontId="0" fillId="58" borderId="20" xfId="0" applyNumberFormat="1" applyFont="1" applyFill="1" applyBorder="1" applyAlignment="1"/>
    <xf numFmtId="5" fontId="0" fillId="58" borderId="25" xfId="0" applyNumberFormat="1" applyFont="1" applyFill="1" applyBorder="1" applyAlignment="1"/>
    <xf numFmtId="0" fontId="4" fillId="58" borderId="20" xfId="1" applyFont="1" applyFill="1" applyBorder="1" applyAlignment="1">
      <alignment wrapText="1"/>
    </xf>
    <xf numFmtId="0" fontId="33" fillId="74" borderId="40" xfId="0" applyFont="1" applyFill="1" applyBorder="1" applyAlignment="1">
      <alignment horizontal="center"/>
    </xf>
    <xf numFmtId="5" fontId="25" fillId="74" borderId="41" xfId="0" applyNumberFormat="1" applyFont="1" applyFill="1" applyBorder="1" applyAlignment="1"/>
    <xf numFmtId="5" fontId="25" fillId="74" borderId="42" xfId="0" applyNumberFormat="1" applyFont="1" applyFill="1" applyBorder="1" applyAlignment="1"/>
    <xf numFmtId="5" fontId="14" fillId="9" borderId="25" xfId="1" applyNumberFormat="1" applyFont="1" applyFill="1" applyBorder="1" applyAlignment="1"/>
    <xf numFmtId="0" fontId="49" fillId="0" borderId="0" xfId="0" applyFont="1" applyBorder="1" applyAlignment="1"/>
    <xf numFmtId="0" fontId="50" fillId="0" borderId="0" xfId="0" applyNumberFormat="1" applyFont="1" applyFill="1" applyBorder="1" applyAlignment="1" applyProtection="1">
      <alignment wrapText="1"/>
    </xf>
    <xf numFmtId="5" fontId="50" fillId="3" borderId="0" xfId="0" applyNumberFormat="1" applyFont="1" applyFill="1" applyBorder="1" applyAlignment="1" applyProtection="1"/>
    <xf numFmtId="5" fontId="50" fillId="4" borderId="0" xfId="0" applyNumberFormat="1" applyFont="1" applyFill="1" applyBorder="1" applyAlignment="1" applyProtection="1"/>
    <xf numFmtId="5" fontId="50" fillId="7" borderId="0" xfId="0" applyNumberFormat="1" applyFont="1" applyFill="1" applyBorder="1" applyAlignment="1" applyProtection="1">
      <alignment horizontal="right"/>
    </xf>
    <xf numFmtId="5" fontId="50" fillId="8" borderId="0" xfId="0" applyNumberFormat="1" applyFont="1" applyFill="1" applyBorder="1" applyAlignment="1" applyProtection="1"/>
    <xf numFmtId="5" fontId="50" fillId="9" borderId="1" xfId="0" applyNumberFormat="1" applyFont="1" applyFill="1" applyBorder="1" applyAlignment="1" applyProtection="1"/>
    <xf numFmtId="0" fontId="51" fillId="0" borderId="21" xfId="0" applyFont="1" applyBorder="1" applyAlignment="1">
      <alignment horizontal="center"/>
    </xf>
    <xf numFmtId="0" fontId="52" fillId="72" borderId="22" xfId="1" applyFont="1" applyFill="1" applyBorder="1" applyAlignment="1">
      <alignment horizontal="center" vertical="center" wrapText="1"/>
    </xf>
    <xf numFmtId="0" fontId="53" fillId="61" borderId="22" xfId="1" applyFont="1" applyFill="1" applyBorder="1" applyAlignment="1">
      <alignment horizontal="center" vertical="center" wrapText="1"/>
    </xf>
    <xf numFmtId="0" fontId="53" fillId="6" borderId="22" xfId="1" applyFont="1" applyFill="1" applyBorder="1" applyAlignment="1">
      <alignment horizontal="center" vertical="center" wrapText="1"/>
    </xf>
    <xf numFmtId="0" fontId="51" fillId="81" borderId="22" xfId="1" applyFont="1" applyFill="1" applyBorder="1" applyAlignment="1">
      <alignment horizontal="center" vertical="center" wrapText="1"/>
    </xf>
    <xf numFmtId="0" fontId="51" fillId="68" borderId="23" xfId="1" applyFont="1" applyFill="1" applyBorder="1" applyAlignment="1">
      <alignment horizontal="center" vertical="center" wrapText="1"/>
    </xf>
    <xf numFmtId="0" fontId="54" fillId="17" borderId="40" xfId="0" applyFont="1" applyFill="1" applyBorder="1" applyAlignment="1">
      <alignment horizontal="center"/>
    </xf>
    <xf numFmtId="0" fontId="51" fillId="0" borderId="23" xfId="0" applyFont="1" applyBorder="1" applyAlignment="1">
      <alignment horizontal="center"/>
    </xf>
    <xf numFmtId="0" fontId="55" fillId="0" borderId="24" xfId="1" applyFont="1" applyFill="1" applyBorder="1" applyAlignment="1"/>
    <xf numFmtId="164" fontId="56" fillId="58" borderId="20" xfId="0" applyNumberFormat="1" applyFont="1" applyFill="1" applyBorder="1"/>
    <xf numFmtId="164" fontId="56" fillId="53" borderId="20" xfId="0" applyNumberFormat="1" applyFont="1" applyFill="1" applyBorder="1"/>
    <xf numFmtId="164" fontId="56" fillId="5" borderId="20" xfId="0" applyNumberFormat="1" applyFont="1" applyFill="1" applyBorder="1"/>
    <xf numFmtId="164" fontId="56" fillId="82" borderId="20" xfId="0" applyNumberFormat="1" applyFont="1" applyFill="1" applyBorder="1"/>
    <xf numFmtId="164" fontId="56" fillId="21" borderId="25" xfId="0" applyNumberFormat="1" applyFont="1" applyFill="1" applyBorder="1"/>
    <xf numFmtId="164" fontId="54" fillId="17" borderId="41" xfId="0" applyNumberFormat="1" applyFont="1" applyFill="1" applyBorder="1"/>
    <xf numFmtId="9" fontId="56" fillId="0" borderId="25" xfId="217" applyFont="1" applyBorder="1" applyAlignment="1">
      <alignment horizontal="center"/>
    </xf>
    <xf numFmtId="0" fontId="57" fillId="0" borderId="26" xfId="0" applyFont="1" applyBorder="1" applyAlignment="1">
      <alignment horizontal="right"/>
    </xf>
    <xf numFmtId="164" fontId="56" fillId="58" borderId="27" xfId="0" applyNumberFormat="1" applyFont="1" applyFill="1" applyBorder="1"/>
    <xf numFmtId="164" fontId="56" fillId="53" borderId="27" xfId="0" applyNumberFormat="1" applyFont="1" applyFill="1" applyBorder="1"/>
    <xf numFmtId="164" fontId="56" fillId="5" borderId="27" xfId="0" applyNumberFormat="1" applyFont="1" applyFill="1" applyBorder="1"/>
    <xf numFmtId="164" fontId="56" fillId="82" borderId="27" xfId="0" applyNumberFormat="1" applyFont="1" applyFill="1" applyBorder="1"/>
    <xf numFmtId="164" fontId="56" fillId="21" borderId="28" xfId="0" applyNumberFormat="1" applyFont="1" applyFill="1" applyBorder="1"/>
    <xf numFmtId="164" fontId="54" fillId="17" borderId="42" xfId="0" applyNumberFormat="1" applyFont="1" applyFill="1" applyBorder="1"/>
    <xf numFmtId="0" fontId="56" fillId="0" borderId="28" xfId="0" applyFont="1" applyBorder="1" applyAlignment="1">
      <alignment horizontal="center"/>
    </xf>
    <xf numFmtId="0" fontId="53" fillId="71" borderId="22" xfId="1" applyFont="1" applyFill="1" applyBorder="1" applyAlignment="1">
      <alignment horizontal="center" vertical="center" wrapText="1"/>
    </xf>
    <xf numFmtId="0" fontId="53" fillId="69" borderId="22" xfId="1" applyFont="1" applyFill="1" applyBorder="1" applyAlignment="1">
      <alignment horizontal="center" vertical="center" wrapText="1"/>
    </xf>
    <xf numFmtId="0" fontId="54" fillId="75" borderId="22" xfId="1" applyFont="1" applyFill="1" applyBorder="1" applyAlignment="1">
      <alignment horizontal="center" vertical="center" wrapText="1"/>
    </xf>
    <xf numFmtId="0" fontId="54" fillId="66" borderId="23" xfId="1" applyFont="1" applyFill="1" applyBorder="1" applyAlignment="1">
      <alignment horizontal="center" vertical="center" wrapText="1"/>
    </xf>
    <xf numFmtId="164" fontId="56" fillId="57" borderId="20" xfId="0" applyNumberFormat="1" applyFont="1" applyFill="1" applyBorder="1"/>
    <xf numFmtId="164" fontId="56" fillId="70" borderId="20" xfId="0" applyNumberFormat="1" applyFont="1" applyFill="1" applyBorder="1"/>
    <xf numFmtId="164" fontId="58" fillId="76" borderId="20" xfId="0" applyNumberFormat="1" applyFont="1" applyFill="1" applyBorder="1"/>
    <xf numFmtId="164" fontId="58" fillId="67" borderId="25" xfId="0" applyNumberFormat="1" applyFont="1" applyFill="1" applyBorder="1"/>
    <xf numFmtId="164" fontId="56" fillId="57" borderId="27" xfId="0" applyNumberFormat="1" applyFont="1" applyFill="1" applyBorder="1"/>
    <xf numFmtId="164" fontId="56" fillId="70" borderId="27" xfId="0" applyNumberFormat="1" applyFont="1" applyFill="1" applyBorder="1"/>
    <xf numFmtId="164" fontId="58" fillId="76" borderId="27" xfId="0" applyNumberFormat="1" applyFont="1" applyFill="1" applyBorder="1"/>
    <xf numFmtId="164" fontId="58" fillId="67" borderId="28" xfId="0" applyNumberFormat="1" applyFont="1" applyFill="1" applyBorder="1"/>
    <xf numFmtId="0" fontId="4" fillId="0" borderId="20" xfId="1" applyFont="1" applyFill="1" applyBorder="1" applyAlignment="1">
      <alignment wrapText="1"/>
    </xf>
    <xf numFmtId="0" fontId="6" fillId="11" borderId="6" xfId="1" applyFont="1" applyFill="1" applyBorder="1" applyAlignment="1">
      <alignment horizontal="center" vertical="center" wrapText="1"/>
    </xf>
    <xf numFmtId="0" fontId="6" fillId="13" borderId="5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6" fillId="15" borderId="5" xfId="1" applyFont="1" applyFill="1" applyBorder="1" applyAlignment="1">
      <alignment horizontal="center" vertical="center" wrapText="1"/>
    </xf>
    <xf numFmtId="0" fontId="6" fillId="16" borderId="9" xfId="1" applyFont="1" applyFill="1" applyBorder="1" applyAlignment="1">
      <alignment horizontal="center" vertical="center" wrapText="1"/>
    </xf>
    <xf numFmtId="0" fontId="6" fillId="0" borderId="43" xfId="1" applyFont="1" applyFill="1" applyBorder="1" applyAlignment="1"/>
    <xf numFmtId="37" fontId="0" fillId="0" borderId="7" xfId="0" applyNumberFormat="1" applyBorder="1"/>
    <xf numFmtId="37" fontId="0" fillId="0" borderId="44" xfId="0" applyNumberFormat="1" applyBorder="1"/>
    <xf numFmtId="37" fontId="0" fillId="0" borderId="45" xfId="0" applyNumberFormat="1" applyBorder="1"/>
    <xf numFmtId="0" fontId="6" fillId="0" borderId="46" xfId="1" applyFont="1" applyFill="1" applyBorder="1" applyAlignment="1"/>
    <xf numFmtId="37" fontId="0" fillId="0" borderId="8" xfId="0" applyNumberFormat="1" applyBorder="1"/>
    <xf numFmtId="37" fontId="0" fillId="0" borderId="0" xfId="0" applyNumberFormat="1" applyBorder="1"/>
    <xf numFmtId="37" fontId="0" fillId="0" borderId="1" xfId="0" applyNumberFormat="1" applyBorder="1"/>
    <xf numFmtId="0" fontId="6" fillId="0" borderId="47" xfId="1" applyFont="1" applyFill="1" applyBorder="1" applyAlignment="1"/>
    <xf numFmtId="37" fontId="0" fillId="0" borderId="10" xfId="0" applyNumberFormat="1" applyBorder="1"/>
    <xf numFmtId="37" fontId="0" fillId="0" borderId="2" xfId="0" applyNumberFormat="1" applyBorder="1"/>
    <xf numFmtId="37" fontId="0" fillId="0" borderId="3" xfId="0" applyNumberFormat="1" applyBorder="1"/>
    <xf numFmtId="0" fontId="0" fillId="0" borderId="43" xfId="0" applyFont="1" applyBorder="1" applyAlignment="1"/>
    <xf numFmtId="0" fontId="0" fillId="0" borderId="46" xfId="0" applyFont="1" applyBorder="1" applyAlignment="1"/>
    <xf numFmtId="0" fontId="0" fillId="0" borderId="47" xfId="0" applyFont="1" applyBorder="1" applyAlignment="1"/>
    <xf numFmtId="5" fontId="25" fillId="74" borderId="42" xfId="0" applyNumberFormat="1" applyFont="1" applyFill="1" applyBorder="1"/>
    <xf numFmtId="0" fontId="0" fillId="0" borderId="26" xfId="0" applyFont="1" applyBorder="1" applyAlignment="1"/>
    <xf numFmtId="0" fontId="6" fillId="0" borderId="27" xfId="1" applyFont="1" applyFill="1" applyBorder="1" applyAlignment="1">
      <alignment wrapText="1"/>
    </xf>
    <xf numFmtId="5" fontId="6" fillId="3" borderId="27" xfId="1" applyNumberFormat="1" applyFont="1" applyFill="1" applyBorder="1" applyAlignment="1"/>
    <xf numFmtId="5" fontId="6" fillId="4" borderId="27" xfId="1" applyNumberFormat="1" applyFont="1" applyFill="1" applyBorder="1" applyAlignment="1">
      <alignment horizontal="right"/>
    </xf>
    <xf numFmtId="5" fontId="6" fillId="7" borderId="27" xfId="1" applyNumberFormat="1" applyFont="1" applyFill="1" applyBorder="1" applyAlignment="1">
      <alignment horizontal="right"/>
    </xf>
    <xf numFmtId="5" fontId="6" fillId="8" borderId="27" xfId="1" applyNumberFormat="1" applyFont="1" applyFill="1" applyBorder="1" applyAlignment="1">
      <alignment horizontal="right"/>
    </xf>
    <xf numFmtId="5" fontId="6" fillId="9" borderId="28" xfId="1" applyNumberFormat="1" applyFont="1" applyFill="1" applyBorder="1" applyAlignment="1">
      <alignment horizontal="right"/>
    </xf>
    <xf numFmtId="0" fontId="0" fillId="0" borderId="26" xfId="0" applyFont="1" applyBorder="1" applyAlignment="1">
      <alignment vertical="center"/>
    </xf>
    <xf numFmtId="0" fontId="6" fillId="0" borderId="27" xfId="1" applyFont="1" applyFill="1" applyBorder="1" applyAlignment="1">
      <alignment vertical="center" wrapText="1"/>
    </xf>
    <xf numFmtId="5" fontId="29" fillId="74" borderId="28" xfId="0" applyNumberFormat="1" applyFont="1" applyFill="1" applyBorder="1"/>
    <xf numFmtId="5" fontId="6" fillId="3" borderId="27" xfId="1" applyNumberFormat="1" applyFont="1" applyFill="1" applyBorder="1" applyAlignment="1">
      <alignment vertical="center"/>
    </xf>
    <xf numFmtId="5" fontId="6" fillId="4" borderId="27" xfId="1" applyNumberFormat="1" applyFont="1" applyFill="1" applyBorder="1" applyAlignment="1">
      <alignment horizontal="right" vertical="center"/>
    </xf>
    <xf numFmtId="5" fontId="6" fillId="7" borderId="27" xfId="1" applyNumberFormat="1" applyFont="1" applyFill="1" applyBorder="1" applyAlignment="1">
      <alignment horizontal="right" vertical="center"/>
    </xf>
    <xf numFmtId="5" fontId="6" fillId="8" borderId="27" xfId="1" applyNumberFormat="1" applyFont="1" applyFill="1" applyBorder="1" applyAlignment="1">
      <alignment horizontal="right" vertical="center"/>
    </xf>
    <xf numFmtId="5" fontId="6" fillId="9" borderId="28" xfId="1" applyNumberFormat="1" applyFont="1" applyFill="1" applyBorder="1" applyAlignment="1">
      <alignment horizontal="right" vertical="center"/>
    </xf>
    <xf numFmtId="5" fontId="25" fillId="74" borderId="42" xfId="1" applyNumberFormat="1" applyFont="1" applyFill="1" applyBorder="1" applyAlignment="1">
      <alignment vertical="center"/>
    </xf>
    <xf numFmtId="5" fontId="25" fillId="74" borderId="28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5" fillId="74" borderId="6" xfId="0" applyFont="1" applyFill="1" applyBorder="1" applyAlignment="1">
      <alignment horizontal="center"/>
    </xf>
    <xf numFmtId="0" fontId="25" fillId="74" borderId="5" xfId="0" applyFont="1" applyFill="1" applyBorder="1" applyAlignment="1">
      <alignment horizontal="center"/>
    </xf>
    <xf numFmtId="0" fontId="25" fillId="74" borderId="9" xfId="0" applyFont="1" applyFill="1" applyBorder="1" applyAlignment="1">
      <alignment horizontal="center"/>
    </xf>
  </cellXfs>
  <cellStyles count="327">
    <cellStyle name="%" xfId="32"/>
    <cellStyle name="% 2" xfId="33"/>
    <cellStyle name="20% - Accent1" xfId="234" builtinId="30" customBuiltin="1"/>
    <cellStyle name="20% - Accent1 2" xfId="258"/>
    <cellStyle name="20% - Accent2 2" xfId="259"/>
    <cellStyle name="20% - Accent2 2 2" xfId="260"/>
    <cellStyle name="20% - Accent3" xfId="240" builtinId="38" customBuiltin="1"/>
    <cellStyle name="20% - Accent3 2" xfId="261"/>
    <cellStyle name="20% - Accent4" xfId="243" builtinId="42" customBuiltin="1"/>
    <cellStyle name="20% - Accent4 2" xfId="262"/>
    <cellStyle name="20% - Accent5" xfId="246" builtinId="46" customBuiltin="1"/>
    <cellStyle name="20% - Accent5 2" xfId="263"/>
    <cellStyle name="20% - Accent6" xfId="250" builtinId="50" customBuiltin="1"/>
    <cellStyle name="20% - Accent6 2" xfId="264"/>
    <cellStyle name="40% - Accent1" xfId="235" builtinId="31" customBuiltin="1"/>
    <cellStyle name="40% - Accent1 2" xfId="265"/>
    <cellStyle name="40% - Accent2 2" xfId="266"/>
    <cellStyle name="40% - Accent2 2 2" xfId="267"/>
    <cellStyle name="40% - Accent3 2" xfId="268"/>
    <cellStyle name="40% - Accent3 2 2" xfId="269"/>
    <cellStyle name="40% - Accent4 2" xfId="270"/>
    <cellStyle name="40% - Accent4 2 2" xfId="271"/>
    <cellStyle name="40% - Accent5" xfId="247" builtinId="47" customBuiltin="1"/>
    <cellStyle name="40% - Accent5 2" xfId="272"/>
    <cellStyle name="40% - Accent6" xfId="251" builtinId="51" customBuiltin="1"/>
    <cellStyle name="40% - Accent6 2" xfId="273"/>
    <cellStyle name="60% - Accent1" xfId="236" builtinId="32" customBuiltin="1"/>
    <cellStyle name="60% - Accent2" xfId="238" builtinId="36" customBuiltin="1"/>
    <cellStyle name="60% - Accent3" xfId="241" builtinId="40" customBuiltin="1"/>
    <cellStyle name="60% - Accent4" xfId="244" builtinId="44" customBuiltin="1"/>
    <cellStyle name="60% - Accent5" xfId="248" builtinId="48" customBuiltin="1"/>
    <cellStyle name="60% - Accent6" xfId="252" builtinId="52" customBuiltin="1"/>
    <cellStyle name="Accent1" xfId="233" builtinId="29" customBuiltin="1"/>
    <cellStyle name="Accent2" xfId="237" builtinId="33" customBuiltin="1"/>
    <cellStyle name="Accent3" xfId="239" builtinId="37" customBuiltin="1"/>
    <cellStyle name="Accent4" xfId="242" builtinId="41" customBuiltin="1"/>
    <cellStyle name="Accent5" xfId="245" builtinId="45" customBuiltin="1"/>
    <cellStyle name="Accent6" xfId="249" builtinId="49" customBuiltin="1"/>
    <cellStyle name="Bad" xfId="223" builtinId="27" customBuiltin="1"/>
    <cellStyle name="Body: normal cell" xfId="326"/>
    <cellStyle name="Calculation" xfId="227" builtinId="22" customBuiltin="1"/>
    <cellStyle name="Check Cell" xfId="229" builtinId="23" customBuiltin="1"/>
    <cellStyle name="Comma 2" xfId="3"/>
    <cellStyle name="Comma 2 2" xfId="44"/>
    <cellStyle name="Comma 2 2 2" xfId="173"/>
    <cellStyle name="Comma 2 2 3" xfId="174"/>
    <cellStyle name="Comma 2 3" xfId="45"/>
    <cellStyle name="Comma 2 4" xfId="46"/>
    <cellStyle name="Comma 2 5" xfId="47"/>
    <cellStyle name="Comma 2 6" xfId="48"/>
    <cellStyle name="Comma 23" xfId="34"/>
    <cellStyle name="Comma 3" xfId="15"/>
    <cellStyle name="Comma 4" xfId="49"/>
    <cellStyle name="Comma 4 2" xfId="175"/>
    <cellStyle name="Comma 4 3" xfId="176"/>
    <cellStyle name="Comma 5" xfId="188"/>
    <cellStyle name="Comma 7" xfId="189"/>
    <cellStyle name="Currency 10" xfId="50"/>
    <cellStyle name="Currency 10 2" xfId="51"/>
    <cellStyle name="Currency 10 3" xfId="52"/>
    <cellStyle name="Currency 10 4" xfId="53"/>
    <cellStyle name="Currency 10 5" xfId="54"/>
    <cellStyle name="Currency 11" xfId="55"/>
    <cellStyle name="Currency 11 2" xfId="56"/>
    <cellStyle name="Currency 11 3" xfId="57"/>
    <cellStyle name="Currency 11 4" xfId="58"/>
    <cellStyle name="Currency 11 5" xfId="59"/>
    <cellStyle name="Currency 12" xfId="60"/>
    <cellStyle name="Currency 12 2" xfId="61"/>
    <cellStyle name="Currency 12 3" xfId="62"/>
    <cellStyle name="Currency 12 4" xfId="63"/>
    <cellStyle name="Currency 13" xfId="64"/>
    <cellStyle name="Currency 13 2" xfId="65"/>
    <cellStyle name="Currency 13 3" xfId="66"/>
    <cellStyle name="Currency 13 4" xfId="67"/>
    <cellStyle name="Currency 14" xfId="68"/>
    <cellStyle name="Currency 15" xfId="69"/>
    <cellStyle name="Currency 2" xfId="6"/>
    <cellStyle name="Currency 2 2" xfId="177"/>
    <cellStyle name="Currency 2 3" xfId="178"/>
    <cellStyle name="Currency 20" xfId="35"/>
    <cellStyle name="Currency 3" xfId="70"/>
    <cellStyle name="Currency 3 2" xfId="71"/>
    <cellStyle name="Currency 3 3" xfId="72"/>
    <cellStyle name="Currency 3 4" xfId="73"/>
    <cellStyle name="Currency 3 5" xfId="74"/>
    <cellStyle name="Currency 4" xfId="75"/>
    <cellStyle name="Currency 4 2" xfId="76"/>
    <cellStyle name="Currency 4 3" xfId="77"/>
    <cellStyle name="Currency 4 4" xfId="78"/>
    <cellStyle name="Currency 4 5" xfId="79"/>
    <cellStyle name="Currency 5" xfId="80"/>
    <cellStyle name="Currency 5 2" xfId="81"/>
    <cellStyle name="Currency 5 3" xfId="82"/>
    <cellStyle name="Currency 5 4" xfId="83"/>
    <cellStyle name="Currency 5 5" xfId="84"/>
    <cellStyle name="Currency 6" xfId="85"/>
    <cellStyle name="Currency 6 2" xfId="86"/>
    <cellStyle name="Currency 6 3" xfId="87"/>
    <cellStyle name="Currency 6 4" xfId="88"/>
    <cellStyle name="Currency 6 5" xfId="89"/>
    <cellStyle name="Currency 7" xfId="90"/>
    <cellStyle name="Currency 7 2" xfId="91"/>
    <cellStyle name="Currency 7 3" xfId="92"/>
    <cellStyle name="Currency 7 4" xfId="93"/>
    <cellStyle name="Currency 7 5" xfId="94"/>
    <cellStyle name="Currency 8" xfId="95"/>
    <cellStyle name="Currency 8 2" xfId="96"/>
    <cellStyle name="Currency 8 3" xfId="97"/>
    <cellStyle name="Currency 8 4" xfId="98"/>
    <cellStyle name="Currency 8 5" xfId="99"/>
    <cellStyle name="Currency 9" xfId="100"/>
    <cellStyle name="Currency 9 2" xfId="101"/>
    <cellStyle name="Currency 9 3" xfId="102"/>
    <cellStyle name="Currency 9 4" xfId="103"/>
    <cellStyle name="Currency 9 5" xfId="104"/>
    <cellStyle name="Explanatory Text" xfId="231" builtinId="53" customBuiltin="1"/>
    <cellStyle name="Followed Hyperlink 2" xfId="274"/>
    <cellStyle name="Good" xfId="222" builtinId="26" customBuiltin="1"/>
    <cellStyle name="Heading 1" xfId="218" builtinId="16" customBuiltin="1"/>
    <cellStyle name="Heading 2" xfId="219" builtinId="17" customBuiltin="1"/>
    <cellStyle name="Heading 3" xfId="220" builtinId="18" customBuiltin="1"/>
    <cellStyle name="Heading 4" xfId="221" builtinId="19" customBuiltin="1"/>
    <cellStyle name="Hyperlink 2" xfId="275"/>
    <cellStyle name="Input" xfId="225" builtinId="20" customBuiltin="1"/>
    <cellStyle name="Linked Cell" xfId="228" builtinId="24" customBuiltin="1"/>
    <cellStyle name="Neutral" xfId="224" builtinId="28" customBuiltin="1"/>
    <cellStyle name="Normal" xfId="0" builtinId="0"/>
    <cellStyle name="Normal 10" xfId="105"/>
    <cellStyle name="Normal 10 2" xfId="106"/>
    <cellStyle name="Normal 10 2 2" xfId="179"/>
    <cellStyle name="Normal 10 2 3" xfId="180"/>
    <cellStyle name="Normal 10 3" xfId="107"/>
    <cellStyle name="Normal 10 3 2" xfId="276"/>
    <cellStyle name="Normal 10 4" xfId="108"/>
    <cellStyle name="Normal 10 5" xfId="109"/>
    <cellStyle name="Normal 10 6" xfId="110"/>
    <cellStyle name="Normal 10 7" xfId="111"/>
    <cellStyle name="Normal 11" xfId="112"/>
    <cellStyle name="Normal 11 2" xfId="113"/>
    <cellStyle name="Normal 11 2 2" xfId="278"/>
    <cellStyle name="Normal 11 3" xfId="114"/>
    <cellStyle name="Normal 11 4" xfId="115"/>
    <cellStyle name="Normal 11 5" xfId="116"/>
    <cellStyle name="Normal 11 6" xfId="277"/>
    <cellStyle name="Normal 112" xfId="257"/>
    <cellStyle name="Normal 112 2" xfId="279"/>
    <cellStyle name="Normal 12" xfId="117"/>
    <cellStyle name="Normal 12 2" xfId="118"/>
    <cellStyle name="Normal 12 2 2" xfId="281"/>
    <cellStyle name="Normal 12 3" xfId="119"/>
    <cellStyle name="Normal 12 4" xfId="120"/>
    <cellStyle name="Normal 12 5" xfId="121"/>
    <cellStyle name="Normal 12 6" xfId="280"/>
    <cellStyle name="Normal 13" xfId="122"/>
    <cellStyle name="Normal 13 2" xfId="123"/>
    <cellStyle name="Normal 13 2 2" xfId="283"/>
    <cellStyle name="Normal 13 3" xfId="124"/>
    <cellStyle name="Normal 13 4" xfId="125"/>
    <cellStyle name="Normal 13 5" xfId="282"/>
    <cellStyle name="Normal 14" xfId="126"/>
    <cellStyle name="Normal 14 2" xfId="190"/>
    <cellStyle name="Normal 14 2 2" xfId="285"/>
    <cellStyle name="Normal 14 3" xfId="284"/>
    <cellStyle name="Normal 15" xfId="127"/>
    <cellStyle name="Normal 15 2" xfId="191"/>
    <cellStyle name="Normal 16" xfId="192"/>
    <cellStyle name="Normal 16 2" xfId="193"/>
    <cellStyle name="Normal 17" xfId="194"/>
    <cellStyle name="Normal 17 2" xfId="195"/>
    <cellStyle name="Normal 17 3" xfId="286"/>
    <cellStyle name="Normal 18" xfId="196"/>
    <cellStyle name="Normal 18 2" xfId="197"/>
    <cellStyle name="Normal 19" xfId="198"/>
    <cellStyle name="Normal 19 2" xfId="199"/>
    <cellStyle name="Normal 2" xfId="7"/>
    <cellStyle name="Normal 2 2" xfId="2"/>
    <cellStyle name="Normal 2 2 2" xfId="16"/>
    <cellStyle name="Normal 2 2 2 2" xfId="287"/>
    <cellStyle name="Normal 2 2 3" xfId="253"/>
    <cellStyle name="Normal 2 3" xfId="8"/>
    <cellStyle name="Normal 2 3 2" xfId="17"/>
    <cellStyle name="Normal 2 3 2 2" xfId="38"/>
    <cellStyle name="Normal 2 3 3" xfId="25"/>
    <cellStyle name="Normal 2 4" xfId="9"/>
    <cellStyle name="Normal 2 4 2" xfId="18"/>
    <cellStyle name="Normal 2 4 2 2" xfId="39"/>
    <cellStyle name="Normal 2 4 3" xfId="26"/>
    <cellStyle name="Normal 2 5" xfId="19"/>
    <cellStyle name="Normal 2 5 2" xfId="40"/>
    <cellStyle name="Normal 2 6" xfId="24"/>
    <cellStyle name="Normal 20" xfId="200"/>
    <cellStyle name="Normal 20 2" xfId="201"/>
    <cellStyle name="Normal 21" xfId="202"/>
    <cellStyle name="Normal 21 2" xfId="203"/>
    <cellStyle name="Normal 22" xfId="204"/>
    <cellStyle name="Normal 22 2" xfId="205"/>
    <cellStyle name="Normal 23" xfId="128"/>
    <cellStyle name="Normal 23 2" xfId="206"/>
    <cellStyle name="Normal 24" xfId="207"/>
    <cellStyle name="Normal 25" xfId="208"/>
    <cellStyle name="Normal 26" xfId="209"/>
    <cellStyle name="Normal 26 2" xfId="210"/>
    <cellStyle name="Normal 27" xfId="211"/>
    <cellStyle name="Normal 27 2" xfId="212"/>
    <cellStyle name="Normal 27 2 2" xfId="213"/>
    <cellStyle name="Normal 27 3" xfId="214"/>
    <cellStyle name="Normal 28" xfId="215"/>
    <cellStyle name="Normal 29" xfId="216"/>
    <cellStyle name="Normal 3" xfId="10"/>
    <cellStyle name="Normal 3 2" xfId="11"/>
    <cellStyle name="Normal 3 2 2" xfId="20"/>
    <cellStyle name="Normal 3 2 2 2" xfId="41"/>
    <cellStyle name="Normal 3 2 2 3" xfId="181"/>
    <cellStyle name="Normal 3 2 3" xfId="27"/>
    <cellStyle name="Normal 3 2 3 2" xfId="182"/>
    <cellStyle name="Normal 3 2 3 3" xfId="183"/>
    <cellStyle name="Normal 3 2 4" xfId="184"/>
    <cellStyle name="Normal 3 2 5" xfId="185"/>
    <cellStyle name="Normal 3 3" xfId="12"/>
    <cellStyle name="Normal 3 3 2" xfId="21"/>
    <cellStyle name="Normal 3 3 2 2" xfId="42"/>
    <cellStyle name="Normal 3 3 3" xfId="28"/>
    <cellStyle name="Normal 3 4" xfId="22"/>
    <cellStyle name="Normal 3 4 2" xfId="43"/>
    <cellStyle name="Normal 3 5" xfId="29"/>
    <cellStyle name="Normal 4" xfId="13"/>
    <cellStyle name="Normal 4 2" xfId="30"/>
    <cellStyle name="Normal 4 2 2" xfId="289"/>
    <cellStyle name="Normal 4 2 3" xfId="288"/>
    <cellStyle name="Normal 4 3" xfId="129"/>
    <cellStyle name="Normal 4 3 2" xfId="290"/>
    <cellStyle name="Normal 4 4" xfId="130"/>
    <cellStyle name="Normal 4 5" xfId="131"/>
    <cellStyle name="Normal 4 6" xfId="254"/>
    <cellStyle name="Normal 5" xfId="14"/>
    <cellStyle name="Normal 5 2" xfId="31"/>
    <cellStyle name="Normal 5 2 2" xfId="292"/>
    <cellStyle name="Normal 5 2 3" xfId="291"/>
    <cellStyle name="Normal 5 3" xfId="132"/>
    <cellStyle name="Normal 5 3 2" xfId="293"/>
    <cellStyle name="Normal 5 4" xfId="133"/>
    <cellStyle name="Normal 5 5" xfId="134"/>
    <cellStyle name="Normal 5 6" xfId="255"/>
    <cellStyle name="Normal 6" xfId="23"/>
    <cellStyle name="Normal 6 2" xfId="135"/>
    <cellStyle name="Normal 6 2 2" xfId="296"/>
    <cellStyle name="Normal 6 2 3" xfId="295"/>
    <cellStyle name="Normal 6 3" xfId="136"/>
    <cellStyle name="Normal 6 3 2" xfId="297"/>
    <cellStyle name="Normal 6 4" xfId="137"/>
    <cellStyle name="Normal 6 5" xfId="138"/>
    <cellStyle name="Normal 6 6" xfId="294"/>
    <cellStyle name="Normal 7" xfId="37"/>
    <cellStyle name="Normal 7 2" xfId="139"/>
    <cellStyle name="Normal 7 2 2" xfId="300"/>
    <cellStyle name="Normal 7 2 3" xfId="299"/>
    <cellStyle name="Normal 7 3" xfId="140"/>
    <cellStyle name="Normal 7 3 2" xfId="301"/>
    <cellStyle name="Normal 7 4" xfId="141"/>
    <cellStyle name="Normal 7 5" xfId="142"/>
    <cellStyle name="Normal 7 6" xfId="298"/>
    <cellStyle name="Normal 71" xfId="36"/>
    <cellStyle name="Normal 8" xfId="143"/>
    <cellStyle name="Normal 8 2" xfId="144"/>
    <cellStyle name="Normal 8 2 2" xfId="304"/>
    <cellStyle name="Normal 8 2 3" xfId="303"/>
    <cellStyle name="Normal 8 3" xfId="145"/>
    <cellStyle name="Normal 8 3 2" xfId="305"/>
    <cellStyle name="Normal 8 4" xfId="146"/>
    <cellStyle name="Normal 8 5" xfId="147"/>
    <cellStyle name="Normal 8 6" xfId="302"/>
    <cellStyle name="Normal 9" xfId="148"/>
    <cellStyle name="Normal 9 2" xfId="149"/>
    <cellStyle name="Normal 9 2 2" xfId="308"/>
    <cellStyle name="Normal 9 2 3" xfId="307"/>
    <cellStyle name="Normal 9 3" xfId="150"/>
    <cellStyle name="Normal 9 3 2" xfId="309"/>
    <cellStyle name="Normal 9 4" xfId="151"/>
    <cellStyle name="Normal 9 5" xfId="152"/>
    <cellStyle name="Normal 9 6" xfId="306"/>
    <cellStyle name="Normal_Sheet1_1" xfId="1"/>
    <cellStyle name="Note 2" xfId="310"/>
    <cellStyle name="Note 3" xfId="311"/>
    <cellStyle name="Note 3 2" xfId="312"/>
    <cellStyle name="Note 3 2 2" xfId="313"/>
    <cellStyle name="Note 3 2 3" xfId="323"/>
    <cellStyle name="Note 3 3" xfId="314"/>
    <cellStyle name="Note 3 4" xfId="322"/>
    <cellStyle name="Note 4" xfId="315"/>
    <cellStyle name="Output" xfId="226" builtinId="21" customBuiltin="1"/>
    <cellStyle name="Percent" xfId="217" builtinId="5"/>
    <cellStyle name="Percent 2" xfId="5"/>
    <cellStyle name="Percent 2 2" xfId="153"/>
    <cellStyle name="Percent 2 2 2" xfId="186"/>
    <cellStyle name="Percent 2 2 3" xfId="187"/>
    <cellStyle name="Percent 2 3" xfId="154"/>
    <cellStyle name="Percent 2 4" xfId="155"/>
    <cellStyle name="Percent 2 5" xfId="156"/>
    <cellStyle name="Percent 2 6" xfId="157"/>
    <cellStyle name="Percent 2 7" xfId="316"/>
    <cellStyle name="Percent 3" xfId="4"/>
    <cellStyle name="Percent 3 2" xfId="158"/>
    <cellStyle name="Percent 3 2 2" xfId="319"/>
    <cellStyle name="Percent 3 2 3" xfId="325"/>
    <cellStyle name="Percent 3 2 4" xfId="318"/>
    <cellStyle name="Percent 3 3" xfId="159"/>
    <cellStyle name="Percent 3 3 2" xfId="320"/>
    <cellStyle name="Percent 3 4" xfId="160"/>
    <cellStyle name="Percent 3 4 2" xfId="324"/>
    <cellStyle name="Percent 3 5" xfId="161"/>
    <cellStyle name="Percent 3 6" xfId="162"/>
    <cellStyle name="Percent 3 7" xfId="317"/>
    <cellStyle name="Percent 4" xfId="163"/>
    <cellStyle name="Percent 4 2" xfId="164"/>
    <cellStyle name="Percent 4 3" xfId="165"/>
    <cellStyle name="Percent 4 4" xfId="166"/>
    <cellStyle name="Percent 4 5" xfId="167"/>
    <cellStyle name="Percent 4 6" xfId="321"/>
    <cellStyle name="Percent 5" xfId="168"/>
    <cellStyle name="Percent 5 2" xfId="169"/>
    <cellStyle name="Percent 5 3" xfId="170"/>
    <cellStyle name="Percent 5 4" xfId="171"/>
    <cellStyle name="Percent 6" xfId="172"/>
    <cellStyle name="Title 2" xfId="256"/>
    <cellStyle name="Total" xfId="232" builtinId="25" customBuiltin="1"/>
    <cellStyle name="Warning Text" xfId="230" builtinId="11" customBuilti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6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6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5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5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3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3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2" tint="-9.9978637043366805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2" tint="-9.9978637043366805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border outline="0">
        <left style="medium">
          <color auto="1"/>
        </left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1" defaultTableStyle="TableStyleMedium9" defaultPivotStyle="PivotStyleLight16">
    <tableStyle name="Table Style 1" pivot="0" count="0"/>
  </tableStyles>
  <colors>
    <mruColors>
      <color rgb="FF0076BE"/>
      <color rgb="FF73E600"/>
      <color rgb="FF99FF33"/>
      <color rgb="FF00CC66"/>
      <color rgb="FF3E6CA4"/>
      <color rgb="FF82C341"/>
      <color rgb="FF2CB34A"/>
      <color rgb="FFC4D82E"/>
      <color rgb="FF002A5F"/>
      <color rgb="FF00B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Avista Systemwide Reliability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553149606299214E-2"/>
          <c:y val="0.1148148148148148"/>
          <c:w val="0.88389129483814521"/>
          <c:h val="0.70891951006124221"/>
        </c:manualLayout>
      </c:layout>
      <c:lineChart>
        <c:grouping val="standard"/>
        <c:varyColors val="0"/>
        <c:ser>
          <c:idx val="0"/>
          <c:order val="0"/>
          <c:tx>
            <c:strRef>
              <c:f>'1 Reliability'!$G$28</c:f>
              <c:strCache>
                <c:ptCount val="1"/>
                <c:pt idx="0">
                  <c:v>Average Number of Outages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 Reliability'!$F$29:$F$36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 Reliability'!$G$29:$G$36</c:f>
              <c:numCache>
                <c:formatCode>0.00</c:formatCode>
                <c:ptCount val="8"/>
                <c:pt idx="0" formatCode="General">
                  <c:v>1.1399999999999999</c:v>
                </c:pt>
                <c:pt idx="1">
                  <c:v>1.0481151748693429</c:v>
                </c:pt>
                <c:pt idx="2">
                  <c:v>1.112111863995749</c:v>
                </c:pt>
                <c:pt idx="3">
                  <c:v>1.0567365531741195</c:v>
                </c:pt>
                <c:pt idx="4">
                  <c:v>0.86300871995917294</c:v>
                </c:pt>
                <c:pt idx="5">
                  <c:v>1.197851785273123</c:v>
                </c:pt>
                <c:pt idx="6">
                  <c:v>0.81017316129971517</c:v>
                </c:pt>
                <c:pt idx="7">
                  <c:v>0.94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 Reliability'!$H$28</c:f>
              <c:strCache>
                <c:ptCount val="1"/>
                <c:pt idx="0">
                  <c:v>Average Duration of Outages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 Reliability'!$F$29:$F$36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 Reliability'!$H$29:$H$36</c:f>
              <c:numCache>
                <c:formatCode>0.00</c:formatCode>
                <c:ptCount val="8"/>
                <c:pt idx="0" formatCode="General">
                  <c:v>2.2999999999999998</c:v>
                </c:pt>
                <c:pt idx="1">
                  <c:v>2.368245816546636</c:v>
                </c:pt>
                <c:pt idx="2">
                  <c:v>2.3245631435860425</c:v>
                </c:pt>
                <c:pt idx="3">
                  <c:v>2.8110324578200361</c:v>
                </c:pt>
                <c:pt idx="4">
                  <c:v>2.2149999361885118</c:v>
                </c:pt>
                <c:pt idx="5">
                  <c:v>3.055966590781741</c:v>
                </c:pt>
                <c:pt idx="6">
                  <c:v>2.1053788160003455</c:v>
                </c:pt>
                <c:pt idx="7">
                  <c:v>2.2799999999999998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362152"/>
        <c:axId val="534358232"/>
      </c:lineChart>
      <c:catAx>
        <c:axId val="53436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58232"/>
        <c:crosses val="autoZero"/>
        <c:auto val="1"/>
        <c:lblAlgn val="ctr"/>
        <c:lblOffset val="100"/>
        <c:noMultiLvlLbl val="0"/>
      </c:catAx>
      <c:valAx>
        <c:axId val="534358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15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Performance &amp; Capacity Budget 2020-2024</a:t>
            </a:r>
          </a:p>
        </c:rich>
      </c:tx>
      <c:layout>
        <c:manualLayout>
          <c:xMode val="edge"/>
          <c:yMode val="edge"/>
          <c:x val="0.20452777777777778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333333333333333E-2"/>
          <c:y val="0.16041666666666665"/>
          <c:w val="0.96666666666666667"/>
          <c:h val="0.741780766987459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877777777777778"/>
                  <c:y val="4.25236949547973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4798118985126862E-2"/>
                  <c:y val="-0.267777777777777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814413823272091E-2"/>
                  <c:y val="-8.5185185185185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6554713473315835"/>
                  <c:y val="-0.24349555263925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 Perf &amp; Capacity'!$F$51:$F$55</c:f>
              <c:strCache>
                <c:ptCount val="5"/>
                <c:pt idx="0">
                  <c:v>Enterprise Technology</c:v>
                </c:pt>
                <c:pt idx="1">
                  <c:v>Natural Gas</c:v>
                </c:pt>
                <c:pt idx="2">
                  <c:v>Generation</c:v>
                </c:pt>
                <c:pt idx="3">
                  <c:v>Other</c:v>
                </c:pt>
                <c:pt idx="4">
                  <c:v>Transmission &amp; Distribution</c:v>
                </c:pt>
              </c:strCache>
            </c:strRef>
          </c:cat>
          <c:val>
            <c:numRef>
              <c:f>'10 Perf &amp; Capacity'!$G$51:$G$55</c:f>
              <c:numCache>
                <c:formatCode>"$"#,##0</c:formatCode>
                <c:ptCount val="5"/>
                <c:pt idx="0">
                  <c:v>182621615</c:v>
                </c:pt>
                <c:pt idx="1">
                  <c:v>26710000</c:v>
                </c:pt>
                <c:pt idx="2">
                  <c:v>4790000</c:v>
                </c:pt>
                <c:pt idx="3">
                  <c:v>76335166</c:v>
                </c:pt>
                <c:pt idx="4">
                  <c:v>113512500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300" b="1">
                <a:solidFill>
                  <a:schemeClr val="tx1"/>
                </a:solidFill>
              </a:rPr>
              <a:t>Avista Five Year Capital Budget by Investment Driver: 2020-2024</a:t>
            </a:r>
          </a:p>
        </c:rich>
      </c:tx>
      <c:layout>
        <c:manualLayout>
          <c:xMode val="edge"/>
          <c:yMode val="edge"/>
          <c:x val="0.13798150804175938"/>
          <c:y val="7.84775233779402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7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045963382620658E-2"/>
          <c:y val="0.15498130054446851"/>
          <c:w val="0.98747358630921322"/>
          <c:h val="0.845018603443800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rgbClr val="7030A0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8.108646834619905E-2"/>
                  <c:y val="-0.140017175272445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769970342820987"/>
                  <c:y val="-0.280215053763440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714851715859556E-2"/>
                  <c:y val="-0.20751139978470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52645967118467"/>
                  <c:y val="-0.139705359410718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672188682966476"/>
                  <c:y val="0.130220738536715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 3 4 Summary'!$A$11:$A$16</c:f>
              <c:strCache>
                <c:ptCount val="6"/>
                <c:pt idx="0">
                  <c:v>Customer Requested</c:v>
                </c:pt>
                <c:pt idx="1">
                  <c:v>Mandatory &amp; Compliance</c:v>
                </c:pt>
                <c:pt idx="2">
                  <c:v>Failed Plant &amp; Operations</c:v>
                </c:pt>
                <c:pt idx="3">
                  <c:v>Asset Condition</c:v>
                </c:pt>
                <c:pt idx="4">
                  <c:v>Customer Service Quality &amp; Reliability</c:v>
                </c:pt>
                <c:pt idx="5">
                  <c:v>Performance &amp; Capacity</c:v>
                </c:pt>
              </c:strCache>
            </c:strRef>
          </c:cat>
          <c:val>
            <c:numRef>
              <c:f>'2 3 4 Summary'!$H$11:$H$16</c:f>
              <c:numCache>
                <c:formatCode>0%</c:formatCode>
                <c:ptCount val="6"/>
                <c:pt idx="0">
                  <c:v>0.12902365728395063</c:v>
                </c:pt>
                <c:pt idx="1">
                  <c:v>0.18286097530864198</c:v>
                </c:pt>
                <c:pt idx="2">
                  <c:v>4.19951012345679E-2</c:v>
                </c:pt>
                <c:pt idx="3">
                  <c:v>0.34972813629629629</c:v>
                </c:pt>
                <c:pt idx="4">
                  <c:v>9.6901126913580243E-2</c:v>
                </c:pt>
                <c:pt idx="5">
                  <c:v>0.19949100296296296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Avista Expected Expenditures by Major Business Area</a:t>
            </a:r>
          </a:p>
        </c:rich>
      </c:tx>
      <c:layout>
        <c:manualLayout>
          <c:xMode val="edge"/>
          <c:yMode val="edge"/>
          <c:x val="0.23032922201958561"/>
          <c:y val="2.7972027972027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473383060926386"/>
          <c:y val="9.9150613166361215E-2"/>
          <c:w val="0.49492329101013854"/>
          <c:h val="0.9008493868336388"/>
        </c:manualLayout>
      </c:layout>
      <c:pieChart>
        <c:varyColors val="1"/>
        <c:ser>
          <c:idx val="0"/>
          <c:order val="0"/>
          <c:tx>
            <c:v>Business Unit</c:v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</c:dPt>
          <c:dPt>
            <c:idx val="5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1.4466321512225981E-2"/>
                  <c:y val="-1.8082356930264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274207628546974E-2"/>
                  <c:y val="-0.1099498926270579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6981339187705813"/>
                  <c:y val="-9.26047181165291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0711772993249614E-2"/>
                  <c:y val="0.128512432449440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8479822294441514"/>
                  <c:y val="0.1354947414789934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 3 4 Summary'!$A$20:$A$26</c:f>
              <c:strCache>
                <c:ptCount val="7"/>
                <c:pt idx="0">
                  <c:v>Environmental</c:v>
                </c:pt>
                <c:pt idx="1">
                  <c:v>Enterprise Technology</c:v>
                </c:pt>
                <c:pt idx="2">
                  <c:v>Gas</c:v>
                </c:pt>
                <c:pt idx="3">
                  <c:v>Generation</c:v>
                </c:pt>
                <c:pt idx="4">
                  <c:v>Growth</c:v>
                </c:pt>
                <c:pt idx="5">
                  <c:v>Other</c:v>
                </c:pt>
                <c:pt idx="6">
                  <c:v>Transmission &amp; Distribution</c:v>
                </c:pt>
              </c:strCache>
            </c:strRef>
          </c:cat>
          <c:val>
            <c:numRef>
              <c:f>'2 3 4 Summary'!$I$20:$I$26</c:f>
              <c:numCache>
                <c:formatCode>0%</c:formatCode>
                <c:ptCount val="7"/>
                <c:pt idx="0">
                  <c:v>2.9053818271604939E-2</c:v>
                </c:pt>
                <c:pt idx="1">
                  <c:v>0.13215210617283951</c:v>
                </c:pt>
                <c:pt idx="2">
                  <c:v>0.11589970024691358</c:v>
                </c:pt>
                <c:pt idx="3">
                  <c:v>0.13939467555555557</c:v>
                </c:pt>
                <c:pt idx="4">
                  <c:v>0.12792489185185185</c:v>
                </c:pt>
                <c:pt idx="5">
                  <c:v>9.4597088395061729E-2</c:v>
                </c:pt>
                <c:pt idx="6">
                  <c:v>0.36097771950617286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300" i="0">
                <a:solidFill>
                  <a:schemeClr val="tx1"/>
                </a:solidFill>
              </a:rPr>
              <a:t>Five</a:t>
            </a:r>
            <a:r>
              <a:rPr lang="en-US" sz="1300" i="0" baseline="0">
                <a:solidFill>
                  <a:schemeClr val="tx1"/>
                </a:solidFill>
              </a:rPr>
              <a:t> Year Infrastructure Plan by Investment Summary</a:t>
            </a:r>
            <a:endParaRPr lang="en-US" sz="1300" i="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3 4 Summary'!$B$42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'2 3 4 Summary'!$A$34:$A$39</c:f>
              <c:strCache>
                <c:ptCount val="6"/>
                <c:pt idx="0">
                  <c:v>Customer Requested</c:v>
                </c:pt>
                <c:pt idx="1">
                  <c:v>Mandatory &amp; Compliance</c:v>
                </c:pt>
                <c:pt idx="2">
                  <c:v>Failed Plant &amp; Operations</c:v>
                </c:pt>
                <c:pt idx="3">
                  <c:v>Customer Service Quality &amp; Reliability</c:v>
                </c:pt>
                <c:pt idx="4">
                  <c:v>Performance &amp; Capacity</c:v>
                </c:pt>
                <c:pt idx="5">
                  <c:v>Asset Condition</c:v>
                </c:pt>
              </c:strCache>
            </c:strRef>
          </c:cat>
          <c:val>
            <c:numRef>
              <c:f>'2 3 4 Summary'!$B$34:$B$39</c:f>
              <c:numCache>
                <c:formatCode>#,##0_);\(#,##0\)</c:formatCode>
                <c:ptCount val="6"/>
                <c:pt idx="0">
                  <c:v>60181711</c:v>
                </c:pt>
                <c:pt idx="1">
                  <c:v>91410119</c:v>
                </c:pt>
                <c:pt idx="2">
                  <c:v>20877880</c:v>
                </c:pt>
                <c:pt idx="3">
                  <c:v>53112537</c:v>
                </c:pt>
                <c:pt idx="4">
                  <c:v>63815596</c:v>
                </c:pt>
                <c:pt idx="5">
                  <c:v>115602157</c:v>
                </c:pt>
              </c:numCache>
            </c:numRef>
          </c:val>
        </c:ser>
        <c:ser>
          <c:idx val="1"/>
          <c:order val="1"/>
          <c:tx>
            <c:strRef>
              <c:f>'2 3 4 Summary'!$C$42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'2 3 4 Summary'!$A$34:$A$39</c:f>
              <c:strCache>
                <c:ptCount val="6"/>
                <c:pt idx="0">
                  <c:v>Customer Requested</c:v>
                </c:pt>
                <c:pt idx="1">
                  <c:v>Mandatory &amp; Compliance</c:v>
                </c:pt>
                <c:pt idx="2">
                  <c:v>Failed Plant &amp; Operations</c:v>
                </c:pt>
                <c:pt idx="3">
                  <c:v>Customer Service Quality &amp; Reliability</c:v>
                </c:pt>
                <c:pt idx="4">
                  <c:v>Performance &amp; Capacity</c:v>
                </c:pt>
                <c:pt idx="5">
                  <c:v>Asset Condition</c:v>
                </c:pt>
              </c:strCache>
            </c:strRef>
          </c:cat>
          <c:val>
            <c:numRef>
              <c:f>'2 3 4 Summary'!$C$34:$C$39</c:f>
              <c:numCache>
                <c:formatCode>#,##0_);\(#,##0\)</c:formatCode>
                <c:ptCount val="6"/>
                <c:pt idx="0">
                  <c:v>51134379</c:v>
                </c:pt>
                <c:pt idx="1">
                  <c:v>89600960</c:v>
                </c:pt>
                <c:pt idx="2">
                  <c:v>18398000</c:v>
                </c:pt>
                <c:pt idx="3">
                  <c:v>43039745</c:v>
                </c:pt>
                <c:pt idx="4">
                  <c:v>80225608</c:v>
                </c:pt>
                <c:pt idx="5">
                  <c:v>122601308</c:v>
                </c:pt>
              </c:numCache>
            </c:numRef>
          </c:val>
        </c:ser>
        <c:ser>
          <c:idx val="2"/>
          <c:order val="2"/>
          <c:tx>
            <c:strRef>
              <c:f>'2 3 4 Summary'!$D$42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 3 4 Summary'!$A$34:$A$39</c:f>
              <c:strCache>
                <c:ptCount val="6"/>
                <c:pt idx="0">
                  <c:v>Customer Requested</c:v>
                </c:pt>
                <c:pt idx="1">
                  <c:v>Mandatory &amp; Compliance</c:v>
                </c:pt>
                <c:pt idx="2">
                  <c:v>Failed Plant &amp; Operations</c:v>
                </c:pt>
                <c:pt idx="3">
                  <c:v>Customer Service Quality &amp; Reliability</c:v>
                </c:pt>
                <c:pt idx="4">
                  <c:v>Performance &amp; Capacity</c:v>
                </c:pt>
                <c:pt idx="5">
                  <c:v>Asset Condition</c:v>
                </c:pt>
              </c:strCache>
            </c:strRef>
          </c:cat>
          <c:val>
            <c:numRef>
              <c:f>'2 3 4 Summary'!$D$34:$D$39</c:f>
              <c:numCache>
                <c:formatCode>#,##0_);\(#,##0\)</c:formatCode>
                <c:ptCount val="6"/>
                <c:pt idx="0">
                  <c:v>49859819</c:v>
                </c:pt>
                <c:pt idx="1">
                  <c:v>73515726</c:v>
                </c:pt>
                <c:pt idx="2">
                  <c:v>16028200</c:v>
                </c:pt>
                <c:pt idx="3">
                  <c:v>41682500</c:v>
                </c:pt>
                <c:pt idx="4">
                  <c:v>75481254</c:v>
                </c:pt>
                <c:pt idx="5">
                  <c:v>148432501</c:v>
                </c:pt>
              </c:numCache>
            </c:numRef>
          </c:val>
        </c:ser>
        <c:ser>
          <c:idx val="3"/>
          <c:order val="3"/>
          <c:tx>
            <c:strRef>
              <c:f>'2 3 4 Summary'!$E$42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 3 4 Summary'!$A$34:$A$39</c:f>
              <c:strCache>
                <c:ptCount val="6"/>
                <c:pt idx="0">
                  <c:v>Customer Requested</c:v>
                </c:pt>
                <c:pt idx="1">
                  <c:v>Mandatory &amp; Compliance</c:v>
                </c:pt>
                <c:pt idx="2">
                  <c:v>Failed Plant &amp; Operations</c:v>
                </c:pt>
                <c:pt idx="3">
                  <c:v>Customer Service Quality &amp; Reliability</c:v>
                </c:pt>
                <c:pt idx="4">
                  <c:v>Performance &amp; Capacity</c:v>
                </c:pt>
                <c:pt idx="5">
                  <c:v>Asset Condition</c:v>
                </c:pt>
              </c:strCache>
            </c:strRef>
          </c:cat>
          <c:val>
            <c:numRef>
              <c:f>'2 3 4 Summary'!$E$34:$E$39</c:f>
              <c:numCache>
                <c:formatCode>#,##0_);\(#,##0\)</c:formatCode>
                <c:ptCount val="6"/>
                <c:pt idx="0">
                  <c:v>49734401</c:v>
                </c:pt>
                <c:pt idx="1">
                  <c:v>57761343</c:v>
                </c:pt>
                <c:pt idx="2">
                  <c:v>14868000</c:v>
                </c:pt>
                <c:pt idx="3">
                  <c:v>42540000</c:v>
                </c:pt>
                <c:pt idx="4">
                  <c:v>88396578</c:v>
                </c:pt>
                <c:pt idx="5">
                  <c:v>151699678</c:v>
                </c:pt>
              </c:numCache>
            </c:numRef>
          </c:val>
        </c:ser>
        <c:ser>
          <c:idx val="4"/>
          <c:order val="4"/>
          <c:tx>
            <c:strRef>
              <c:f>'2 3 4 Summary'!$F$42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 3 4 Summary'!$A$34:$A$39</c:f>
              <c:strCache>
                <c:ptCount val="6"/>
                <c:pt idx="0">
                  <c:v>Customer Requested</c:v>
                </c:pt>
                <c:pt idx="1">
                  <c:v>Mandatory &amp; Compliance</c:v>
                </c:pt>
                <c:pt idx="2">
                  <c:v>Failed Plant &amp; Operations</c:v>
                </c:pt>
                <c:pt idx="3">
                  <c:v>Customer Service Quality &amp; Reliability</c:v>
                </c:pt>
                <c:pt idx="4">
                  <c:v>Performance &amp; Capacity</c:v>
                </c:pt>
                <c:pt idx="5">
                  <c:v>Asset Condition</c:v>
                </c:pt>
              </c:strCache>
            </c:strRef>
          </c:cat>
          <c:val>
            <c:numRef>
              <c:f>'2 3 4 Summary'!$F$34:$F$39</c:f>
              <c:numCache>
                <c:formatCode>#,##0_);\(#,##0\)</c:formatCode>
                <c:ptCount val="6"/>
                <c:pt idx="0">
                  <c:v>50362596</c:v>
                </c:pt>
                <c:pt idx="1">
                  <c:v>58005327</c:v>
                </c:pt>
                <c:pt idx="2">
                  <c:v>14868000</c:v>
                </c:pt>
                <c:pt idx="3">
                  <c:v>15850000</c:v>
                </c:pt>
                <c:pt idx="4">
                  <c:v>96050245</c:v>
                </c:pt>
                <c:pt idx="5">
                  <c:v>169863832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4359016"/>
        <c:axId val="534362936"/>
      </c:barChart>
      <c:catAx>
        <c:axId val="53435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936"/>
        <c:crosses val="autoZero"/>
        <c:auto val="1"/>
        <c:lblAlgn val="ctr"/>
        <c:lblOffset val="100"/>
        <c:noMultiLvlLbl val="0"/>
      </c:catAx>
      <c:valAx>
        <c:axId val="53436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59016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Avista Residential</a:t>
            </a:r>
            <a:r>
              <a:rPr lang="en-US" sz="120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Electric &amp; Gas Customer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Electric Customers</c:v>
          </c:tx>
          <c:spPr>
            <a:solidFill>
              <a:srgbClr val="0076BE"/>
            </a:solidFill>
            <a:ln>
              <a:solidFill>
                <a:srgbClr val="00206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Pt>
            <c:idx val="11"/>
            <c:invertIfNegative val="0"/>
            <c:bubble3D val="0"/>
            <c:spPr>
              <a:pattFill prst="dkUpDiag">
                <a:fgClr>
                  <a:srgbClr val="0076BE"/>
                </a:fgClr>
                <a:bgClr>
                  <a:schemeClr val="bg1"/>
                </a:bgClr>
              </a:pattFill>
              <a:ln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2"/>
            <c:invertIfNegative val="0"/>
            <c:bubble3D val="0"/>
            <c:spPr>
              <a:pattFill prst="dkUpDiag">
                <a:fgClr>
                  <a:srgbClr val="0070C0"/>
                </a:fgClr>
                <a:bgClr>
                  <a:prstClr val="white"/>
                </a:bgClr>
              </a:pattFill>
              <a:ln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3"/>
            <c:invertIfNegative val="0"/>
            <c:bubble3D val="0"/>
            <c:spPr>
              <a:pattFill prst="dkUpDiag">
                <a:fgClr>
                  <a:srgbClr val="0070C0"/>
                </a:fgClr>
                <a:bgClr>
                  <a:prstClr val="white"/>
                </a:bgClr>
              </a:pattFill>
              <a:ln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4"/>
            <c:invertIfNegative val="0"/>
            <c:bubble3D val="0"/>
            <c:spPr>
              <a:pattFill prst="dkUpDiag">
                <a:fgClr>
                  <a:srgbClr val="0070C0"/>
                </a:fgClr>
                <a:bgClr>
                  <a:prstClr val="white"/>
                </a:bgClr>
              </a:pattFill>
              <a:ln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5"/>
            <c:invertIfNegative val="0"/>
            <c:bubble3D val="0"/>
            <c:spPr>
              <a:pattFill prst="dkUpDiag">
                <a:fgClr>
                  <a:srgbClr val="0070C0"/>
                </a:fgClr>
                <a:bgClr>
                  <a:prstClr val="white"/>
                </a:bgClr>
              </a:pattFill>
              <a:ln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6"/>
            <c:invertIfNegative val="0"/>
            <c:bubble3D val="0"/>
            <c:spPr>
              <a:pattFill prst="dkUpDiag">
                <a:fgClr>
                  <a:srgbClr val="0070C0"/>
                </a:fgClr>
                <a:bgClr>
                  <a:prstClr val="white"/>
                </a:bgClr>
              </a:pattFill>
              <a:ln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cat>
            <c:strRef>
              <c:f>'5 Customer Growth'!$A$12:$A$28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Forecast</c:v>
                </c:pt>
                <c:pt idx="12">
                  <c:v>2021 Forecast</c:v>
                </c:pt>
                <c:pt idx="13">
                  <c:v>2022 Forecast</c:v>
                </c:pt>
                <c:pt idx="14">
                  <c:v>2023 Forecast</c:v>
                </c:pt>
                <c:pt idx="15">
                  <c:v>2024 Forecast</c:v>
                </c:pt>
                <c:pt idx="16">
                  <c:v>2025 Forecast</c:v>
                </c:pt>
              </c:strCache>
            </c:strRef>
          </c:cat>
          <c:val>
            <c:numRef>
              <c:f>'5 Customer Growth'!$B$12:$B$28</c:f>
              <c:numCache>
                <c:formatCode>#,##0</c:formatCode>
                <c:ptCount val="17"/>
                <c:pt idx="0">
                  <c:v>3350</c:v>
                </c:pt>
                <c:pt idx="1">
                  <c:v>2455</c:v>
                </c:pt>
                <c:pt idx="2">
                  <c:v>2693</c:v>
                </c:pt>
                <c:pt idx="3">
                  <c:v>3263</c:v>
                </c:pt>
                <c:pt idx="4">
                  <c:v>4362</c:v>
                </c:pt>
                <c:pt idx="5">
                  <c:v>4782</c:v>
                </c:pt>
                <c:pt idx="6">
                  <c:v>4041</c:v>
                </c:pt>
                <c:pt idx="7">
                  <c:v>4587</c:v>
                </c:pt>
                <c:pt idx="8">
                  <c:v>4706</c:v>
                </c:pt>
                <c:pt idx="9">
                  <c:v>5554</c:v>
                </c:pt>
                <c:pt idx="10">
                  <c:v>5147</c:v>
                </c:pt>
                <c:pt idx="11">
                  <c:v>5054.6248437943177</c:v>
                </c:pt>
                <c:pt idx="12">
                  <c:v>4648.8170012187484</c:v>
                </c:pt>
                <c:pt idx="13">
                  <c:v>4545.6134630492052</c:v>
                </c:pt>
                <c:pt idx="14">
                  <c:v>4535.2488355124187</c:v>
                </c:pt>
                <c:pt idx="15">
                  <c:v>4513.5700363068217</c:v>
                </c:pt>
                <c:pt idx="16">
                  <c:v>4515.7881069056248</c:v>
                </c:pt>
              </c:numCache>
            </c:numRef>
          </c:val>
        </c:ser>
        <c:ser>
          <c:idx val="1"/>
          <c:order val="1"/>
          <c:tx>
            <c:v>Gas Customers</c:v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Pt>
            <c:idx val="11"/>
            <c:invertIfNegative val="0"/>
            <c:bubble3D val="0"/>
            <c:spPr>
              <a:pattFill prst="dkUpDiag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2"/>
            <c:invertIfNegative val="0"/>
            <c:bubble3D val="0"/>
            <c:spPr>
              <a:pattFill prst="dkUpDiag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3"/>
            <c:invertIfNegative val="0"/>
            <c:bubble3D val="0"/>
            <c:spPr>
              <a:pattFill prst="dkUpDiag">
                <a:fgClr>
                  <a:srgbClr val="C00000"/>
                </a:fgClr>
                <a:bgClr>
                  <a:prstClr val="white"/>
                </a:bgClr>
              </a:pattFill>
              <a:ln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4"/>
            <c:invertIfNegative val="0"/>
            <c:bubble3D val="0"/>
            <c:spPr>
              <a:pattFill prst="dkUpDiag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5"/>
            <c:invertIfNegative val="0"/>
            <c:bubble3D val="0"/>
            <c:spPr>
              <a:pattFill prst="dkUpDiag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dPt>
            <c:idx val="16"/>
            <c:invertIfNegative val="0"/>
            <c:bubble3D val="0"/>
            <c:spPr>
              <a:pattFill prst="dkUpDiag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</c:dPt>
          <c:cat>
            <c:strRef>
              <c:f>'5 Customer Growth'!$A$12:$A$28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Forecast</c:v>
                </c:pt>
                <c:pt idx="12">
                  <c:v>2021 Forecast</c:v>
                </c:pt>
                <c:pt idx="13">
                  <c:v>2022 Forecast</c:v>
                </c:pt>
                <c:pt idx="14">
                  <c:v>2023 Forecast</c:v>
                </c:pt>
                <c:pt idx="15">
                  <c:v>2024 Forecast</c:v>
                </c:pt>
                <c:pt idx="16">
                  <c:v>2025 Forecast</c:v>
                </c:pt>
              </c:strCache>
            </c:strRef>
          </c:cat>
          <c:val>
            <c:numRef>
              <c:f>'5 Customer Growth'!$C$12:$C$28</c:f>
              <c:numCache>
                <c:formatCode>#,##0</c:formatCode>
                <c:ptCount val="17"/>
                <c:pt idx="0">
                  <c:v>3592</c:v>
                </c:pt>
                <c:pt idx="1">
                  <c:v>3048</c:v>
                </c:pt>
                <c:pt idx="2">
                  <c:v>2924</c:v>
                </c:pt>
                <c:pt idx="3">
                  <c:v>3230</c:v>
                </c:pt>
                <c:pt idx="4">
                  <c:v>4030</c:v>
                </c:pt>
                <c:pt idx="5">
                  <c:v>4855</c:v>
                </c:pt>
                <c:pt idx="6">
                  <c:v>5134</c:v>
                </c:pt>
                <c:pt idx="7">
                  <c:v>6431</c:v>
                </c:pt>
                <c:pt idx="8">
                  <c:v>7279</c:v>
                </c:pt>
                <c:pt idx="9">
                  <c:v>7474</c:v>
                </c:pt>
                <c:pt idx="10">
                  <c:v>6361</c:v>
                </c:pt>
                <c:pt idx="11">
                  <c:v>6772.8479225000146</c:v>
                </c:pt>
                <c:pt idx="12">
                  <c:v>5796.6183738999644</c:v>
                </c:pt>
                <c:pt idx="13">
                  <c:v>5623.9644955833319</c:v>
                </c:pt>
                <c:pt idx="14">
                  <c:v>5570.8411494833545</c:v>
                </c:pt>
                <c:pt idx="15">
                  <c:v>5523.7217064000379</c:v>
                </c:pt>
                <c:pt idx="16">
                  <c:v>5454.8718511165716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377962864"/>
        <c:axId val="377964040"/>
      </c:barChart>
      <c:catAx>
        <c:axId val="3779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964040"/>
        <c:crosses val="autoZero"/>
        <c:auto val="1"/>
        <c:lblAlgn val="ctr"/>
        <c:lblOffset val="100"/>
        <c:noMultiLvlLbl val="0"/>
      </c:catAx>
      <c:valAx>
        <c:axId val="37796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Number of Customers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9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Mandatory &amp; Compliance</a:t>
            </a:r>
            <a:r>
              <a:rPr lang="en-US" sz="1200" b="1" baseline="0">
                <a:solidFill>
                  <a:schemeClr val="tx1"/>
                </a:solidFill>
              </a:rPr>
              <a:t> Budget 2020-2024</a:t>
            </a:r>
            <a:endParaRPr lang="en-US" sz="12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9917312661498707"/>
          <c:y val="9.5336787564766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bg1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rgbClr val="00B050"/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1753992960182303"/>
                  <c:y val="-0.248543103096568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 Mandatory'!$F$41:$F$46</c:f>
              <c:strCache>
                <c:ptCount val="6"/>
                <c:pt idx="0">
                  <c:v>Environmental</c:v>
                </c:pt>
                <c:pt idx="1">
                  <c:v>Enterprise Technology</c:v>
                </c:pt>
                <c:pt idx="2">
                  <c:v>Gas</c:v>
                </c:pt>
                <c:pt idx="3">
                  <c:v>Generation</c:v>
                </c:pt>
                <c:pt idx="4">
                  <c:v>Other</c:v>
                </c:pt>
                <c:pt idx="5">
                  <c:v>Transmission &amp; Distribution</c:v>
                </c:pt>
              </c:strCache>
            </c:strRef>
          </c:cat>
          <c:val>
            <c:numRef>
              <c:f>'6 Mandatory'!$G$41:$G$46</c:f>
              <c:numCache>
                <c:formatCode>"$"#,##0</c:formatCode>
                <c:ptCount val="6"/>
                <c:pt idx="0">
                  <c:v>58833982</c:v>
                </c:pt>
                <c:pt idx="1">
                  <c:v>2000000</c:v>
                </c:pt>
                <c:pt idx="2">
                  <c:v>157126893</c:v>
                </c:pt>
                <c:pt idx="3">
                  <c:v>26795000</c:v>
                </c:pt>
                <c:pt idx="4">
                  <c:v>4151600</c:v>
                </c:pt>
                <c:pt idx="5">
                  <c:v>121386000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Failed Plant &amp; Operations Budget 2020-2024</a:t>
            </a:r>
          </a:p>
        </c:rich>
      </c:tx>
      <c:layout>
        <c:manualLayout>
          <c:xMode val="edge"/>
          <c:yMode val="edge"/>
          <c:x val="0.21563888888888888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2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333333333333333E-2"/>
          <c:y val="0.16041666666666665"/>
          <c:w val="0.96666666666666667"/>
          <c:h val="0.74178076698745998"/>
        </c:manualLayout>
      </c:layout>
      <c:pie3DChart>
        <c:varyColors val="1"/>
        <c:ser>
          <c:idx val="2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Lbls>
            <c:dLbl>
              <c:idx val="1"/>
              <c:layout>
                <c:manualLayout>
                  <c:x val="0.24468919510061243"/>
                  <c:y val="-0.317382983377077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793044619422573"/>
                  <c:y val="-0.13757837561971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 Failed Plant'!$F$16:$F$19</c:f>
              <c:strCache>
                <c:ptCount val="4"/>
                <c:pt idx="0">
                  <c:v>Enterprise Technology</c:v>
                </c:pt>
                <c:pt idx="1">
                  <c:v>Natural Gas</c:v>
                </c:pt>
                <c:pt idx="2">
                  <c:v>Generation</c:v>
                </c:pt>
                <c:pt idx="3">
                  <c:v>Transmission &amp; Distribution</c:v>
                </c:pt>
              </c:strCache>
            </c:strRef>
          </c:cat>
          <c:val>
            <c:numRef>
              <c:f>'7 Failed Plant'!$G$16:$G$19</c:f>
              <c:numCache>
                <c:formatCode>"$"#,##0</c:formatCode>
                <c:ptCount val="4"/>
                <c:pt idx="0">
                  <c:v>2716400</c:v>
                </c:pt>
                <c:pt idx="1">
                  <c:v>40000000</c:v>
                </c:pt>
                <c:pt idx="2">
                  <c:v>28651680</c:v>
                </c:pt>
                <c:pt idx="3">
                  <c:v>13672000</c:v>
                </c:pt>
              </c:numCache>
            </c:numRef>
          </c:val>
        </c:ser>
        <c:ser>
          <c:idx val="1"/>
          <c:order val="1"/>
          <c:spPr>
            <a:ln>
              <a:noFill/>
            </a:ln>
          </c:spPr>
          <c:dPt>
            <c:idx val="0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9090113735783027E-5"/>
                  <c:y val="-8.64282589676299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69739720034995E-2"/>
                  <c:y val="6.09113444152814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636986001749781"/>
                  <c:y val="-0.353119714202391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 Asset Condition'!$F$71:$F$75</c:f>
              <c:strCache>
                <c:ptCount val="5"/>
                <c:pt idx="0">
                  <c:v>Enterprise Technology</c:v>
                </c:pt>
                <c:pt idx="1">
                  <c:v>Natural Gas</c:v>
                </c:pt>
                <c:pt idx="2">
                  <c:v>Generation</c:v>
                </c:pt>
                <c:pt idx="3">
                  <c:v>Other</c:v>
                </c:pt>
                <c:pt idx="4">
                  <c:v>Transmission &amp; Distribution</c:v>
                </c:pt>
              </c:strCache>
            </c:strRef>
          </c:cat>
          <c:val>
            <c:numRef>
              <c:f>'8 Asset Condition'!$G$71:$G$75</c:f>
              <c:numCache>
                <c:formatCode>"$"#,##0</c:formatCode>
                <c:ptCount val="5"/>
                <c:pt idx="0">
                  <c:v>26775000</c:v>
                </c:pt>
                <c:pt idx="1">
                  <c:v>10860000</c:v>
                </c:pt>
                <c:pt idx="2">
                  <c:v>218982538</c:v>
                </c:pt>
                <c:pt idx="3">
                  <c:v>92547338</c:v>
                </c:pt>
                <c:pt idx="4">
                  <c:v>359034600</c:v>
                </c:pt>
              </c:numCache>
            </c:numRef>
          </c:val>
        </c:ser>
        <c:ser>
          <c:idx val="0"/>
          <c:order val="2"/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877777777777778"/>
                  <c:y val="4.25236949547973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4798118985126862E-2"/>
                  <c:y val="-0.267777777777777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814413823272091E-2"/>
                  <c:y val="-8.5185185185185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6554713473315835"/>
                  <c:y val="-0.24349555263925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 Perf &amp; Capacity'!$F$51:$F$55</c:f>
              <c:strCache>
                <c:ptCount val="5"/>
                <c:pt idx="0">
                  <c:v>Enterprise Technology</c:v>
                </c:pt>
                <c:pt idx="1">
                  <c:v>Natural Gas</c:v>
                </c:pt>
                <c:pt idx="2">
                  <c:v>Generation</c:v>
                </c:pt>
                <c:pt idx="3">
                  <c:v>Other</c:v>
                </c:pt>
                <c:pt idx="4">
                  <c:v>Transmission &amp; Distribution</c:v>
                </c:pt>
              </c:strCache>
            </c:strRef>
          </c:cat>
          <c:val>
            <c:numRef>
              <c:f>'10 Perf &amp; Capacity'!$G$51:$G$55</c:f>
              <c:numCache>
                <c:formatCode>"$"#,##0</c:formatCode>
                <c:ptCount val="5"/>
                <c:pt idx="0">
                  <c:v>182621615</c:v>
                </c:pt>
                <c:pt idx="1">
                  <c:v>26710000</c:v>
                </c:pt>
                <c:pt idx="2">
                  <c:v>4790000</c:v>
                </c:pt>
                <c:pt idx="3">
                  <c:v>76335166</c:v>
                </c:pt>
                <c:pt idx="4">
                  <c:v>113512500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Asset Condition Budget 2020-2024</a:t>
            </a:r>
          </a:p>
        </c:rich>
      </c:tx>
      <c:layout>
        <c:manualLayout>
          <c:xMode val="edge"/>
          <c:yMode val="edge"/>
          <c:x val="0.2684166666666666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2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333333333333333E-2"/>
          <c:y val="0.16041666666666665"/>
          <c:w val="0.96666666666666667"/>
          <c:h val="0.74178076698745998"/>
        </c:manualLayout>
      </c:layout>
      <c:pie3DChart>
        <c:varyColors val="1"/>
        <c:ser>
          <c:idx val="1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00000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9090113735783027E-5"/>
                  <c:y val="-8.64282589676299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69739720034995E-2"/>
                  <c:y val="6.09113444152814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636986001749781"/>
                  <c:y val="-0.353119714202391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 Asset Condition'!$F$71:$F$75</c:f>
              <c:strCache>
                <c:ptCount val="5"/>
                <c:pt idx="0">
                  <c:v>Enterprise Technology</c:v>
                </c:pt>
                <c:pt idx="1">
                  <c:v>Natural Gas</c:v>
                </c:pt>
                <c:pt idx="2">
                  <c:v>Generation</c:v>
                </c:pt>
                <c:pt idx="3">
                  <c:v>Other</c:v>
                </c:pt>
                <c:pt idx="4">
                  <c:v>Transmission &amp; Distribution</c:v>
                </c:pt>
              </c:strCache>
            </c:strRef>
          </c:cat>
          <c:val>
            <c:numRef>
              <c:f>'8 Asset Condition'!$G$71:$G$75</c:f>
              <c:numCache>
                <c:formatCode>"$"#,##0</c:formatCode>
                <c:ptCount val="5"/>
                <c:pt idx="0">
                  <c:v>26775000</c:v>
                </c:pt>
                <c:pt idx="1">
                  <c:v>10860000</c:v>
                </c:pt>
                <c:pt idx="2">
                  <c:v>218982538</c:v>
                </c:pt>
                <c:pt idx="3">
                  <c:v>92547338</c:v>
                </c:pt>
                <c:pt idx="4">
                  <c:v>359034600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877777777777778"/>
                  <c:y val="4.25236949547973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4798118985126862E-2"/>
                  <c:y val="-0.267777777777777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814413823272091E-2"/>
                  <c:y val="-8.5185185185185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6554713473315835"/>
                  <c:y val="-0.24349555263925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 Perf &amp; Capacity'!$F$51:$F$55</c:f>
              <c:strCache>
                <c:ptCount val="5"/>
                <c:pt idx="0">
                  <c:v>Enterprise Technology</c:v>
                </c:pt>
                <c:pt idx="1">
                  <c:v>Natural Gas</c:v>
                </c:pt>
                <c:pt idx="2">
                  <c:v>Generation</c:v>
                </c:pt>
                <c:pt idx="3">
                  <c:v>Other</c:v>
                </c:pt>
                <c:pt idx="4">
                  <c:v>Transmission &amp; Distribution</c:v>
                </c:pt>
              </c:strCache>
            </c:strRef>
          </c:cat>
          <c:val>
            <c:numRef>
              <c:f>'10 Perf &amp; Capacity'!$G$51:$G$55</c:f>
              <c:numCache>
                <c:formatCode>"$"#,##0</c:formatCode>
                <c:ptCount val="5"/>
                <c:pt idx="0">
                  <c:v>182621615</c:v>
                </c:pt>
                <c:pt idx="1">
                  <c:v>26710000</c:v>
                </c:pt>
                <c:pt idx="2">
                  <c:v>4790000</c:v>
                </c:pt>
                <c:pt idx="3">
                  <c:v>76335166</c:v>
                </c:pt>
                <c:pt idx="4">
                  <c:v>113512500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Customer Service Quality &amp; Reliability Budget 2020-2024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4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166666666666663E-2"/>
          <c:y val="0.14199912510936133"/>
          <c:w val="0.89166666666666661"/>
          <c:h val="0.746788786818314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5368725225854271E-3"/>
                  <c:y val="-1.3333333333333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741833259928557E-2"/>
                  <c:y val="-0.330576377952755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424992749030567E-2"/>
                  <c:y val="0.230631671041119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 Service Quality'!$F$17:$F$20</c:f>
              <c:strCache>
                <c:ptCount val="4"/>
                <c:pt idx="0">
                  <c:v>Generation</c:v>
                </c:pt>
                <c:pt idx="1">
                  <c:v>Other</c:v>
                </c:pt>
                <c:pt idx="2">
                  <c:v>Transmission &amp; Distribution</c:v>
                </c:pt>
                <c:pt idx="3">
                  <c:v>ET</c:v>
                </c:pt>
              </c:strCache>
            </c:strRef>
          </c:cat>
          <c:val>
            <c:numRef>
              <c:f>'9 Service Quality'!$G$17:$G$20</c:f>
              <c:numCache>
                <c:formatCode>"$"#,##0</c:formatCode>
                <c:ptCount val="4"/>
                <c:pt idx="0">
                  <c:v>3055000</c:v>
                </c:pt>
                <c:pt idx="1">
                  <c:v>18525000</c:v>
                </c:pt>
                <c:pt idx="2">
                  <c:v>121149782</c:v>
                </c:pt>
                <c:pt idx="3">
                  <c:v>10800000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16</xdr:col>
      <xdr:colOff>581</xdr:colOff>
      <xdr:row>15</xdr:row>
      <xdr:rowOff>178611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84150"/>
          <a:ext cx="6706181" cy="3493311"/>
        </a:xfrm>
        <a:prstGeom prst="rect">
          <a:avLst/>
        </a:prstGeom>
      </xdr:spPr>
    </xdr:pic>
    <xdr:clientData/>
  </xdr:twoCellAnchor>
  <xdr:twoCellAnchor>
    <xdr:from>
      <xdr:col>9</xdr:col>
      <xdr:colOff>190500</xdr:colOff>
      <xdr:row>24</xdr:row>
      <xdr:rowOff>104775</xdr:rowOff>
    </xdr:from>
    <xdr:to>
      <xdr:col>16</xdr:col>
      <xdr:colOff>495300</xdr:colOff>
      <xdr:row>35</xdr:row>
      <xdr:rowOff>92075</xdr:rowOff>
    </xdr:to>
    <xdr:grpSp>
      <xdr:nvGrpSpPr>
        <xdr:cNvPr id="4" name="Group 3"/>
        <xdr:cNvGrpSpPr/>
      </xdr:nvGrpSpPr>
      <xdr:grpSpPr>
        <a:xfrm>
          <a:off x="5676900" y="5629275"/>
          <a:ext cx="4572000" cy="3035300"/>
          <a:chOff x="5676900" y="5953125"/>
          <a:chExt cx="4572000" cy="3035300"/>
        </a:xfrm>
      </xdr:grpSpPr>
      <xdr:graphicFrame macro="">
        <xdr:nvGraphicFramePr>
          <xdr:cNvPr id="2" name="Chart 1"/>
          <xdr:cNvGraphicFramePr/>
        </xdr:nvGraphicFramePr>
        <xdr:xfrm>
          <a:off x="5676900" y="5953125"/>
          <a:ext cx="4572000" cy="30353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" name="TextBox 2"/>
          <xdr:cNvSpPr txBox="1"/>
        </xdr:nvSpPr>
        <xdr:spPr>
          <a:xfrm>
            <a:off x="7029450" y="6667500"/>
            <a:ext cx="5238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rgbClr val="00B050"/>
                </a:solidFill>
              </a:rPr>
              <a:t>SAIDI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6800850" y="7524750"/>
            <a:ext cx="5238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SAIFI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542019</xdr:colOff>
      <xdr:row>28</xdr:row>
      <xdr:rowOff>180286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47619" cy="55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320674</xdr:colOff>
      <xdr:row>1</xdr:row>
      <xdr:rowOff>63500</xdr:rowOff>
    </xdr:from>
    <xdr:to>
      <xdr:col>18</xdr:col>
      <xdr:colOff>533400</xdr:colOff>
      <xdr:row>22</xdr:row>
      <xdr:rowOff>158750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196850</xdr:colOff>
      <xdr:row>23</xdr:row>
      <xdr:rowOff>53974</xdr:rowOff>
    </xdr:from>
    <xdr:to>
      <xdr:col>18</xdr:col>
      <xdr:colOff>495300</xdr:colOff>
      <xdr:row>41</xdr:row>
      <xdr:rowOff>50799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1590674</xdr:colOff>
      <xdr:row>51</xdr:row>
      <xdr:rowOff>52387</xdr:rowOff>
    </xdr:from>
    <xdr:to>
      <xdr:col>7</xdr:col>
      <xdr:colOff>76199</xdr:colOff>
      <xdr:row>67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50</xdr:row>
      <xdr:rowOff>0</xdr:rowOff>
    </xdr:from>
    <xdr:to>
      <xdr:col>14</xdr:col>
      <xdr:colOff>387985</xdr:colOff>
      <xdr:row>63</xdr:row>
      <xdr:rowOff>31115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9648825"/>
          <a:ext cx="3435985" cy="250761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11</xdr:row>
      <xdr:rowOff>174624</xdr:rowOff>
    </xdr:from>
    <xdr:to>
      <xdr:col>15</xdr:col>
      <xdr:colOff>38100</xdr:colOff>
      <xdr:row>29</xdr:row>
      <xdr:rowOff>184149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0.7785</cdr:x>
      <cdr:y>0.19007</cdr:y>
    </cdr:from>
    <cdr:to>
      <cdr:x>0.98811</cdr:x>
      <cdr:y>0.25119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75176" y="631826"/>
          <a:ext cx="1231900" cy="203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 i="1">
              <a:solidFill>
                <a:srgbClr val="002060"/>
              </a:solidFill>
            </a:rPr>
            <a:t>Forecast</a:t>
          </a:r>
        </a:p>
      </cdr:txBody>
    </cdr:sp>
  </cdr:relSizeAnchor>
  <cdr:relSizeAnchor xmlns:cdr="http://schemas.openxmlformats.org/drawingml/2006/chartDrawing">
    <cdr:from>
      <cdr:x>0.2824</cdr:x>
      <cdr:y>0.1976</cdr:y>
    </cdr:from>
    <cdr:to>
      <cdr:x>0.49201</cdr:x>
      <cdr:y>0.25872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584325" y="679450"/>
          <a:ext cx="1175959" cy="210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1">
              <a:solidFill>
                <a:srgbClr val="002060"/>
              </a:solidFill>
            </a:rPr>
            <a:t>Actual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273050</xdr:colOff>
      <xdr:row>37</xdr:row>
      <xdr:rowOff>47624</xdr:rowOff>
    </xdr:from>
    <xdr:to>
      <xdr:col>14</xdr:col>
      <xdr:colOff>260350</xdr:colOff>
      <xdr:row>53</xdr:row>
      <xdr:rowOff>165099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11</xdr:row>
      <xdr:rowOff>85725</xdr:rowOff>
    </xdr:from>
    <xdr:to>
      <xdr:col>13</xdr:col>
      <xdr:colOff>228600</xdr:colOff>
      <xdr:row>26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615950</xdr:colOff>
      <xdr:row>64</xdr:row>
      <xdr:rowOff>85725</xdr:rowOff>
    </xdr:from>
    <xdr:to>
      <xdr:col>14</xdr:col>
      <xdr:colOff>260350</xdr:colOff>
      <xdr:row>79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13</xdr:row>
      <xdr:rowOff>133350</xdr:rowOff>
    </xdr:from>
    <xdr:to>
      <xdr:col>14</xdr:col>
      <xdr:colOff>187325</xdr:colOff>
      <xdr:row>28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365125</xdr:colOff>
      <xdr:row>52</xdr:row>
      <xdr:rowOff>123825</xdr:rowOff>
    </xdr:from>
    <xdr:to>
      <xdr:col>13</xdr:col>
      <xdr:colOff>574675</xdr:colOff>
      <xdr:row>67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 Bolle, Lisa" refreshedDate="43846.490094328707" createdVersion="5" refreshedVersion="5" minRefreshableVersion="3" recordCount="32">
  <cacheSource type="worksheet">
    <worksheetSource ref="A3:H36" sheet="6 Mandatory"/>
  </cacheSource>
  <cacheFields count="8">
    <cacheField name="Function" numFmtId="0">
      <sharedItems containsBlank="1" count="7">
        <s v="Environmental"/>
        <s v="ET"/>
        <s v="Gas"/>
        <s v="Generation"/>
        <s v="Other"/>
        <s v="T&amp;D"/>
        <m/>
      </sharedItems>
    </cacheField>
    <cacheField name="Mandatory &amp; Compliance Business Cases" numFmtId="0">
      <sharedItems/>
    </cacheField>
    <cacheField name="2020" numFmtId="5">
      <sharedItems containsSemiMixedTypes="0" containsString="0" containsNumber="1" containsInteger="1" minValue="0" maxValue="91410119"/>
    </cacheField>
    <cacheField name="2021" numFmtId="5">
      <sharedItems containsSemiMixedTypes="0" containsString="0" containsNumber="1" containsInteger="1" minValue="0" maxValue="89600960"/>
    </cacheField>
    <cacheField name="2022" numFmtId="5">
      <sharedItems containsSemiMixedTypes="0" containsString="0" containsNumber="1" containsInteger="1" minValue="0" maxValue="73515726"/>
    </cacheField>
    <cacheField name="2023" numFmtId="5">
      <sharedItems containsSemiMixedTypes="0" containsString="0" containsNumber="1" containsInteger="1" minValue="0" maxValue="57761343"/>
    </cacheField>
    <cacheField name="2024" numFmtId="5">
      <sharedItems containsSemiMixedTypes="0" containsString="0" containsNumber="1" containsInteger="1" minValue="0" maxValue="58005327"/>
    </cacheField>
    <cacheField name="5 Year Total" numFmtId="5">
      <sharedItems containsSemiMixedTypes="0" containsString="0" containsNumber="1" containsInteger="1" minValue="250000" maxValue="3702934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 Bolle, Lisa" refreshedDate="43846.511901967591" createdVersion="5" refreshedVersion="5" minRefreshableVersion="3" recordCount="41">
  <cacheSource type="worksheet">
    <worksheetSource ref="A3:H44" sheet="10 Perf &amp; Capacity"/>
  </cacheSource>
  <cacheFields count="8">
    <cacheField name="Function" numFmtId="0">
      <sharedItems containsBlank="1" count="6">
        <s v="ET"/>
        <s v="Gas"/>
        <s v="Generation"/>
        <s v="Other"/>
        <s v="T&amp;D"/>
        <m/>
      </sharedItems>
    </cacheField>
    <cacheField name="Performance &amp; Capacity Business Cases" numFmtId="0">
      <sharedItems/>
    </cacheField>
    <cacheField name="2020" numFmtId="5">
      <sharedItems containsSemiMixedTypes="0" containsString="0" containsNumber="1" containsInteger="1" minValue="0" maxValue="63815596"/>
    </cacheField>
    <cacheField name="2021" numFmtId="5">
      <sharedItems containsSemiMixedTypes="0" containsString="0" containsNumber="1" containsInteger="1" minValue="0" maxValue="80225608"/>
    </cacheField>
    <cacheField name="2022" numFmtId="5">
      <sharedItems containsSemiMixedTypes="0" containsString="0" containsNumber="1" containsInteger="1" minValue="0" maxValue="75481254"/>
    </cacheField>
    <cacheField name="2023" numFmtId="5">
      <sharedItems containsSemiMixedTypes="0" containsString="0" containsNumber="1" containsInteger="1" minValue="0" maxValue="88396578"/>
    </cacheField>
    <cacheField name="2024" numFmtId="5">
      <sharedItems containsSemiMixedTypes="0" containsString="0" containsNumber="1" containsInteger="1" minValue="0" maxValue="96050245"/>
    </cacheField>
    <cacheField name="5 Year Total" numFmtId="5">
      <sharedItems containsSemiMixedTypes="0" containsString="0" containsNumber="1" containsInteger="1" minValue="100000" maxValue="4039692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La Bolle, Lisa" refreshedDate="43846.633165162035" createdVersion="5" refreshedVersion="5" minRefreshableVersion="3" recordCount="58">
  <cacheSource type="worksheet">
    <worksheetSource ref="A2:H62" sheet="8 Asset Condition"/>
  </cacheSource>
  <cacheFields count="8">
    <cacheField name="Function" numFmtId="0">
      <sharedItems count="5">
        <s v="ET"/>
        <s v="Gas"/>
        <s v="Generation"/>
        <s v="Other"/>
        <s v="T&amp;D"/>
      </sharedItems>
    </cacheField>
    <cacheField name="Asset Condition Business Cases" numFmtId="0">
      <sharedItems/>
    </cacheField>
    <cacheField name="2020" numFmtId="5">
      <sharedItems containsSemiMixedTypes="0" containsString="0" containsNumber="1" containsInteger="1" minValue="-329588" maxValue="18750000"/>
    </cacheField>
    <cacheField name="2021" numFmtId="5">
      <sharedItems containsSemiMixedTypes="0" containsString="0" containsNumber="1" containsInteger="1" minValue="-403487" maxValue="18250000"/>
    </cacheField>
    <cacheField name="2022" numFmtId="5">
      <sharedItems containsSemiMixedTypes="0" containsString="0" containsNumber="1" containsInteger="1" minValue="0" maxValue="24950000"/>
    </cacheField>
    <cacheField name="2023" numFmtId="5">
      <sharedItems containsSemiMixedTypes="0" containsString="0" containsNumber="1" containsInteger="1" minValue="0" maxValue="25050000"/>
    </cacheField>
    <cacheField name="2024" numFmtId="5">
      <sharedItems containsSemiMixedTypes="0" containsString="0" containsNumber="1" containsInteger="1" minValue="0" maxValue="25125000"/>
    </cacheField>
    <cacheField name="5 Year Total" numFmtId="5">
      <sharedItems containsSemiMixedTypes="0" containsString="0" containsNumber="1" containsInteger="1" minValue="450000" maxValue="11212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La Bolle, Lisa" refreshedDate="43846.64855416667" createdVersion="5" refreshedVersion="5" minRefreshableVersion="3" recordCount="7">
  <cacheSource type="worksheet">
    <worksheetSource ref="A2:H9" sheet="7 Failed Plant"/>
  </cacheSource>
  <cacheFields count="8">
    <cacheField name="Function" numFmtId="0">
      <sharedItems count="4">
        <s v="ET"/>
        <s v="Gas"/>
        <s v="Generation"/>
        <s v="T&amp;D"/>
      </sharedItems>
    </cacheField>
    <cacheField name="Failed Plant Business Cases" numFmtId="0">
      <sharedItems/>
    </cacheField>
    <cacheField name="2020" numFmtId="5">
      <sharedItems containsSemiMixedTypes="0" containsString="0" containsNumber="1" containsInteger="1" minValue="200000" maxValue="8000000"/>
    </cacheField>
    <cacheField name="2021" numFmtId="5">
      <sharedItems containsSemiMixedTypes="0" containsString="0" containsNumber="1" containsInteger="1" minValue="200000" maxValue="8000000"/>
    </cacheField>
    <cacheField name="2022" numFmtId="5">
      <sharedItems containsSemiMixedTypes="0" containsString="0" containsNumber="1" containsInteger="1" minValue="200000" maxValue="8000000"/>
    </cacheField>
    <cacheField name="2023" numFmtId="5">
      <sharedItems containsSemiMixedTypes="0" containsString="0" containsNumber="1" containsInteger="1" minValue="0" maxValue="8000000"/>
    </cacheField>
    <cacheField name="2024" numFmtId="5">
      <sharedItems containsSemiMixedTypes="0" containsString="0" containsNumber="1" containsInteger="1" minValue="0" maxValue="8000000"/>
    </cacheField>
    <cacheField name="5 Year Total" numFmtId="5">
      <sharedItems containsSemiMixedTypes="0" containsString="0" containsNumber="1" containsInteger="1" minValue="1000000" maxValue="40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La Bolle, Lisa" refreshedDate="43859.587906597226" createdVersion="5" refreshedVersion="5" minRefreshableVersion="3" recordCount="10">
  <cacheSource type="worksheet">
    <worksheetSource ref="A2:H12" sheet="9 Service Quality"/>
  </cacheSource>
  <cacheFields count="8">
    <cacheField name="Function" numFmtId="0">
      <sharedItems count="4">
        <s v="Generation"/>
        <s v="Other"/>
        <s v="ET"/>
        <s v="T&amp;D"/>
      </sharedItems>
    </cacheField>
    <cacheField name="Customer Service Quality &amp; Reliability Business Cases" numFmtId="0">
      <sharedItems/>
    </cacheField>
    <cacheField name="2020" numFmtId="5">
      <sharedItems containsSemiMixedTypes="0" containsString="0" containsNumber="1" containsInteger="1" minValue="75000" maxValue="37292537"/>
    </cacheField>
    <cacheField name="2021" numFmtId="5">
      <sharedItems containsSemiMixedTypes="0" containsString="0" containsNumber="1" containsInteger="1" minValue="112500" maxValue="26700000"/>
    </cacheField>
    <cacheField name="2022" numFmtId="5">
      <sharedItems containsSemiMixedTypes="0" containsString="0" containsNumber="1" containsInteger="1" minValue="0" maxValue="26700000"/>
    </cacheField>
    <cacheField name="2023" numFmtId="5">
      <sharedItems containsSemiMixedTypes="0" containsString="0" containsNumber="1" containsInteger="1" minValue="0" maxValue="26600000"/>
    </cacheField>
    <cacheField name="2024" numFmtId="5">
      <sharedItems containsSemiMixedTypes="0" containsString="0" containsNumber="1" containsInteger="1" minValue="0" maxValue="8800000"/>
    </cacheField>
    <cacheField name="5 Year Total" numFmtId="5">
      <sharedItems containsSemiMixedTypes="0" containsString="0" containsNumber="1" containsInteger="1" minValue="800000" maxValue="82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s v="Cabinet Gorge Dam Fishway"/>
    <n v="19500000"/>
    <n v="12500000"/>
    <n v="160000"/>
    <n v="0"/>
    <n v="0"/>
    <n v="32160000"/>
  </r>
  <r>
    <x v="0"/>
    <s v="Clark Fork Settlement Agreement"/>
    <n v="3068027"/>
    <n v="4418068"/>
    <n v="5119610"/>
    <n v="4222698"/>
    <n v="4277379"/>
    <n v="21105782"/>
  </r>
  <r>
    <x v="0"/>
    <s v="Environmental Compliance"/>
    <n v="450000"/>
    <n v="450000"/>
    <n v="450000"/>
    <n v="450000"/>
    <n v="450000"/>
    <n v="2250000"/>
  </r>
  <r>
    <x v="0"/>
    <s v="Hydro Safety Minor Blanket"/>
    <n v="50000"/>
    <n v="50000"/>
    <n v="50000"/>
    <n v="50000"/>
    <n v="50000"/>
    <n v="250000"/>
  </r>
  <r>
    <x v="0"/>
    <s v="Spokane River License Implementation"/>
    <n v="1068600"/>
    <n v="805000"/>
    <n v="317300"/>
    <n v="560000"/>
    <n v="317300"/>
    <n v="3068200"/>
  </r>
  <r>
    <x v="1"/>
    <s v="High Voltage Protection (HVP) Refresh"/>
    <n v="800000"/>
    <n v="800000"/>
    <n v="200000"/>
    <n v="200000"/>
    <n v="0"/>
    <n v="2000000"/>
  </r>
  <r>
    <x v="2"/>
    <s v="Gas Cathodic Protection Program"/>
    <n v="715000"/>
    <n v="715000"/>
    <n v="715000"/>
    <n v="700000"/>
    <n v="700000"/>
    <n v="3545000"/>
  </r>
  <r>
    <x v="2"/>
    <s v="Gas Facility Replacement Program (GFRP) Aldyl A Pipe Replacement"/>
    <n v="23318892"/>
    <n v="24043892"/>
    <n v="24624816"/>
    <n v="25218645"/>
    <n v="25825648"/>
    <n v="123031893"/>
  </r>
  <r>
    <x v="2"/>
    <s v="Gas Isolated Steel Replacement Program"/>
    <n v="1400000"/>
    <n v="1400000"/>
    <n v="1600000"/>
    <n v="1600000"/>
    <n v="1600000"/>
    <n v="7600000"/>
  </r>
  <r>
    <x v="2"/>
    <s v="Gas Overbuilt Pipe Replacement Program"/>
    <n v="400000"/>
    <n v="400000"/>
    <n v="400000"/>
    <n v="250000"/>
    <n v="0"/>
    <n v="1450000"/>
  </r>
  <r>
    <x v="2"/>
    <s v="Gas PMC Program"/>
    <n v="1400000"/>
    <n v="1200000"/>
    <n v="1300000"/>
    <n v="1300000"/>
    <n v="1300000"/>
    <n v="6500000"/>
  </r>
  <r>
    <x v="2"/>
    <s v="Gas Replacement Street and Highway Program"/>
    <n v="3000000"/>
    <n v="3000000"/>
    <n v="3000000"/>
    <n v="3000000"/>
    <n v="3000000"/>
    <n v="15000000"/>
  </r>
  <r>
    <x v="3"/>
    <s v="Long Lake Stability Enhancement"/>
    <n v="880000"/>
    <n v="1455000"/>
    <n v="12260000"/>
    <n v="11300000"/>
    <n v="0"/>
    <n v="25895000"/>
  </r>
  <r>
    <x v="3"/>
    <s v="Monroe Street Abandoned Penstock Stabilization"/>
    <n v="0"/>
    <n v="150000"/>
    <n v="750000"/>
    <n v="0"/>
    <n v="0"/>
    <n v="900000"/>
  </r>
  <r>
    <x v="4"/>
    <s v="Apprentice/Craft Training"/>
    <n v="48600"/>
    <n v="54000"/>
    <n v="54000"/>
    <n v="60000"/>
    <n v="60000"/>
    <n v="276600"/>
  </r>
  <r>
    <x v="4"/>
    <s v="Tribal Permits &amp; Settlements"/>
    <n v="250000"/>
    <n v="250000"/>
    <n v="250000"/>
    <n v="250000"/>
    <n v="250000"/>
    <n v="1250000"/>
  </r>
  <r>
    <x v="4"/>
    <s v="WSDOT Franchises"/>
    <n v="225000"/>
    <n v="225000"/>
    <n v="225000"/>
    <n v="225000"/>
    <n v="225000"/>
    <n v="1125000"/>
  </r>
  <r>
    <x v="4"/>
    <s v="CIP 14 v1 - High Impact Assets"/>
    <n v="1000000"/>
    <n v="500000"/>
    <n v="0"/>
    <n v="0"/>
    <n v="0"/>
    <n v="1500000"/>
  </r>
  <r>
    <x v="5"/>
    <s v="Clearwater Wind Generation Interconnection"/>
    <n v="346000"/>
    <n v="0"/>
    <n v="0"/>
    <n v="0"/>
    <n v="0"/>
    <n v="346000"/>
  </r>
  <r>
    <x v="5"/>
    <s v="Colstrip Transmission"/>
    <n v="370000"/>
    <n v="485000"/>
    <n v="590000"/>
    <n v="1075000"/>
    <n v="350000"/>
    <n v="2870000"/>
  </r>
  <r>
    <x v="5"/>
    <s v="Ninth &amp; Central 230kV Station &amp; Transmission"/>
    <n v="0"/>
    <n v="0"/>
    <n v="3200000"/>
    <n v="1500000"/>
    <n v="15000000"/>
    <n v="19700000"/>
  </r>
  <r>
    <x v="5"/>
    <s v="Protection System Upgrade for PRC-002"/>
    <n v="5600000"/>
    <n v="2600000"/>
    <n v="1200000"/>
    <n v="0"/>
    <n v="0"/>
    <n v="9400000"/>
  </r>
  <r>
    <x v="5"/>
    <s v="Saddle Mountain 230/115kV Station (New) Integration Project Phase 1"/>
    <n v="10000000"/>
    <n v="0"/>
    <n v="0"/>
    <n v="0"/>
    <n v="0"/>
    <n v="10000000"/>
  </r>
  <r>
    <x v="5"/>
    <s v="Saddle Mountain 230/115kV Station (New) Integration Project Phase 2"/>
    <n v="500000"/>
    <n v="16000000"/>
    <n v="0"/>
    <n v="0"/>
    <n v="0"/>
    <n v="16500000"/>
  </r>
  <r>
    <x v="5"/>
    <s v="Spokane Valley Transmission Reinforcement Project"/>
    <n v="3900000"/>
    <n v="2900000"/>
    <n v="0"/>
    <n v="0"/>
    <n v="0"/>
    <n v="6800000"/>
  </r>
  <r>
    <x v="5"/>
    <s v="Transmission Construction - Compliance"/>
    <n v="2850000"/>
    <n v="3500000"/>
    <n v="0"/>
    <n v="1200000"/>
    <n v="0"/>
    <n v="7550000"/>
  </r>
  <r>
    <x v="5"/>
    <s v="Transmission NERC Low-Risk Priority Lines Mitigation"/>
    <n v="2800000"/>
    <n v="2700000"/>
    <n v="1000000"/>
    <n v="0"/>
    <n v="0"/>
    <n v="6500000"/>
  </r>
  <r>
    <x v="5"/>
    <s v="West Plains New 230kV Substation"/>
    <n v="0"/>
    <n v="0"/>
    <n v="8650000"/>
    <n v="0"/>
    <n v="0"/>
    <n v="8650000"/>
  </r>
  <r>
    <x v="5"/>
    <s v="Westside 230/115kV Station &quot;Brownfield Rebuild&quot; Project"/>
    <n v="3500000"/>
    <n v="4500000"/>
    <n v="2800000"/>
    <n v="0"/>
    <n v="0"/>
    <n v="10800000"/>
  </r>
  <r>
    <x v="5"/>
    <s v="Elec Relocation and Replacement Program"/>
    <n v="2470000"/>
    <n v="3000000"/>
    <n v="3100000"/>
    <n v="3100000"/>
    <n v="3100000"/>
    <n v="14770000"/>
  </r>
  <r>
    <x v="5"/>
    <s v="Joint Use"/>
    <n v="1500000"/>
    <n v="1500000"/>
    <n v="1500000"/>
    <n v="1500000"/>
    <n v="1500000"/>
    <n v="7500000"/>
  </r>
  <r>
    <x v="6"/>
    <s v="Total"/>
    <n v="91410119"/>
    <n v="89600960"/>
    <n v="73515726"/>
    <n v="57761343"/>
    <n v="58005327"/>
    <n v="37029347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">
  <r>
    <x v="0"/>
    <s v="Basic Workplace Technology Delivery"/>
    <n v="440000"/>
    <n v="440000"/>
    <n v="440000"/>
    <n v="440000"/>
    <n v="440000"/>
    <n v="2200000"/>
  </r>
  <r>
    <x v="0"/>
    <s v="Data Center Compute and Storage Systems"/>
    <n v="1692000"/>
    <n v="2192000"/>
    <n v="1692000"/>
    <n v="1692000"/>
    <n v="1692000"/>
    <n v="8960000"/>
  </r>
  <r>
    <x v="0"/>
    <s v="Digital Grid Network Expansion"/>
    <n v="2053302"/>
    <n v="2296379"/>
    <n v="2772216"/>
    <n v="2583537"/>
    <n v="2583537"/>
    <n v="12288971"/>
  </r>
  <r>
    <x v="0"/>
    <s v="Endpoint Compute and Productivity Systems"/>
    <n v="3780000"/>
    <n v="4480000"/>
    <n v="4480000"/>
    <n v="4480000"/>
    <n v="4480000"/>
    <n v="21700000"/>
  </r>
  <r>
    <x v="0"/>
    <s v="Energy Delivery Operational Efficiency &amp; Shared Services"/>
    <n v="2575000"/>
    <n v="2575000"/>
    <n v="2450000"/>
    <n v="2450000"/>
    <n v="2450000"/>
    <n v="12500000"/>
  </r>
  <r>
    <x v="0"/>
    <s v="Energy Resources Modernization &amp; Operational Efficiency "/>
    <n v="1100000"/>
    <n v="1634000"/>
    <n v="1634000"/>
    <n v="1800000"/>
    <n v="1800000"/>
    <n v="7968000"/>
  </r>
  <r>
    <x v="0"/>
    <s v="Enterprise &amp; Control Network Infrastructure"/>
    <n v="6521561"/>
    <n v="7432896"/>
    <n v="6932896"/>
    <n v="7000000"/>
    <n v="7000000"/>
    <n v="34887353"/>
  </r>
  <r>
    <x v="0"/>
    <s v="Enterprise Communication Systems"/>
    <n v="2020000"/>
    <n v="2520000"/>
    <n v="2020000"/>
    <n v="2848041"/>
    <n v="2848041"/>
    <n v="12256082"/>
  </r>
  <r>
    <x v="0"/>
    <s v="Enterprise Data Science"/>
    <n v="1368000"/>
    <n v="1820000"/>
    <n v="1520000"/>
    <n v="1820000"/>
    <n v="1820000"/>
    <n v="8348000"/>
  </r>
  <r>
    <x v="0"/>
    <s v="Environmental Control &amp; Monitoring Systems "/>
    <n v="900000"/>
    <n v="900000"/>
    <n v="900000"/>
    <n v="1000000"/>
    <n v="1000000"/>
    <n v="4700000"/>
  </r>
  <r>
    <x v="0"/>
    <s v="ET Modernization &amp; Operational Efficiency - Technology"/>
    <n v="1664400"/>
    <n v="1752000"/>
    <n v="1752000"/>
    <n v="2400000"/>
    <n v="2400000"/>
    <n v="9968400"/>
  </r>
  <r>
    <x v="0"/>
    <s v="Facilities Driven Technology Improvements"/>
    <n v="150000"/>
    <n v="270000"/>
    <n v="270000"/>
    <n v="300000"/>
    <n v="300000"/>
    <n v="1290000"/>
  </r>
  <r>
    <x v="0"/>
    <s v="Fiber Network Lease Service Replacement"/>
    <n v="1000000"/>
    <n v="3000000"/>
    <n v="3000000"/>
    <n v="2500000"/>
    <n v="0"/>
    <n v="9500000"/>
  </r>
  <r>
    <x v="0"/>
    <s v="Financial &amp; Accounting Technology"/>
    <n v="750000"/>
    <n v="1450000"/>
    <n v="1350000"/>
    <n v="1350000"/>
    <n v="1350000"/>
    <n v="6250000"/>
  </r>
  <r>
    <x v="0"/>
    <s v="Human Resources Technology"/>
    <n v="600000"/>
    <n v="1425000"/>
    <n v="1493000"/>
    <n v="1218000"/>
    <n v="1330000"/>
    <n v="6066000"/>
  </r>
  <r>
    <x v="0"/>
    <s v="Land Mobile Radio &amp; Real Time Communication Systems"/>
    <n v="2500000"/>
    <n v="3500000"/>
    <n v="5249809"/>
    <n v="5260000"/>
    <n v="5250000"/>
    <n v="21759809"/>
  </r>
  <r>
    <x v="0"/>
    <s v="Legal &amp; Compliance Technology"/>
    <n v="279000"/>
    <n v="500000"/>
    <n v="400000"/>
    <n v="350000"/>
    <n v="450000"/>
    <n v="1979000"/>
  </r>
  <r>
    <x v="1"/>
    <s v="Gas Airway Heights HP Reinforcement Project"/>
    <n v="50000"/>
    <n v="1950000"/>
    <n v="0"/>
    <n v="0"/>
    <n v="0"/>
    <n v="2000000"/>
  </r>
  <r>
    <x v="1"/>
    <s v="Gas Cheney HP Reinforcement"/>
    <n v="4710000"/>
    <n v="3100000"/>
    <n v="0"/>
    <n v="0"/>
    <n v="0"/>
    <n v="7810000"/>
  </r>
  <r>
    <x v="1"/>
    <s v="Gas Pullman HP Reinforcement Project"/>
    <n v="0"/>
    <n v="0"/>
    <n v="100000"/>
    <n v="2400000"/>
    <n v="0"/>
    <n v="2500000"/>
  </r>
  <r>
    <x v="1"/>
    <s v="Gas Reinforcement Program"/>
    <n v="1000000"/>
    <n v="1300000"/>
    <n v="1500000"/>
    <n v="1000000"/>
    <n v="1000000"/>
    <n v="5800000"/>
  </r>
  <r>
    <x v="1"/>
    <s v="Gas Schweitzer Mtn Rd HP Reinforcement"/>
    <n v="0"/>
    <n v="0"/>
    <n v="0"/>
    <n v="100000"/>
    <n v="1500000"/>
    <n v="1600000"/>
  </r>
  <r>
    <x v="1"/>
    <s v="Gas Telemetry Program"/>
    <n v="200000"/>
    <n v="200000"/>
    <n v="200000"/>
    <n v="200000"/>
    <n v="200000"/>
    <n v="1000000"/>
  </r>
  <r>
    <x v="1"/>
    <s v="Gas Warden HP Reinforcement"/>
    <n v="0"/>
    <n v="100000"/>
    <n v="5900000"/>
    <n v="0"/>
    <n v="0"/>
    <n v="6000000"/>
  </r>
  <r>
    <x v="2"/>
    <s v="Cabinet Gorge 15 kV Bus Replacement"/>
    <n v="0"/>
    <n v="0"/>
    <n v="0"/>
    <n v="0"/>
    <n v="1200000"/>
    <n v="1200000"/>
  </r>
  <r>
    <x v="2"/>
    <s v="Coyote Springs LTSA"/>
    <n v="2160000"/>
    <n v="1080000"/>
    <n v="0"/>
    <n v="0"/>
    <n v="0"/>
    <n v="3240000"/>
  </r>
  <r>
    <x v="2"/>
    <s v="Upper Falls and Monroe Street Permanent Backup Generator"/>
    <n v="0"/>
    <n v="0"/>
    <n v="0"/>
    <n v="0"/>
    <n v="100000"/>
    <n v="100000"/>
  </r>
  <r>
    <x v="2"/>
    <s v="Upper Falls Unit Upgrade"/>
    <n v="0"/>
    <n v="0"/>
    <n v="250000"/>
    <n v="0"/>
    <n v="0"/>
    <n v="250000"/>
  </r>
  <r>
    <x v="3"/>
    <s v="Central 24 HR Operations Facility"/>
    <n v="0"/>
    <n v="0"/>
    <n v="0"/>
    <n v="10000000"/>
    <n v="9000000"/>
    <n v="19000000"/>
  </r>
  <r>
    <x v="3"/>
    <s v="Corporate and Craft Training"/>
    <n v="0"/>
    <n v="9000000"/>
    <n v="4000000"/>
    <n v="0"/>
    <n v="0"/>
    <n v="13000000"/>
  </r>
  <r>
    <x v="3"/>
    <s v="Corporate Campus Exterior Wellness-Safety"/>
    <n v="0"/>
    <n v="0"/>
    <n v="0"/>
    <n v="0"/>
    <n v="2000000"/>
    <n v="2000000"/>
  </r>
  <r>
    <x v="3"/>
    <s v="Sandpoint Service Center"/>
    <n v="0"/>
    <n v="0"/>
    <n v="0"/>
    <n v="1500000"/>
    <n v="8500000"/>
    <n v="10000000"/>
  </r>
  <r>
    <x v="3"/>
    <s v="Energy Imbalance Market"/>
    <n v="9157500"/>
    <n v="9180000"/>
    <n v="2262000"/>
    <n v="0"/>
    <n v="0"/>
    <n v="20599500"/>
  </r>
  <r>
    <x v="3"/>
    <s v="Gas Operator Qualification Compliance"/>
    <n v="54000"/>
    <n v="60000"/>
    <n v="60000"/>
    <n v="60000"/>
    <n v="60000"/>
    <n v="294000"/>
  </r>
  <r>
    <x v="3"/>
    <s v="Jackson Prairie Joint Project"/>
    <n v="2328333"/>
    <n v="2293333"/>
    <n v="2278333"/>
    <n v="2270000"/>
    <n v="2271667"/>
    <n v="11441666"/>
  </r>
  <r>
    <x v="4"/>
    <s v="Cabinet Gorge 230kV Add Bus Isolating Breakers"/>
    <n v="100000"/>
    <n v="1500000"/>
    <n v="0"/>
    <n v="0"/>
    <n v="0"/>
    <n v="1600000"/>
  </r>
  <r>
    <x v="4"/>
    <s v="Segment Reconductor and FDR Tie"/>
    <n v="6000000"/>
    <n v="6000000"/>
    <n v="6000000"/>
    <n v="6000000"/>
    <n v="6000000"/>
    <n v="30000000"/>
  </r>
  <r>
    <x v="4"/>
    <s v="Substation - New Distribution Station Capacity Program"/>
    <n v="7650000"/>
    <n v="5150000"/>
    <n v="13050000"/>
    <n v="13000000"/>
    <n v="13000000"/>
    <n v="51850000"/>
  </r>
  <r>
    <x v="4"/>
    <s v="Transmission New Construction - Performance &amp; Capacity"/>
    <n v="0"/>
    <n v="0"/>
    <n v="400000"/>
    <n v="11250000"/>
    <n v="12900000"/>
    <n v="24550000"/>
  </r>
  <r>
    <x v="4"/>
    <s v="Downtown Network - Performance &amp; Capacity"/>
    <n v="1012500"/>
    <n v="1125000"/>
    <n v="1125000"/>
    <n v="1125000"/>
    <n v="1125000"/>
    <n v="5512500"/>
  </r>
  <r>
    <x v="5"/>
    <s v="Total"/>
    <n v="63815596"/>
    <n v="80225608"/>
    <n v="75481254"/>
    <n v="88396578"/>
    <n v="96050245"/>
    <n v="40396928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8">
  <r>
    <x v="0"/>
    <s v="Atlas"/>
    <n v="2100000"/>
    <n v="1800000"/>
    <n v="1800000"/>
    <n v="0"/>
    <n v="0"/>
    <n v="5700000"/>
  </r>
  <r>
    <x v="0"/>
    <s v="Energy Delivery Modernization"/>
    <n v="450000"/>
    <n v="450000"/>
    <n v="1225000"/>
    <n v="1225000"/>
    <n v="1225000"/>
    <n v="4575000"/>
  </r>
  <r>
    <x v="0"/>
    <s v="Outage Management System &amp; Advanced Distribution Management System (OMS &amp; ADMS)"/>
    <n v="0"/>
    <n v="0"/>
    <n v="6500000"/>
    <n v="5000000"/>
    <n v="5000000"/>
    <n v="16500000"/>
  </r>
  <r>
    <x v="1"/>
    <s v="Gas Deteriorated Steel Pipe Replacement Program"/>
    <n v="1000000"/>
    <n v="1000000"/>
    <n v="1000000"/>
    <n v="1000000"/>
    <n v="1000000"/>
    <n v="5000000"/>
  </r>
  <r>
    <x v="1"/>
    <s v="Gas ERT Replacement Program"/>
    <n v="200000"/>
    <n v="200000"/>
    <n v="210000"/>
    <n v="220000"/>
    <n v="230000"/>
    <n v="1060000"/>
  </r>
  <r>
    <x v="1"/>
    <s v="Gas Regulator Station Replacement Program"/>
    <n v="800000"/>
    <n v="1000000"/>
    <n v="1000000"/>
    <n v="1000000"/>
    <n v="1000000"/>
    <n v="4800000"/>
  </r>
  <r>
    <x v="2"/>
    <s v="Base Load Hydro"/>
    <n v="756960"/>
    <n v="1034100"/>
    <n v="1034100"/>
    <n v="1149000"/>
    <n v="1149000"/>
    <n v="5123160"/>
  </r>
  <r>
    <x v="2"/>
    <s v="Cabinet Gorge Automation"/>
    <n v="500000"/>
    <n v="0"/>
    <n v="0"/>
    <n v="0"/>
    <n v="0"/>
    <n v="500000"/>
  </r>
  <r>
    <x v="2"/>
    <s v="Cabinet Gorge Control Room Replacement"/>
    <n v="0"/>
    <n v="0"/>
    <n v="0"/>
    <n v="160000"/>
    <n v="1235000"/>
    <n v="1395000"/>
  </r>
  <r>
    <x v="2"/>
    <s v="Cabinet Gorge Gantry Crane Runway Modernization"/>
    <n v="500000"/>
    <n v="0"/>
    <n v="0"/>
    <n v="0"/>
    <n v="0"/>
    <n v="500000"/>
  </r>
  <r>
    <x v="2"/>
    <s v="Cabinet Gorge HVAC Replacement"/>
    <n v="0"/>
    <n v="0"/>
    <n v="0"/>
    <n v="550000"/>
    <n v="0"/>
    <n v="550000"/>
  </r>
  <r>
    <x v="2"/>
    <s v="Cabinet Gorge Spillgate Replacement"/>
    <n v="0"/>
    <n v="0"/>
    <n v="0"/>
    <n v="1000000"/>
    <n v="2500000"/>
    <n v="3500000"/>
  </r>
  <r>
    <x v="2"/>
    <s v="Cabinet Gorge Station Service"/>
    <n v="2800000"/>
    <n v="750000"/>
    <n v="500000"/>
    <n v="0"/>
    <n v="0"/>
    <n v="4050000"/>
  </r>
  <r>
    <x v="2"/>
    <s v="Cabinet Gorge Stop Log Replacement"/>
    <n v="0"/>
    <n v="1000000"/>
    <n v="0"/>
    <n v="0"/>
    <n v="0"/>
    <n v="1000000"/>
  </r>
  <r>
    <x v="2"/>
    <s v="Cabinet Gorge Unit 1 Governor Upgrade"/>
    <n v="0"/>
    <n v="0"/>
    <n v="0"/>
    <n v="560000"/>
    <n v="0"/>
    <n v="560000"/>
  </r>
  <r>
    <x v="2"/>
    <s v="Cabinet Gorge Unit 2 Field Pole Refurbishment"/>
    <n v="0"/>
    <n v="0"/>
    <n v="0"/>
    <n v="0"/>
    <n v="1500000"/>
    <n v="1500000"/>
  </r>
  <r>
    <x v="2"/>
    <s v="Cabinet Gorge Unit 3 Protection &amp; Control Upgrade"/>
    <n v="1800000"/>
    <n v="750000"/>
    <n v="0"/>
    <n v="0"/>
    <n v="0"/>
    <n v="2550000"/>
  </r>
  <r>
    <x v="2"/>
    <s v="Cabinet Gorge Unit 4 Protection &amp; Control Upgrade"/>
    <n v="600000"/>
    <n v="2000000"/>
    <n v="0"/>
    <n v="0"/>
    <n v="0"/>
    <n v="2600000"/>
  </r>
  <r>
    <x v="2"/>
    <s v="Cabinet Gorge Warehouse Replacement"/>
    <n v="0"/>
    <n v="0"/>
    <n v="130000"/>
    <n v="2025000"/>
    <n v="0"/>
    <n v="2155000"/>
  </r>
  <r>
    <x v="2"/>
    <s v="Colstrip 3&amp;4 Capital Projects"/>
    <n v="12500000"/>
    <n v="9400000"/>
    <n v="3034000"/>
    <n v="4000000"/>
    <n v="8000000"/>
    <n v="36934000"/>
  </r>
  <r>
    <x v="2"/>
    <s v="Generation DC Supplied System Update"/>
    <n v="840000"/>
    <n v="840000"/>
    <n v="900000"/>
    <n v="840000"/>
    <n v="900000"/>
    <n v="4320000"/>
  </r>
  <r>
    <x v="2"/>
    <s v="Generation Masonry Building Rehabilitation"/>
    <n v="0"/>
    <n v="1000000"/>
    <n v="1000000"/>
    <n v="1000000"/>
    <n v="1000000"/>
    <n v="4000000"/>
  </r>
  <r>
    <x v="2"/>
    <s v="HMI Control Software"/>
    <n v="2230625"/>
    <n v="1961875"/>
    <n v="1195938"/>
    <n v="0"/>
    <n v="0"/>
    <n v="5388438"/>
  </r>
  <r>
    <x v="2"/>
    <s v="KF_Fuel Yard Equipment Replacement"/>
    <n v="9000000"/>
    <n v="7000000"/>
    <n v="2400000"/>
    <n v="0"/>
    <n v="0"/>
    <n v="18400000"/>
  </r>
  <r>
    <x v="2"/>
    <s v="Little Falls Intake Gate Replacement"/>
    <n v="0"/>
    <n v="300000"/>
    <n v="2200000"/>
    <n v="2000000"/>
    <n v="0"/>
    <n v="4500000"/>
  </r>
  <r>
    <x v="2"/>
    <s v="Little Falls Plant Upgrade"/>
    <n v="2100000"/>
    <n v="0"/>
    <n v="0"/>
    <n v="0"/>
    <n v="0"/>
    <n v="2100000"/>
  </r>
  <r>
    <x v="2"/>
    <s v="Little Falls Spillway Flashboard Replacement"/>
    <n v="0"/>
    <n v="0"/>
    <n v="0"/>
    <n v="0"/>
    <n v="1000000"/>
    <n v="1000000"/>
  </r>
  <r>
    <x v="2"/>
    <s v="Long Lake Plant Upgrade"/>
    <n v="1500000"/>
    <n v="4500000"/>
    <n v="11500000"/>
    <n v="11500000"/>
    <n v="11500000"/>
    <n v="40500000"/>
  </r>
  <r>
    <x v="2"/>
    <s v="Long Lake Replace Plant Emergency Generator"/>
    <n v="0"/>
    <n v="75000"/>
    <n v="650000"/>
    <n v="0"/>
    <n v="0"/>
    <n v="725000"/>
  </r>
  <r>
    <x v="2"/>
    <s v="Monroe Street Generator Excitation Replacement"/>
    <n v="0"/>
    <n v="93000"/>
    <n v="650000"/>
    <n v="182000"/>
    <n v="0"/>
    <n v="925000"/>
  </r>
  <r>
    <x v="2"/>
    <s v="Nine Mile Powerhouse Crane Rehab"/>
    <n v="0"/>
    <n v="0"/>
    <n v="0"/>
    <n v="750000"/>
    <n v="750000"/>
    <n v="1500000"/>
  </r>
  <r>
    <x v="2"/>
    <s v="Nine Mile Unit 3 Mechanical Overhaul"/>
    <n v="0"/>
    <n v="0"/>
    <n v="0"/>
    <n v="0"/>
    <n v="2000000"/>
    <n v="2000000"/>
  </r>
  <r>
    <x v="2"/>
    <s v="Nine Mile Units 3 &amp; 4 Control Upgrade"/>
    <n v="0"/>
    <n v="0"/>
    <n v="0"/>
    <n v="0"/>
    <n v="1000000"/>
    <n v="1000000"/>
  </r>
  <r>
    <x v="2"/>
    <s v="Noxon Rapids Generator Step-Up Bank C Replacement"/>
    <n v="0"/>
    <n v="0"/>
    <n v="0"/>
    <n v="1005000"/>
    <n v="2406000"/>
    <n v="3411000"/>
  </r>
  <r>
    <x v="2"/>
    <s v="Noxon Rapids Spillgate Refurbishment"/>
    <n v="500000"/>
    <n v="6430000"/>
    <n v="5930000"/>
    <n v="5930000"/>
    <n v="4759000"/>
    <n v="23549000"/>
  </r>
  <r>
    <x v="2"/>
    <s v="Post Falls HED Redevelopment Program"/>
    <n v="0"/>
    <n v="0"/>
    <n v="0"/>
    <n v="0"/>
    <n v="2000000"/>
    <n v="2000000"/>
  </r>
  <r>
    <x v="2"/>
    <s v="Post Falls Landing and Crane Pad Development"/>
    <n v="190000"/>
    <n v="3110000"/>
    <n v="0"/>
    <n v="0"/>
    <n v="0"/>
    <n v="3300000"/>
  </r>
  <r>
    <x v="2"/>
    <s v="Post Falls North Channel Spillway Rehabilitation"/>
    <n v="500000"/>
    <n v="0"/>
    <n v="1500000"/>
    <n v="9500000"/>
    <n v="10000000"/>
    <n v="21500000"/>
  </r>
  <r>
    <x v="2"/>
    <s v="Regulating Hydro"/>
    <n v="2137540"/>
    <n v="3179700"/>
    <n v="3179700"/>
    <n v="3500000"/>
    <n v="3500000"/>
    <n v="15496940"/>
  </r>
  <r>
    <x v="2"/>
    <s v="Upper Falls Trash Rake Replacement"/>
    <n v="0"/>
    <n v="0"/>
    <n v="0"/>
    <n v="0"/>
    <n v="450000"/>
    <n v="450000"/>
  </r>
  <r>
    <x v="3"/>
    <s v="New Pullman Service Center"/>
    <n v="0"/>
    <n v="0"/>
    <n v="5000000"/>
    <n v="7000000"/>
    <n v="0"/>
    <n v="12000000"/>
  </r>
  <r>
    <x v="3"/>
    <s v="Service Building Basement Renovation"/>
    <n v="3000000"/>
    <n v="0"/>
    <n v="0"/>
    <n v="0"/>
    <n v="0"/>
    <n v="3000000"/>
  </r>
  <r>
    <x v="3"/>
    <s v="Structures and Improvements/Furniture"/>
    <n v="2000000"/>
    <n v="2200000"/>
    <n v="2500000"/>
    <n v="2750000"/>
    <n v="2750000"/>
    <n v="12200000"/>
  </r>
  <r>
    <x v="3"/>
    <s v="Capital Tools &amp; Stores"/>
    <n v="1782000"/>
    <n v="1980000"/>
    <n v="1980000"/>
    <n v="2000000"/>
    <n v="2000000"/>
    <n v="9742000"/>
  </r>
  <r>
    <x v="3"/>
    <s v="Fleet Services Capital Plan"/>
    <n v="6237000"/>
    <n v="6237000"/>
    <n v="6237000"/>
    <n v="6237000"/>
    <n v="6237000"/>
    <n v="31185000"/>
  </r>
  <r>
    <x v="3"/>
    <s v="Telematics 2025"/>
    <n v="0"/>
    <n v="1100000"/>
    <n v="675000"/>
    <n v="612500"/>
    <n v="0"/>
    <n v="2387500"/>
  </r>
  <r>
    <x v="3"/>
    <s v="Offset to Budget"/>
    <n v="-329588"/>
    <n v="-403487"/>
    <n v="4892643"/>
    <n v="1680758"/>
    <n v="16192512"/>
    <n v="22032838"/>
  </r>
  <r>
    <x v="4"/>
    <s v="SCADA - SOO and BuCC"/>
    <n v="2100000"/>
    <n v="920000"/>
    <n v="700000"/>
    <n v="700000"/>
    <n v="700000"/>
    <n v="5120000"/>
  </r>
  <r>
    <x v="4"/>
    <s v="Substation - Station Rebuilds Program"/>
    <n v="18750000"/>
    <n v="18250000"/>
    <n v="24950000"/>
    <n v="25050000"/>
    <n v="25125000"/>
    <n v="112125000"/>
  </r>
  <r>
    <x v="4"/>
    <s v="Transmission - Minor Rebuild"/>
    <n v="1659120"/>
    <n v="2409120"/>
    <n v="2409120"/>
    <n v="2593420"/>
    <n v="2593420"/>
    <n v="11664200"/>
  </r>
  <r>
    <x v="4"/>
    <s v="Transmission Major Rebuild - Asset Condition"/>
    <n v="7550000"/>
    <n v="7500000"/>
    <n v="14000000"/>
    <n v="10000000"/>
    <n v="10000000"/>
    <n v="49050000"/>
  </r>
  <r>
    <x v="4"/>
    <s v="Distribution Grid Modernization"/>
    <n v="8000000"/>
    <n v="10000000"/>
    <n v="12000000"/>
    <n v="12200000"/>
    <n v="13000000"/>
    <n v="55200000"/>
  </r>
  <r>
    <x v="4"/>
    <s v="Distribution Minor Rebuild"/>
    <n v="8768500"/>
    <n v="10000000"/>
    <n v="10000000"/>
    <n v="10000000"/>
    <n v="10000000"/>
    <n v="48768500"/>
  </r>
  <r>
    <x v="4"/>
    <s v="Distribution Transformer Change Out Program"/>
    <n v="541000"/>
    <n v="600000"/>
    <n v="0"/>
    <n v="0"/>
    <n v="0"/>
    <n v="1141000"/>
  </r>
  <r>
    <x v="4"/>
    <s v="Downtown Network - Asset Condition"/>
    <n v="1539000"/>
    <n v="1600000"/>
    <n v="2800000"/>
    <n v="2800000"/>
    <n v="2800000"/>
    <n v="11539000"/>
  </r>
  <r>
    <x v="4"/>
    <s v="LED Change-Out Program"/>
    <n v="500000"/>
    <n v="585000"/>
    <n v="500000"/>
    <n v="500000"/>
    <n v="500000"/>
    <n v="2585000"/>
  </r>
  <r>
    <x v="4"/>
    <s v="Primary URD Cable Replacement"/>
    <n v="0"/>
    <n v="750000"/>
    <n v="750000"/>
    <n v="750000"/>
    <n v="750000"/>
    <n v="3000000"/>
  </r>
  <r>
    <x v="4"/>
    <s v="Wood Pole Management"/>
    <n v="10500000"/>
    <n v="11000000"/>
    <n v="11500000"/>
    <n v="12730000"/>
    <n v="13111900"/>
    <n v="588419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7">
  <r>
    <x v="0"/>
    <s v="Technology Failed Assets"/>
    <n v="306200"/>
    <n v="618000"/>
    <n v="556200"/>
    <n v="618000"/>
    <n v="618000"/>
    <n v="2716400"/>
  </r>
  <r>
    <x v="1"/>
    <s v="Gas Non-Revenue Program"/>
    <n v="8000000"/>
    <n v="8000000"/>
    <n v="8000000"/>
    <n v="8000000"/>
    <n v="8000000"/>
    <n v="40000000"/>
  </r>
  <r>
    <x v="2"/>
    <s v="Base Load Thermal Program"/>
    <n v="2042280"/>
    <n v="2790000"/>
    <n v="2790000"/>
    <n v="3100000"/>
    <n v="3100000"/>
    <n v="13822280"/>
  </r>
  <r>
    <x v="2"/>
    <s v="CS2 Single Phase Transformer"/>
    <n v="7000000"/>
    <n v="4000000"/>
    <n v="1600000"/>
    <n v="0"/>
    <n v="0"/>
    <n v="12600000"/>
  </r>
  <r>
    <x v="2"/>
    <s v="Peaking Generation Business Case"/>
    <n v="329400"/>
    <n v="450000"/>
    <n v="450000"/>
    <n v="500000"/>
    <n v="500000"/>
    <n v="2229400"/>
  </r>
  <r>
    <x v="3"/>
    <s v="Electric Storm"/>
    <n v="3000000"/>
    <n v="2340000"/>
    <n v="2432000"/>
    <n v="2450000"/>
    <n v="2450000"/>
    <n v="12672000"/>
  </r>
  <r>
    <x v="3"/>
    <s v="Meter Minor Blanket"/>
    <n v="200000"/>
    <n v="200000"/>
    <n v="200000"/>
    <n v="200000"/>
    <n v="200000"/>
    <n v="100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0">
  <r>
    <x v="0"/>
    <s v="Automation Replacement"/>
    <n v="585000"/>
    <n v="585000"/>
    <n v="585000"/>
    <n v="650000"/>
    <n v="650000"/>
    <n v="3055000"/>
  </r>
  <r>
    <x v="1"/>
    <s v="Enterprise Business Continuity"/>
    <n v="345000"/>
    <n v="405000"/>
    <n v="405000"/>
    <n v="450000"/>
    <n v="450000"/>
    <n v="2055000"/>
  </r>
  <r>
    <x v="1"/>
    <s v="Enterprise Security"/>
    <n v="2160000"/>
    <n v="2160000"/>
    <n v="2160000"/>
    <n v="2700000"/>
    <n v="2700000"/>
    <n v="11880000"/>
  </r>
  <r>
    <x v="1"/>
    <s v="Facilities and Storage Location Security"/>
    <n v="280000"/>
    <n v="340000"/>
    <n v="340000"/>
    <n v="340000"/>
    <n v="500000"/>
    <n v="1800000"/>
  </r>
  <r>
    <x v="1"/>
    <s v="Generation, Substation &amp; Gas Location Security"/>
    <n v="330000"/>
    <n v="330000"/>
    <n v="330000"/>
    <n v="500000"/>
    <n v="500000"/>
    <n v="1990000"/>
  </r>
  <r>
    <x v="1"/>
    <s v="Telecommunication &amp; Network Distribution Location Security"/>
    <n v="75000"/>
    <n v="112500"/>
    <n v="112500"/>
    <n v="250000"/>
    <n v="250000"/>
    <n v="800000"/>
  </r>
  <r>
    <x v="2"/>
    <s v="Customer Facing Technology Program"/>
    <n v="7245000"/>
    <n v="9050000"/>
    <n v="9050000"/>
    <n v="9050000"/>
    <n v="8800000"/>
    <n v="8800000"/>
  </r>
  <r>
    <x v="2"/>
    <s v="Customer Transactional Systems"/>
    <n v="2300000"/>
    <n v="2000000"/>
    <n v="2000000"/>
    <n v="2000000"/>
    <n v="2000000"/>
    <n v="2000000"/>
  </r>
  <r>
    <x v="3"/>
    <s v="Idaho AMI"/>
    <n v="2500000"/>
    <n v="26700000"/>
    <n v="26700000"/>
    <n v="26600000"/>
    <n v="0"/>
    <n v="82500000"/>
  </r>
  <r>
    <x v="3"/>
    <s v="Washington Advanced Metering Infrastructure Project"/>
    <n v="37292537"/>
    <n v="1357245"/>
    <n v="0"/>
    <n v="0"/>
    <n v="0"/>
    <n v="386497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C40:D47" firstHeaderRow="1" firstDataRow="1" firstDataCol="1"/>
  <pivotFields count="8">
    <pivotField axis="axisRow" showAll="0">
      <items count="8">
        <item x="0"/>
        <item x="1"/>
        <item x="2"/>
        <item x="3"/>
        <item x="4"/>
        <item x="5"/>
        <item h="1" x="6"/>
        <item t="default"/>
      </items>
    </pivotField>
    <pivotField showAll="0"/>
    <pivotField numFmtId="5" showAll="0"/>
    <pivotField numFmtId="5" showAll="0"/>
    <pivotField numFmtId="5" showAll="0"/>
    <pivotField numFmtId="5" showAll="0"/>
    <pivotField numFmtId="5" showAll="0"/>
    <pivotField dataField="1" numFmtId="5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5 Year Total" fld="7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C15:D20" firstHeaderRow="1" firstDataRow="1" firstDataCol="1"/>
  <pivotFields count="8">
    <pivotField axis="axisRow" showAll="0">
      <items count="5">
        <item x="0"/>
        <item x="1"/>
        <item x="2"/>
        <item x="3"/>
        <item t="default"/>
      </items>
    </pivotField>
    <pivotField showAll="0"/>
    <pivotField numFmtId="5" showAll="0"/>
    <pivotField numFmtId="5" showAll="0"/>
    <pivotField numFmtId="5" showAll="0"/>
    <pivotField numFmtId="5" showAll="0"/>
    <pivotField numFmtId="5" showAll="0"/>
    <pivotField dataField="1" numFmtId="5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5 Year Total" fld="7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C70:D76" firstHeaderRow="1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numFmtId="5" showAll="0"/>
    <pivotField numFmtId="5" showAll="0"/>
    <pivotField numFmtId="5" showAll="0"/>
    <pivotField numFmtId="5" showAll="0"/>
    <pivotField numFmtId="5" showAll="0"/>
    <pivotField dataField="1" numFmtId="5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5 Year Total" fld="7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C16:D21" firstHeaderRow="1" firstDataRow="1" firstDataCol="1"/>
  <pivotFields count="8">
    <pivotField axis="axisRow" showAll="0">
      <items count="5">
        <item x="0"/>
        <item x="1"/>
        <item x="3"/>
        <item x="2"/>
        <item t="default"/>
      </items>
    </pivotField>
    <pivotField showAll="0"/>
    <pivotField numFmtId="5" showAll="0"/>
    <pivotField numFmtId="5" showAll="0"/>
    <pivotField numFmtId="5" showAll="0"/>
    <pivotField numFmtId="5" showAll="0"/>
    <pivotField numFmtId="5" showAll="0"/>
    <pivotField dataField="1" numFmtId="5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5 Year Total" fld="7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C50:D56" firstHeaderRow="1" firstDataRow="1" firstDataCol="1"/>
  <pivotFields count="8">
    <pivotField axis="axisRow" showAll="0">
      <items count="7">
        <item x="0"/>
        <item x="1"/>
        <item x="2"/>
        <item x="3"/>
        <item x="4"/>
        <item h="1" x="5"/>
        <item t="default"/>
      </items>
    </pivotField>
    <pivotField showAll="0"/>
    <pivotField numFmtId="5" showAll="0"/>
    <pivotField numFmtId="5" showAll="0"/>
    <pivotField numFmtId="5" showAll="0"/>
    <pivotField numFmtId="5" showAll="0"/>
    <pivotField numFmtId="5" showAll="0"/>
    <pivotField dataField="1" numFmtId="5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5 Year Total" fld="7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iveYearPlan_2020" displayName="FiveYearPlan_2020" ref="B7:I156" totalsRowCount="1" headerRowDxfId="18" headerRowBorderDxfId="17" tableBorderDxfId="16">
  <autoFilter ref="B7:I155">
    <filterColumn colId="2">
      <filters>
        <filter val="Asset Condition"/>
      </filters>
    </filterColumn>
  </autoFilter>
  <sortState ref="B8:BK169">
    <sortCondition ref="B8:B169"/>
    <sortCondition ref="C8:C169"/>
  </sortState>
  <tableColumns count="8">
    <tableColumn id="1" name="Function" dataDxfId="15" totalsRowDxfId="14"/>
    <tableColumn id="3" name="Business Case" dataDxfId="13" totalsRowDxfId="12" dataCellStyle="Normal_Sheet1_1"/>
    <tableColumn id="2" name="Primary Driver" dataDxfId="11" totalsRowDxfId="10" dataCellStyle="Normal_Sheet1_1"/>
    <tableColumn id="13" name="2020 Approved" totalsRowFunction="custom" dataDxfId="9" totalsRowDxfId="8" dataCellStyle="Normal_Sheet1_1">
      <totalsRowFormula>SUM(FiveYearPlan_2020[2020 Approved])</totalsRowFormula>
    </tableColumn>
    <tableColumn id="20" name="2021 Approved" dataDxfId="7" totalsRowDxfId="6" dataCellStyle="Normal_Sheet1_1"/>
    <tableColumn id="27" name="2022 Approved" dataDxfId="5" totalsRowDxfId="4" dataCellStyle="Normal_Sheet1_1"/>
    <tableColumn id="34" name="2023 Approved" dataDxfId="3" totalsRowDxfId="2" dataCellStyle="Normal_Sheet1_1"/>
    <tableColumn id="38" name="2024 Approved" dataDxfId="1" totalsRowDxfId="0" dataCellStyle="Normal_Sheet1_1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opLeftCell="B16" workbookViewId="0">
      <selection activeCell="H26" sqref="H26"/>
    </sheetView>
  </sheetViews>
  <sheetFormatPr defaultRowHeight="15" x14ac:dyDescent="0.25"/>
  <sheetData>
    <row r="1" spans="1:17" x14ac:dyDescent="0.25">
      <c r="A1" s="69"/>
      <c r="B1" s="69" t="s">
        <v>174</v>
      </c>
      <c r="C1" s="69" t="s">
        <v>175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90" x14ac:dyDescent="0.25">
      <c r="A2" s="69"/>
      <c r="B2" s="70" t="s">
        <v>176</v>
      </c>
      <c r="C2" s="70" t="s">
        <v>177</v>
      </c>
      <c r="D2" s="52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2"/>
    </row>
    <row r="3" spans="1:17" x14ac:dyDescent="0.25">
      <c r="A3" s="71">
        <v>2004</v>
      </c>
      <c r="B3" s="72">
        <v>126</v>
      </c>
      <c r="C3" s="72">
        <v>1.01</v>
      </c>
      <c r="D3" s="52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52"/>
    </row>
    <row r="4" spans="1:17" x14ac:dyDescent="0.25">
      <c r="A4" s="71">
        <v>2005</v>
      </c>
      <c r="B4" s="72">
        <v>108</v>
      </c>
      <c r="C4" s="72">
        <v>0.97</v>
      </c>
      <c r="D4" s="52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52"/>
    </row>
    <row r="5" spans="1:17" x14ac:dyDescent="0.25">
      <c r="A5" s="71">
        <v>2005</v>
      </c>
      <c r="B5" s="72">
        <v>143</v>
      </c>
      <c r="C5" s="72">
        <v>1.29</v>
      </c>
      <c r="D5" s="52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52"/>
    </row>
    <row r="6" spans="1:17" x14ac:dyDescent="0.25">
      <c r="A6" s="71">
        <v>2007</v>
      </c>
      <c r="B6" s="72">
        <v>132</v>
      </c>
      <c r="C6" s="72">
        <v>1.1399999999999999</v>
      </c>
      <c r="D6" s="52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52"/>
    </row>
    <row r="7" spans="1:17" x14ac:dyDescent="0.25">
      <c r="A7" s="71">
        <v>2008</v>
      </c>
      <c r="B7" s="72">
        <v>159</v>
      </c>
      <c r="C7" s="72">
        <v>1.4</v>
      </c>
      <c r="D7" s="52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52"/>
    </row>
    <row r="8" spans="1:17" x14ac:dyDescent="0.25">
      <c r="A8" s="71">
        <v>2009</v>
      </c>
      <c r="B8" s="72">
        <v>193</v>
      </c>
      <c r="C8" s="72">
        <v>1.52</v>
      </c>
      <c r="D8" s="52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52"/>
    </row>
    <row r="9" spans="1:17" x14ac:dyDescent="0.25">
      <c r="A9" s="71">
        <v>2010</v>
      </c>
      <c r="B9" s="72">
        <v>146</v>
      </c>
      <c r="C9" s="72">
        <v>1.23</v>
      </c>
      <c r="D9" s="52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52"/>
    </row>
    <row r="10" spans="1:17" x14ac:dyDescent="0.25">
      <c r="A10" s="71">
        <v>2011</v>
      </c>
      <c r="B10" s="72">
        <v>118</v>
      </c>
      <c r="C10" s="72">
        <v>1.08</v>
      </c>
      <c r="D10" s="52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52"/>
    </row>
    <row r="11" spans="1:17" x14ac:dyDescent="0.25">
      <c r="A11" s="71">
        <v>2012</v>
      </c>
      <c r="B11" s="72">
        <v>138</v>
      </c>
      <c r="C11" s="72">
        <v>1.1399999999999999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x14ac:dyDescent="0.25">
      <c r="A12" s="71">
        <v>2013</v>
      </c>
      <c r="B12" s="72">
        <v>138</v>
      </c>
      <c r="C12" s="72">
        <v>1.05</v>
      </c>
      <c r="D12" s="69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69"/>
    </row>
    <row r="13" spans="1:17" x14ac:dyDescent="0.25">
      <c r="A13" s="71">
        <v>2014</v>
      </c>
      <c r="B13" s="72">
        <v>139</v>
      </c>
      <c r="C13" s="72">
        <v>1.1100000000000001</v>
      </c>
      <c r="D13" s="69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69"/>
    </row>
    <row r="14" spans="1:17" x14ac:dyDescent="0.25">
      <c r="A14" s="71">
        <v>2015</v>
      </c>
      <c r="B14" s="72">
        <v>163</v>
      </c>
      <c r="C14" s="72">
        <v>1.05</v>
      </c>
      <c r="D14" s="69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69"/>
    </row>
    <row r="15" spans="1:17" x14ac:dyDescent="0.25">
      <c r="A15" s="71">
        <v>2016</v>
      </c>
      <c r="B15" s="72">
        <v>133</v>
      </c>
      <c r="C15" s="72">
        <v>0.86</v>
      </c>
      <c r="D15" s="69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69"/>
    </row>
    <row r="16" spans="1:17" x14ac:dyDescent="0.25">
      <c r="A16" s="74">
        <v>2017</v>
      </c>
      <c r="B16" s="75">
        <v>183</v>
      </c>
      <c r="C16" s="75">
        <v>1.2</v>
      </c>
      <c r="D16" s="69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69"/>
    </row>
    <row r="17" spans="1:17" x14ac:dyDescent="0.25">
      <c r="A17" s="76">
        <v>2018</v>
      </c>
      <c r="B17" s="76">
        <v>0.81</v>
      </c>
      <c r="C17" s="76">
        <v>2.11</v>
      </c>
      <c r="D17" s="52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52"/>
    </row>
    <row r="18" spans="1:17" x14ac:dyDescent="0.25">
      <c r="A18" s="76">
        <v>2019</v>
      </c>
      <c r="B18" s="76">
        <v>0.94</v>
      </c>
      <c r="C18" s="76">
        <v>2.2799999999999998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 x14ac:dyDescent="0.25">
      <c r="A19" s="52"/>
      <c r="B19" s="52"/>
      <c r="C19" s="52"/>
      <c r="D19" s="69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69"/>
    </row>
    <row r="20" spans="1:17" x14ac:dyDescent="0.25">
      <c r="A20" s="73" t="s">
        <v>178</v>
      </c>
      <c r="B20" s="69"/>
      <c r="C20" s="69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1:17" x14ac:dyDescent="0.25">
      <c r="A21" s="73" t="s">
        <v>179</v>
      </c>
      <c r="B21" s="69"/>
      <c r="C21" s="69"/>
    </row>
    <row r="22" spans="1:17" x14ac:dyDescent="0.25">
      <c r="A22" s="56" t="s">
        <v>172</v>
      </c>
      <c r="B22" s="52"/>
      <c r="C22" s="52"/>
    </row>
    <row r="23" spans="1:17" x14ac:dyDescent="0.25">
      <c r="A23" s="56" t="s">
        <v>173</v>
      </c>
      <c r="B23" s="52"/>
      <c r="C23" s="52"/>
    </row>
    <row r="25" spans="1:17" x14ac:dyDescent="0.25">
      <c r="A25" s="52"/>
      <c r="B25" s="52" t="s">
        <v>174</v>
      </c>
      <c r="C25" s="52" t="s">
        <v>175</v>
      </c>
      <c r="F25" s="76"/>
      <c r="G25" s="76"/>
      <c r="H25" s="76"/>
    </row>
    <row r="26" spans="1:17" ht="90" x14ac:dyDescent="0.25">
      <c r="A26" s="52"/>
      <c r="B26" s="53" t="s">
        <v>176</v>
      </c>
      <c r="C26" s="53" t="s">
        <v>177</v>
      </c>
      <c r="F26" s="189" t="s">
        <v>233</v>
      </c>
    </row>
    <row r="27" spans="1:17" x14ac:dyDescent="0.25">
      <c r="A27" s="54">
        <v>2004</v>
      </c>
      <c r="B27" s="55">
        <v>126</v>
      </c>
      <c r="C27" s="55">
        <v>1.01</v>
      </c>
      <c r="G27" s="76" t="s">
        <v>254</v>
      </c>
      <c r="H27" s="76" t="s">
        <v>255</v>
      </c>
    </row>
    <row r="28" spans="1:17" x14ac:dyDescent="0.25">
      <c r="A28" s="54">
        <v>2005</v>
      </c>
      <c r="B28" s="55">
        <v>108</v>
      </c>
      <c r="C28" s="55">
        <v>0.97</v>
      </c>
      <c r="F28" s="76" t="s">
        <v>232</v>
      </c>
      <c r="G28" s="82" t="s">
        <v>177</v>
      </c>
      <c r="H28" s="82" t="s">
        <v>234</v>
      </c>
    </row>
    <row r="29" spans="1:17" x14ac:dyDescent="0.25">
      <c r="A29" s="54">
        <v>2005</v>
      </c>
      <c r="B29" s="55">
        <v>143</v>
      </c>
      <c r="C29" s="55">
        <v>1.29</v>
      </c>
      <c r="F29" s="76">
        <v>2012</v>
      </c>
      <c r="G29" s="76">
        <v>1.1399999999999999</v>
      </c>
      <c r="H29" s="76">
        <v>2.2999999999999998</v>
      </c>
    </row>
    <row r="30" spans="1:17" x14ac:dyDescent="0.25">
      <c r="A30" s="54">
        <v>2007</v>
      </c>
      <c r="B30" s="55">
        <v>132</v>
      </c>
      <c r="C30" s="55">
        <v>1.1399999999999999</v>
      </c>
      <c r="F30" s="76">
        <v>2013</v>
      </c>
      <c r="G30" s="187">
        <v>1.0481151748693429</v>
      </c>
      <c r="H30" s="188">
        <v>2.368245816546636</v>
      </c>
    </row>
    <row r="31" spans="1:17" x14ac:dyDescent="0.25">
      <c r="A31" s="54">
        <v>2008</v>
      </c>
      <c r="B31" s="55">
        <v>159</v>
      </c>
      <c r="C31" s="55">
        <v>1.4</v>
      </c>
      <c r="F31" s="76">
        <v>2014</v>
      </c>
      <c r="G31" s="187">
        <v>1.112111863995749</v>
      </c>
      <c r="H31" s="188">
        <v>2.3245631435860425</v>
      </c>
    </row>
    <row r="32" spans="1:17" x14ac:dyDescent="0.25">
      <c r="A32" s="54">
        <v>2009</v>
      </c>
      <c r="B32" s="55">
        <v>193</v>
      </c>
      <c r="C32" s="55">
        <v>1.52</v>
      </c>
      <c r="F32" s="76">
        <v>2015</v>
      </c>
      <c r="G32" s="187">
        <v>1.0567365531741195</v>
      </c>
      <c r="H32" s="188">
        <v>2.8110324578200361</v>
      </c>
    </row>
    <row r="33" spans="1:17" x14ac:dyDescent="0.25">
      <c r="A33" s="54">
        <v>2010</v>
      </c>
      <c r="B33" s="55">
        <v>146</v>
      </c>
      <c r="C33" s="55">
        <v>1.23</v>
      </c>
      <c r="D33" s="52"/>
      <c r="E33" s="52"/>
      <c r="F33" s="76">
        <v>2016</v>
      </c>
      <c r="G33" s="187">
        <v>0.86300871995917294</v>
      </c>
      <c r="H33" s="188">
        <v>2.2149999361885118</v>
      </c>
      <c r="I33" s="52"/>
      <c r="J33" s="52"/>
      <c r="K33" s="52"/>
      <c r="L33" s="52"/>
      <c r="M33" s="52"/>
      <c r="N33" s="52"/>
      <c r="O33" s="52"/>
      <c r="P33" s="52"/>
      <c r="Q33" s="52"/>
    </row>
    <row r="34" spans="1:17" x14ac:dyDescent="0.25">
      <c r="A34" s="54">
        <v>2011</v>
      </c>
      <c r="B34" s="55">
        <v>118</v>
      </c>
      <c r="C34" s="55">
        <v>1.08</v>
      </c>
      <c r="D34" s="52"/>
      <c r="E34" s="52"/>
      <c r="F34" s="76">
        <v>2017</v>
      </c>
      <c r="G34" s="187">
        <v>1.197851785273123</v>
      </c>
      <c r="H34" s="188">
        <v>3.055966590781741</v>
      </c>
      <c r="I34" s="52"/>
      <c r="J34" s="52"/>
      <c r="K34" s="52"/>
      <c r="L34" s="52"/>
      <c r="M34" s="52"/>
      <c r="N34" s="52"/>
      <c r="O34" s="52"/>
      <c r="P34" s="52"/>
      <c r="Q34" s="52"/>
    </row>
    <row r="35" spans="1:17" x14ac:dyDescent="0.25">
      <c r="A35" s="54">
        <v>2012</v>
      </c>
      <c r="B35" s="55">
        <v>138</v>
      </c>
      <c r="C35" s="55">
        <v>1.1399999999999999</v>
      </c>
      <c r="D35" s="52"/>
      <c r="E35" s="52"/>
      <c r="F35" s="76">
        <v>2018</v>
      </c>
      <c r="G35" s="187">
        <v>0.81017316129971517</v>
      </c>
      <c r="H35" s="188">
        <v>2.1053788160003455</v>
      </c>
      <c r="I35" s="52"/>
      <c r="J35" s="52"/>
      <c r="K35" s="52"/>
      <c r="L35" s="52"/>
      <c r="M35" s="52"/>
      <c r="N35" s="52"/>
      <c r="O35" s="52"/>
      <c r="P35" s="52"/>
      <c r="Q35" s="52"/>
    </row>
    <row r="36" spans="1:17" x14ac:dyDescent="0.25">
      <c r="A36" s="54">
        <v>2013</v>
      </c>
      <c r="B36" s="55">
        <v>138</v>
      </c>
      <c r="C36" s="55">
        <v>1.05</v>
      </c>
      <c r="D36" s="52"/>
      <c r="E36" s="52"/>
      <c r="F36" s="76">
        <v>2019</v>
      </c>
      <c r="G36" s="188">
        <v>0.94</v>
      </c>
      <c r="H36" s="188">
        <v>2.2799999999999998</v>
      </c>
      <c r="I36" s="52"/>
      <c r="J36" s="52"/>
      <c r="K36" s="52"/>
      <c r="L36" s="52"/>
      <c r="M36" s="52"/>
      <c r="N36" s="52"/>
      <c r="O36" s="52"/>
      <c r="P36" s="52"/>
      <c r="Q36" s="52"/>
    </row>
    <row r="37" spans="1:17" x14ac:dyDescent="0.25">
      <c r="A37" s="54">
        <v>2014</v>
      </c>
      <c r="B37" s="55">
        <v>139</v>
      </c>
      <c r="C37" s="55">
        <v>1.1100000000000001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</row>
    <row r="38" spans="1:17" x14ac:dyDescent="0.25">
      <c r="A38" s="54">
        <v>2015</v>
      </c>
      <c r="B38" s="55">
        <v>163</v>
      </c>
      <c r="C38" s="55">
        <v>1.05</v>
      </c>
      <c r="D38" s="52"/>
      <c r="E38" s="52"/>
      <c r="G38" s="76" t="s">
        <v>256</v>
      </c>
      <c r="I38" s="52"/>
      <c r="J38" s="52"/>
      <c r="K38" s="52"/>
      <c r="L38" s="52"/>
      <c r="M38" s="52"/>
      <c r="N38" s="52"/>
      <c r="O38" s="52"/>
      <c r="P38" s="52"/>
      <c r="Q38" s="52"/>
    </row>
    <row r="39" spans="1:17" x14ac:dyDescent="0.25">
      <c r="A39" s="54">
        <v>2016</v>
      </c>
      <c r="B39" s="55">
        <v>133</v>
      </c>
      <c r="C39" s="55">
        <v>0.86</v>
      </c>
      <c r="F39" s="52"/>
      <c r="G39" s="76" t="s">
        <v>257</v>
      </c>
      <c r="H39" s="52"/>
    </row>
    <row r="40" spans="1:17" x14ac:dyDescent="0.25">
      <c r="A40" s="61">
        <v>2017</v>
      </c>
      <c r="B40" s="62">
        <v>183</v>
      </c>
      <c r="C40" s="62">
        <v>1.2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</row>
    <row r="41" spans="1:17" x14ac:dyDescent="0.25"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</row>
    <row r="42" spans="1:17" x14ac:dyDescent="0.25">
      <c r="A42" s="56" t="s">
        <v>178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>
        <v>3.3727999999999998</v>
      </c>
    </row>
    <row r="43" spans="1:17" x14ac:dyDescent="0.25">
      <c r="A43" s="56" t="s">
        <v>179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x14ac:dyDescent="0.25">
      <c r="A44" s="52" t="s">
        <v>180</v>
      </c>
      <c r="B44" s="57">
        <v>2015</v>
      </c>
      <c r="C44" s="57">
        <v>2016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x14ac:dyDescent="0.25">
      <c r="A45" s="52" t="s">
        <v>181</v>
      </c>
      <c r="B45" s="52">
        <v>243.72414637904453</v>
      </c>
      <c r="C45" s="52">
        <v>314.25934236804568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x14ac:dyDescent="0.25">
      <c r="A46" s="52" t="s">
        <v>182</v>
      </c>
      <c r="B46" s="52">
        <v>131.96378365384609</v>
      </c>
      <c r="C46" s="52">
        <v>128.61602658788766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x14ac:dyDescent="0.25">
      <c r="A47" s="52" t="s">
        <v>183</v>
      </c>
      <c r="B47" s="52">
        <v>1.9551068607412401</v>
      </c>
      <c r="C47" s="52">
        <v>1.6569057187017013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x14ac:dyDescent="0.25">
      <c r="A48" s="52" t="s">
        <v>184</v>
      </c>
      <c r="B48" s="52">
        <v>1.5185210526315776</v>
      </c>
      <c r="C48" s="63">
        <v>1.2989238249594817</v>
      </c>
      <c r="D48" s="52"/>
      <c r="E48" s="52"/>
      <c r="F48" s="52"/>
      <c r="G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8" x14ac:dyDescent="0.25">
      <c r="A49" s="52"/>
      <c r="B49" s="52"/>
      <c r="C49" s="52"/>
      <c r="D49" s="52"/>
      <c r="E49" s="52"/>
      <c r="F49" s="52"/>
      <c r="G49" s="52"/>
    </row>
    <row r="50" spans="1:8" x14ac:dyDescent="0.25">
      <c r="A50" s="52"/>
      <c r="B50" s="52"/>
      <c r="C50" s="52"/>
      <c r="D50" s="52"/>
      <c r="E50" s="52"/>
      <c r="F50" s="52"/>
      <c r="G50" s="52"/>
    </row>
    <row r="51" spans="1:8" x14ac:dyDescent="0.25">
      <c r="A51" s="52"/>
      <c r="B51" s="52"/>
      <c r="C51" s="52"/>
      <c r="D51" s="52"/>
      <c r="E51" s="52"/>
      <c r="F51" s="52"/>
      <c r="G51" s="52"/>
    </row>
    <row r="52" spans="1:8" x14ac:dyDescent="0.25">
      <c r="A52" s="64" t="s">
        <v>185</v>
      </c>
      <c r="B52" s="65" t="s">
        <v>186</v>
      </c>
      <c r="C52" s="65" t="s">
        <v>187</v>
      </c>
      <c r="D52" s="52"/>
      <c r="E52" s="52"/>
      <c r="F52" s="52"/>
      <c r="G52" s="52"/>
    </row>
    <row r="53" spans="1:8" ht="75" x14ac:dyDescent="0.25">
      <c r="A53" s="58" t="s">
        <v>188</v>
      </c>
      <c r="B53" s="66">
        <v>0.62</v>
      </c>
      <c r="C53" s="66">
        <v>3.62</v>
      </c>
      <c r="D53" s="52"/>
      <c r="E53" s="52"/>
      <c r="F53" s="52"/>
      <c r="G53" s="52"/>
    </row>
    <row r="54" spans="1:8" ht="75" x14ac:dyDescent="0.25">
      <c r="A54" s="59" t="s">
        <v>189</v>
      </c>
      <c r="B54" s="60" t="s">
        <v>190</v>
      </c>
      <c r="C54" s="60" t="s">
        <v>191</v>
      </c>
      <c r="D54" s="52"/>
      <c r="E54" s="52"/>
      <c r="F54" s="52"/>
      <c r="G54" s="52"/>
    </row>
    <row r="55" spans="1:8" x14ac:dyDescent="0.25">
      <c r="A55" s="52"/>
      <c r="B55" s="52"/>
      <c r="C55" s="52"/>
      <c r="D55" s="52"/>
      <c r="E55" s="52"/>
      <c r="F55" s="52"/>
      <c r="G55" s="52"/>
    </row>
    <row r="56" spans="1:8" x14ac:dyDescent="0.25">
      <c r="A56" s="52" t="s">
        <v>192</v>
      </c>
      <c r="B56" s="52"/>
      <c r="C56" s="52"/>
      <c r="D56" s="52"/>
      <c r="E56" s="52"/>
      <c r="F56" s="52"/>
      <c r="G56" s="52"/>
    </row>
    <row r="57" spans="1:8" x14ac:dyDescent="0.25">
      <c r="A57" s="52"/>
      <c r="B57" s="52"/>
      <c r="C57" s="52"/>
      <c r="D57" s="52"/>
      <c r="E57" s="52"/>
      <c r="F57" s="52"/>
      <c r="G57" s="52"/>
    </row>
    <row r="58" spans="1:8" x14ac:dyDescent="0.25">
      <c r="A58" s="52"/>
      <c r="B58" s="52"/>
      <c r="C58" s="52"/>
      <c r="D58" s="52"/>
      <c r="E58" s="52"/>
      <c r="F58" s="52"/>
      <c r="G58" s="52"/>
    </row>
    <row r="59" spans="1:8" x14ac:dyDescent="0.25">
      <c r="A59" s="52"/>
      <c r="B59" s="52"/>
      <c r="C59" s="52"/>
      <c r="D59" s="52"/>
      <c r="E59" s="52"/>
      <c r="F59" s="52"/>
      <c r="G59" s="52"/>
    </row>
    <row r="60" spans="1:8" x14ac:dyDescent="0.25">
      <c r="A60" s="52"/>
      <c r="B60" s="52"/>
      <c r="C60" s="52"/>
      <c r="D60" s="52"/>
      <c r="E60" s="52"/>
      <c r="F60" s="52"/>
      <c r="G60" s="52"/>
    </row>
    <row r="61" spans="1:8" x14ac:dyDescent="0.25">
      <c r="A61" s="52"/>
      <c r="B61" s="52"/>
      <c r="C61" s="52"/>
      <c r="D61" s="52"/>
      <c r="E61" s="52"/>
      <c r="F61" s="52"/>
      <c r="G61" s="52" t="s">
        <v>193</v>
      </c>
    </row>
    <row r="62" spans="1:8" x14ac:dyDescent="0.25">
      <c r="A62" s="52"/>
      <c r="B62" s="52"/>
      <c r="C62" s="52"/>
      <c r="D62" s="52"/>
      <c r="E62" s="52"/>
      <c r="F62" s="52"/>
      <c r="G62" s="52"/>
    </row>
    <row r="63" spans="1:8" x14ac:dyDescent="0.25">
      <c r="A63" s="52"/>
      <c r="B63" s="52"/>
      <c r="C63" s="52"/>
      <c r="D63" s="52"/>
      <c r="E63" s="52"/>
      <c r="F63" s="52"/>
      <c r="G63" s="52"/>
    </row>
    <row r="64" spans="1:8" x14ac:dyDescent="0.25">
      <c r="A64" s="52"/>
      <c r="B64" s="52"/>
      <c r="C64" s="52"/>
      <c r="D64" s="52"/>
      <c r="E64" s="52"/>
      <c r="F64" s="52"/>
      <c r="G64" s="52"/>
      <c r="H64" s="52"/>
    </row>
    <row r="65" spans="1:10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</row>
    <row r="66" spans="1:10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</row>
    <row r="68" spans="1:10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</row>
    <row r="71" spans="1:10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</row>
    <row r="72" spans="1:10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</row>
    <row r="73" spans="1:10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</row>
    <row r="74" spans="1:10" x14ac:dyDescent="0.25">
      <c r="A74" s="52"/>
      <c r="B74" s="52"/>
      <c r="C74" s="52"/>
      <c r="D74" s="52"/>
      <c r="E74" s="52"/>
      <c r="I74" s="52"/>
      <c r="J74" s="52"/>
    </row>
    <row r="75" spans="1:10" x14ac:dyDescent="0.25">
      <c r="A75" s="52"/>
      <c r="B75" s="52"/>
      <c r="C75" s="52"/>
    </row>
    <row r="76" spans="1:10" x14ac:dyDescent="0.25">
      <c r="A76" s="52"/>
      <c r="B76" s="52"/>
      <c r="C76" s="52"/>
      <c r="F76" s="52"/>
      <c r="G76" s="52"/>
      <c r="H76" s="52"/>
    </row>
    <row r="77" spans="1:10" x14ac:dyDescent="0.25">
      <c r="D77" s="52"/>
      <c r="E77" s="52"/>
      <c r="F77" s="52"/>
      <c r="G77" s="52"/>
      <c r="H77" s="52"/>
      <c r="I77" s="52"/>
      <c r="J77" s="52"/>
    </row>
    <row r="78" spans="1:10" x14ac:dyDescent="0.25">
      <c r="D78" s="52"/>
      <c r="E78" s="52"/>
      <c r="F78" s="297" t="s">
        <v>195</v>
      </c>
      <c r="G78" s="297"/>
      <c r="H78" s="52"/>
      <c r="I78" s="52"/>
      <c r="J78" s="52"/>
    </row>
    <row r="79" spans="1:10" ht="60" x14ac:dyDescent="0.25">
      <c r="A79" s="56" t="s">
        <v>194</v>
      </c>
      <c r="B79" s="52"/>
      <c r="C79" s="52"/>
      <c r="D79" s="297" t="s">
        <v>175</v>
      </c>
      <c r="E79" s="297"/>
      <c r="F79" s="53" t="s">
        <v>201</v>
      </c>
      <c r="G79" s="53" t="s">
        <v>202</v>
      </c>
      <c r="H79" s="52"/>
      <c r="I79" s="52"/>
      <c r="J79" s="52" t="s">
        <v>196</v>
      </c>
    </row>
    <row r="80" spans="1:10" ht="75" x14ac:dyDescent="0.25">
      <c r="A80" s="56"/>
      <c r="B80" s="52"/>
      <c r="C80" s="52"/>
      <c r="D80" s="53" t="s">
        <v>199</v>
      </c>
      <c r="E80" s="53" t="s">
        <v>200</v>
      </c>
      <c r="F80" s="52">
        <v>112</v>
      </c>
      <c r="G80" s="52">
        <v>65.91</v>
      </c>
      <c r="H80" s="52"/>
      <c r="I80" s="53" t="s">
        <v>203</v>
      </c>
      <c r="J80" s="53" t="s">
        <v>204</v>
      </c>
    </row>
    <row r="81" spans="1:10" x14ac:dyDescent="0.25">
      <c r="A81" s="52"/>
      <c r="B81" s="297" t="s">
        <v>174</v>
      </c>
      <c r="C81" s="297"/>
      <c r="D81" s="55">
        <v>0.97</v>
      </c>
      <c r="E81" s="52">
        <v>1.6</v>
      </c>
      <c r="F81" s="52">
        <v>111</v>
      </c>
      <c r="G81" s="56">
        <v>77.984999999999999</v>
      </c>
      <c r="H81" s="52"/>
      <c r="I81" s="52"/>
      <c r="J81" s="52">
        <v>3.38</v>
      </c>
    </row>
    <row r="82" spans="1:10" ht="75" x14ac:dyDescent="0.25">
      <c r="A82" s="52"/>
      <c r="B82" s="53" t="s">
        <v>197</v>
      </c>
      <c r="C82" s="53" t="s">
        <v>198</v>
      </c>
      <c r="D82" s="55">
        <v>1.29</v>
      </c>
      <c r="E82" s="56">
        <v>2.8899999999999997</v>
      </c>
      <c r="F82" s="52">
        <v>116</v>
      </c>
      <c r="G82" s="52">
        <v>90.06</v>
      </c>
      <c r="H82" s="52"/>
      <c r="I82" s="52"/>
      <c r="J82" s="52">
        <v>4.59</v>
      </c>
    </row>
    <row r="83" spans="1:10" x14ac:dyDescent="0.25">
      <c r="A83" s="54">
        <v>2005</v>
      </c>
      <c r="B83" s="52">
        <v>108</v>
      </c>
      <c r="C83" s="52">
        <v>54.03</v>
      </c>
      <c r="D83" s="55">
        <v>1.1399999999999999</v>
      </c>
      <c r="E83" s="52">
        <v>4.18</v>
      </c>
      <c r="F83" s="52">
        <v>113</v>
      </c>
      <c r="G83" s="56">
        <v>88.405000000000001</v>
      </c>
      <c r="H83" s="52"/>
      <c r="I83" s="52"/>
      <c r="J83" s="52">
        <v>4.22</v>
      </c>
    </row>
    <row r="84" spans="1:10" x14ac:dyDescent="0.25">
      <c r="A84" s="54">
        <v>2005</v>
      </c>
      <c r="B84" s="52">
        <v>143</v>
      </c>
      <c r="C84" s="56">
        <v>61.914999999999999</v>
      </c>
      <c r="D84" s="55">
        <v>1.4</v>
      </c>
      <c r="E84" s="56">
        <v>2.5299999999999998</v>
      </c>
      <c r="F84" s="52">
        <v>127</v>
      </c>
      <c r="G84" s="52">
        <v>86.75</v>
      </c>
      <c r="H84" s="52"/>
      <c r="I84" s="52"/>
      <c r="J84" s="52">
        <v>4.22</v>
      </c>
    </row>
    <row r="85" spans="1:10" x14ac:dyDescent="0.25">
      <c r="A85" s="54">
        <v>2007</v>
      </c>
      <c r="B85" s="52">
        <v>132</v>
      </c>
      <c r="C85" s="52">
        <v>69.8</v>
      </c>
      <c r="D85" s="55">
        <v>1.52</v>
      </c>
      <c r="E85" s="52">
        <v>0.88</v>
      </c>
      <c r="F85" s="52">
        <v>118</v>
      </c>
      <c r="G85" s="56">
        <v>80.305000000000007</v>
      </c>
      <c r="H85" s="52"/>
      <c r="I85" s="52"/>
      <c r="J85" s="52">
        <v>4.2300000000000004</v>
      </c>
    </row>
    <row r="86" spans="1:10" x14ac:dyDescent="0.25">
      <c r="A86" s="54">
        <v>2008</v>
      </c>
      <c r="B86" s="52">
        <v>159</v>
      </c>
      <c r="C86" s="56">
        <v>69.39</v>
      </c>
      <c r="D86" s="55">
        <v>1.23</v>
      </c>
      <c r="E86" s="56">
        <v>0.84499999999999997</v>
      </c>
      <c r="F86" s="52">
        <v>108</v>
      </c>
      <c r="G86" s="52">
        <v>73.86</v>
      </c>
      <c r="H86" s="52"/>
      <c r="I86" s="52"/>
      <c r="J86" s="52">
        <v>2.93</v>
      </c>
    </row>
    <row r="87" spans="1:10" x14ac:dyDescent="0.25">
      <c r="A87" s="54">
        <v>2009</v>
      </c>
      <c r="B87" s="52">
        <v>193</v>
      </c>
      <c r="C87" s="52">
        <v>68.98</v>
      </c>
      <c r="D87" s="55">
        <v>1.08</v>
      </c>
      <c r="E87" s="52">
        <v>0.81</v>
      </c>
      <c r="F87" s="52">
        <v>121</v>
      </c>
      <c r="G87" s="56">
        <v>85.164999999999992</v>
      </c>
      <c r="H87" s="52"/>
      <c r="I87" s="52"/>
      <c r="J87" s="52">
        <v>2.42</v>
      </c>
    </row>
    <row r="88" spans="1:10" x14ac:dyDescent="0.25">
      <c r="A88" s="54">
        <v>2010</v>
      </c>
      <c r="B88" s="52">
        <v>146</v>
      </c>
      <c r="C88" s="56">
        <v>57.67</v>
      </c>
      <c r="D88" s="55">
        <v>1.1399999999999999</v>
      </c>
      <c r="E88" s="56">
        <v>0.96000000000000008</v>
      </c>
      <c r="F88" s="52">
        <v>132</v>
      </c>
      <c r="G88" s="52">
        <v>96.47</v>
      </c>
      <c r="H88" s="52"/>
      <c r="I88" s="52"/>
      <c r="J88" s="52">
        <v>2.63</v>
      </c>
    </row>
    <row r="89" spans="1:10" x14ac:dyDescent="0.25">
      <c r="A89" s="54">
        <v>2011</v>
      </c>
      <c r="B89" s="52">
        <v>118</v>
      </c>
      <c r="C89" s="52">
        <v>46.36</v>
      </c>
      <c r="D89" s="55">
        <v>1.05</v>
      </c>
      <c r="E89" s="52">
        <v>1.1100000000000001</v>
      </c>
      <c r="F89" s="52">
        <v>125</v>
      </c>
      <c r="G89" s="56">
        <v>87.634999999999991</v>
      </c>
      <c r="H89" s="52"/>
      <c r="I89" s="52"/>
      <c r="J89" s="52">
        <v>2.2599999999999998</v>
      </c>
    </row>
    <row r="90" spans="1:10" x14ac:dyDescent="0.25">
      <c r="A90" s="54">
        <v>2012</v>
      </c>
      <c r="B90" s="52">
        <v>138</v>
      </c>
      <c r="C90" s="56">
        <v>52.424999999999997</v>
      </c>
      <c r="D90" s="55">
        <v>1.1100000000000001</v>
      </c>
      <c r="E90" s="56">
        <v>1.01</v>
      </c>
      <c r="F90" s="52">
        <v>156</v>
      </c>
      <c r="G90" s="52">
        <v>78.8</v>
      </c>
      <c r="H90" s="52"/>
      <c r="I90" s="52"/>
      <c r="J90" s="52">
        <v>2.2000000000000002</v>
      </c>
    </row>
    <row r="91" spans="1:10" x14ac:dyDescent="0.25">
      <c r="A91" s="54">
        <v>2013</v>
      </c>
      <c r="B91" s="52">
        <v>138</v>
      </c>
      <c r="C91" s="52">
        <v>58.49</v>
      </c>
      <c r="D91" s="55">
        <v>1.05</v>
      </c>
      <c r="E91" s="52">
        <v>0.91</v>
      </c>
      <c r="F91" s="52">
        <v>154</v>
      </c>
      <c r="G91" s="52"/>
      <c r="H91" s="52"/>
      <c r="I91" s="52"/>
      <c r="J91" s="52">
        <v>2.11</v>
      </c>
    </row>
    <row r="92" spans="1:10" x14ac:dyDescent="0.25">
      <c r="A92" s="54">
        <v>2014</v>
      </c>
      <c r="B92" s="52">
        <v>139</v>
      </c>
      <c r="C92" s="56">
        <v>60.510000000000005</v>
      </c>
      <c r="D92" s="55">
        <v>0.86</v>
      </c>
      <c r="E92" s="52"/>
      <c r="I92" s="52"/>
      <c r="J92" s="52">
        <v>1.88</v>
      </c>
    </row>
    <row r="93" spans="1:10" x14ac:dyDescent="0.25">
      <c r="A93" s="54">
        <v>2015</v>
      </c>
      <c r="B93" s="52">
        <v>163</v>
      </c>
      <c r="C93" s="52">
        <v>62.53</v>
      </c>
      <c r="F93" s="52"/>
      <c r="G93" s="52"/>
      <c r="H93" s="52"/>
    </row>
    <row r="94" spans="1:10" x14ac:dyDescent="0.25">
      <c r="A94" s="54">
        <v>2016</v>
      </c>
      <c r="B94" s="52">
        <v>133</v>
      </c>
      <c r="C94" s="52"/>
      <c r="D94" s="52"/>
      <c r="E94" s="52"/>
      <c r="I94" s="52"/>
      <c r="J94" s="52"/>
    </row>
    <row r="96" spans="1:10" x14ac:dyDescent="0.25">
      <c r="A96" s="52"/>
      <c r="B96" s="52" t="s">
        <v>205</v>
      </c>
      <c r="C96" s="52"/>
    </row>
  </sheetData>
  <mergeCells count="3">
    <mergeCell ref="B81:C81"/>
    <mergeCell ref="D79:E79"/>
    <mergeCell ref="F78:G7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156"/>
  <sheetViews>
    <sheetView zoomScaleNormal="100" workbookViewId="0">
      <pane xSplit="3" ySplit="7" topLeftCell="D8" activePane="bottomRight" state="frozen"/>
      <selection activeCell="A2" sqref="A2"/>
      <selection pane="topRight" activeCell="A2" sqref="A2"/>
      <selection pane="bottomLeft" activeCell="A2" sqref="A2"/>
      <selection pane="bottomRight" activeCell="E15" sqref="E15:I16"/>
    </sheetView>
  </sheetViews>
  <sheetFormatPr defaultColWidth="9.140625" defaultRowHeight="15" x14ac:dyDescent="0.25"/>
  <cols>
    <col min="1" max="1" width="4.28515625" style="2" hidden="1" customWidth="1"/>
    <col min="2" max="2" width="15.28515625" style="2" customWidth="1"/>
    <col min="3" max="3" width="55.28515625" style="2" customWidth="1"/>
    <col min="4" max="4" width="35.42578125" style="2" bestFit="1" customWidth="1"/>
    <col min="5" max="9" width="14.140625" style="2" customWidth="1"/>
    <col min="10" max="16384" width="9.140625" style="2"/>
  </cols>
  <sheetData>
    <row r="1" spans="1:9" ht="26.25" x14ac:dyDescent="0.4">
      <c r="B1" s="1" t="s">
        <v>165</v>
      </c>
      <c r="E1" s="3"/>
    </row>
    <row r="2" spans="1:9" ht="15.75" thickBot="1" x14ac:dyDescent="0.3">
      <c r="E2" s="4"/>
      <c r="F2" s="4"/>
      <c r="G2" s="4"/>
      <c r="H2" s="4"/>
      <c r="I2" s="4"/>
    </row>
    <row r="3" spans="1:9" ht="15.75" thickBot="1" x14ac:dyDescent="0.3">
      <c r="B3" s="26" t="s">
        <v>171</v>
      </c>
      <c r="E3" s="38"/>
      <c r="F3" s="35"/>
      <c r="G3" s="36"/>
      <c r="H3" s="37"/>
      <c r="I3" s="34"/>
    </row>
    <row r="4" spans="1:9" x14ac:dyDescent="0.25">
      <c r="C4" s="5" t="s">
        <v>42</v>
      </c>
      <c r="D4" s="48"/>
      <c r="E4" s="10">
        <v>405000000</v>
      </c>
      <c r="F4" s="11">
        <v>405000000</v>
      </c>
      <c r="G4" s="12">
        <v>405000000</v>
      </c>
      <c r="H4" s="13">
        <v>405000000</v>
      </c>
      <c r="I4" s="19">
        <v>405000000</v>
      </c>
    </row>
    <row r="5" spans="1:9" ht="15" customHeight="1" x14ac:dyDescent="0.25">
      <c r="C5" s="5" t="s">
        <v>22</v>
      </c>
      <c r="D5" s="48"/>
      <c r="E5" s="6">
        <f>SUM(FiveYearPlan_2020[2020 Approved])</f>
        <v>405000000</v>
      </c>
      <c r="F5" s="7">
        <f>SUM(FiveYearPlan_2020[2021 Approved])</f>
        <v>405000000</v>
      </c>
      <c r="G5" s="8">
        <f>SUM(FiveYearPlan_2020[2022 Approved])</f>
        <v>405000000</v>
      </c>
      <c r="H5" s="9">
        <f>SUM(FiveYearPlan_2020[2023 Approved])</f>
        <v>405000000</v>
      </c>
      <c r="I5" s="20">
        <f>SUM(FiveYearPlan_2020[2024 Approved])</f>
        <v>405000000</v>
      </c>
    </row>
    <row r="6" spans="1:9" x14ac:dyDescent="0.25">
      <c r="C6" s="5" t="s">
        <v>131</v>
      </c>
      <c r="D6" s="48"/>
      <c r="E6" s="22">
        <f>E4-E5</f>
        <v>0</v>
      </c>
      <c r="F6" s="23">
        <f>F4-F5</f>
        <v>0</v>
      </c>
      <c r="G6" s="24">
        <f>G4-G5</f>
        <v>0</v>
      </c>
      <c r="H6" s="17">
        <f>H4-H5</f>
        <v>0</v>
      </c>
      <c r="I6" s="25">
        <f>I4-I5</f>
        <v>0</v>
      </c>
    </row>
    <row r="7" spans="1:9" ht="30.75" thickBot="1" x14ac:dyDescent="0.3">
      <c r="A7" s="2">
        <v>0</v>
      </c>
      <c r="B7" s="28" t="s">
        <v>21</v>
      </c>
      <c r="C7" s="28" t="s">
        <v>23</v>
      </c>
      <c r="D7" s="28" t="s">
        <v>158</v>
      </c>
      <c r="E7" s="29" t="s">
        <v>166</v>
      </c>
      <c r="F7" s="30" t="s">
        <v>167</v>
      </c>
      <c r="G7" s="31" t="s">
        <v>168</v>
      </c>
      <c r="H7" s="32" t="s">
        <v>169</v>
      </c>
      <c r="I7" s="33" t="s">
        <v>170</v>
      </c>
    </row>
    <row r="8" spans="1:9" hidden="1" x14ac:dyDescent="0.25">
      <c r="A8" s="2">
        <f t="shared" ref="A8:A14" si="0">A7+1</f>
        <v>1</v>
      </c>
      <c r="B8" s="2" t="s">
        <v>19</v>
      </c>
      <c r="C8" s="39" t="s">
        <v>133</v>
      </c>
      <c r="D8" s="39" t="s">
        <v>159</v>
      </c>
      <c r="E8" s="14">
        <v>19500000</v>
      </c>
      <c r="F8" s="15">
        <v>12500000</v>
      </c>
      <c r="G8" s="16">
        <v>160000</v>
      </c>
      <c r="H8" s="18">
        <v>0</v>
      </c>
      <c r="I8" s="21">
        <v>0</v>
      </c>
    </row>
    <row r="9" spans="1:9" hidden="1" x14ac:dyDescent="0.25">
      <c r="A9" s="2">
        <f t="shared" si="0"/>
        <v>2</v>
      </c>
      <c r="B9" s="2" t="s">
        <v>19</v>
      </c>
      <c r="C9" s="39" t="s">
        <v>2</v>
      </c>
      <c r="D9" s="39" t="s">
        <v>159</v>
      </c>
      <c r="E9" s="14">
        <v>3068027</v>
      </c>
      <c r="F9" s="15">
        <v>4418068</v>
      </c>
      <c r="G9" s="16">
        <v>5119610</v>
      </c>
      <c r="H9" s="18">
        <v>4222698</v>
      </c>
      <c r="I9" s="21">
        <v>4277379</v>
      </c>
    </row>
    <row r="10" spans="1:9" hidden="1" x14ac:dyDescent="0.25">
      <c r="A10" s="2">
        <f t="shared" si="0"/>
        <v>3</v>
      </c>
      <c r="B10" s="2" t="s">
        <v>19</v>
      </c>
      <c r="C10" s="39" t="s">
        <v>6</v>
      </c>
      <c r="D10" s="39" t="s">
        <v>159</v>
      </c>
      <c r="E10" s="14">
        <v>450000</v>
      </c>
      <c r="F10" s="15">
        <v>450000</v>
      </c>
      <c r="G10" s="16">
        <v>450000</v>
      </c>
      <c r="H10" s="18">
        <v>450000</v>
      </c>
      <c r="I10" s="21">
        <v>450000</v>
      </c>
    </row>
    <row r="11" spans="1:9" hidden="1" x14ac:dyDescent="0.25">
      <c r="A11" s="2">
        <f t="shared" si="0"/>
        <v>4</v>
      </c>
      <c r="B11" s="2" t="s">
        <v>19</v>
      </c>
      <c r="C11" s="39" t="s">
        <v>8</v>
      </c>
      <c r="D11" s="39" t="s">
        <v>159</v>
      </c>
      <c r="E11" s="14">
        <v>50000</v>
      </c>
      <c r="F11" s="15">
        <v>50000</v>
      </c>
      <c r="G11" s="16">
        <v>50000</v>
      </c>
      <c r="H11" s="18">
        <v>50000</v>
      </c>
      <c r="I11" s="21">
        <v>50000</v>
      </c>
    </row>
    <row r="12" spans="1:9" hidden="1" x14ac:dyDescent="0.25">
      <c r="A12" s="2">
        <f t="shared" si="0"/>
        <v>5</v>
      </c>
      <c r="B12" s="2" t="s">
        <v>19</v>
      </c>
      <c r="C12" s="39" t="s">
        <v>12</v>
      </c>
      <c r="D12" s="39" t="s">
        <v>159</v>
      </c>
      <c r="E12" s="14">
        <v>1068600</v>
      </c>
      <c r="F12" s="15">
        <v>805000</v>
      </c>
      <c r="G12" s="16">
        <v>317300</v>
      </c>
      <c r="H12" s="18">
        <v>560000</v>
      </c>
      <c r="I12" s="21">
        <v>317300</v>
      </c>
    </row>
    <row r="13" spans="1:9" x14ac:dyDescent="0.25">
      <c r="A13" s="2">
        <f t="shared" si="0"/>
        <v>6</v>
      </c>
      <c r="B13" s="2" t="s">
        <v>17</v>
      </c>
      <c r="C13" s="39" t="s">
        <v>45</v>
      </c>
      <c r="D13" s="39" t="s">
        <v>160</v>
      </c>
      <c r="E13" s="14">
        <v>2100000</v>
      </c>
      <c r="F13" s="15">
        <v>1800000</v>
      </c>
      <c r="G13" s="16">
        <v>1800000</v>
      </c>
      <c r="H13" s="18">
        <v>0</v>
      </c>
      <c r="I13" s="21">
        <v>0</v>
      </c>
    </row>
    <row r="14" spans="1:9" hidden="1" x14ac:dyDescent="0.25">
      <c r="A14" s="2">
        <f t="shared" si="0"/>
        <v>7</v>
      </c>
      <c r="B14" s="2" t="s">
        <v>17</v>
      </c>
      <c r="C14" s="39" t="s">
        <v>155</v>
      </c>
      <c r="D14" s="39" t="s">
        <v>161</v>
      </c>
      <c r="E14" s="14">
        <v>440000</v>
      </c>
      <c r="F14" s="15">
        <v>440000</v>
      </c>
      <c r="G14" s="16">
        <v>440000</v>
      </c>
      <c r="H14" s="18">
        <v>440000</v>
      </c>
      <c r="I14" s="21">
        <v>440000</v>
      </c>
    </row>
    <row r="15" spans="1:9" hidden="1" x14ac:dyDescent="0.25">
      <c r="B15" s="79" t="s">
        <v>17</v>
      </c>
      <c r="C15" s="39" t="s">
        <v>252</v>
      </c>
      <c r="D15" s="39" t="s">
        <v>162</v>
      </c>
      <c r="E15" s="14">
        <v>7245000</v>
      </c>
      <c r="F15" s="15">
        <v>9050000</v>
      </c>
      <c r="G15" s="16">
        <v>9050000</v>
      </c>
      <c r="H15" s="18">
        <v>9050000</v>
      </c>
      <c r="I15" s="21">
        <v>8800000</v>
      </c>
    </row>
    <row r="16" spans="1:9" hidden="1" x14ac:dyDescent="0.25">
      <c r="B16" s="79" t="s">
        <v>17</v>
      </c>
      <c r="C16" s="39" t="s">
        <v>253</v>
      </c>
      <c r="D16" s="39" t="s">
        <v>162</v>
      </c>
      <c r="E16" s="14">
        <v>2300000</v>
      </c>
      <c r="F16" s="15">
        <v>2000000</v>
      </c>
      <c r="G16" s="16">
        <v>2000000</v>
      </c>
      <c r="H16" s="18">
        <v>2000000</v>
      </c>
      <c r="I16" s="21">
        <v>2000000</v>
      </c>
    </row>
    <row r="17" spans="1:9" hidden="1" x14ac:dyDescent="0.25">
      <c r="A17" s="2" t="e">
        <f>'9 Service Quality'!#REF!+1</f>
        <v>#REF!</v>
      </c>
      <c r="B17" s="2" t="s">
        <v>17</v>
      </c>
      <c r="C17" s="39" t="s">
        <v>99</v>
      </c>
      <c r="D17" s="39" t="s">
        <v>161</v>
      </c>
      <c r="E17" s="14">
        <v>1692000</v>
      </c>
      <c r="F17" s="15">
        <v>2192000</v>
      </c>
      <c r="G17" s="16">
        <v>1692000</v>
      </c>
      <c r="H17" s="18">
        <v>1692000</v>
      </c>
      <c r="I17" s="21">
        <v>1692000</v>
      </c>
    </row>
    <row r="18" spans="1:9" hidden="1" x14ac:dyDescent="0.25">
      <c r="A18" s="2" t="e">
        <f t="shared" ref="A18:A49" si="1">A17+1</f>
        <v>#REF!</v>
      </c>
      <c r="B18" s="2" t="s">
        <v>17</v>
      </c>
      <c r="C18" s="39" t="s">
        <v>96</v>
      </c>
      <c r="D18" s="39" t="s">
        <v>161</v>
      </c>
      <c r="E18" s="14">
        <v>2053302</v>
      </c>
      <c r="F18" s="15">
        <v>2296379</v>
      </c>
      <c r="G18" s="16">
        <v>2772216</v>
      </c>
      <c r="H18" s="18">
        <v>2583537</v>
      </c>
      <c r="I18" s="21">
        <v>2583537</v>
      </c>
    </row>
    <row r="19" spans="1:9" hidden="1" x14ac:dyDescent="0.25">
      <c r="A19" s="2" t="e">
        <f t="shared" si="1"/>
        <v>#REF!</v>
      </c>
      <c r="B19" s="2" t="s">
        <v>17</v>
      </c>
      <c r="C19" s="39" t="s">
        <v>100</v>
      </c>
      <c r="D19" s="39" t="s">
        <v>161</v>
      </c>
      <c r="E19" s="14">
        <v>3780000</v>
      </c>
      <c r="F19" s="15">
        <v>4480000</v>
      </c>
      <c r="G19" s="16">
        <v>4480000</v>
      </c>
      <c r="H19" s="18">
        <v>4480000</v>
      </c>
      <c r="I19" s="21">
        <v>4480000</v>
      </c>
    </row>
    <row r="20" spans="1:9" x14ac:dyDescent="0.25">
      <c r="A20" s="2" t="e">
        <f t="shared" si="1"/>
        <v>#REF!</v>
      </c>
      <c r="B20" s="2" t="s">
        <v>17</v>
      </c>
      <c r="C20" s="39" t="s">
        <v>93</v>
      </c>
      <c r="D20" s="39" t="s">
        <v>160</v>
      </c>
      <c r="E20" s="14">
        <v>450000</v>
      </c>
      <c r="F20" s="15">
        <v>450000</v>
      </c>
      <c r="G20" s="16">
        <v>1225000</v>
      </c>
      <c r="H20" s="18">
        <v>1225000</v>
      </c>
      <c r="I20" s="21">
        <v>1225000</v>
      </c>
    </row>
    <row r="21" spans="1:9" hidden="1" x14ac:dyDescent="0.25">
      <c r="A21" s="2" t="e">
        <f t="shared" si="1"/>
        <v>#REF!</v>
      </c>
      <c r="B21" s="2" t="s">
        <v>17</v>
      </c>
      <c r="C21" s="39" t="s">
        <v>92</v>
      </c>
      <c r="D21" s="39" t="s">
        <v>161</v>
      </c>
      <c r="E21" s="14">
        <v>2575000</v>
      </c>
      <c r="F21" s="15">
        <v>2575000</v>
      </c>
      <c r="G21" s="16">
        <v>2450000</v>
      </c>
      <c r="H21" s="18">
        <v>2450000</v>
      </c>
      <c r="I21" s="21">
        <v>2450000</v>
      </c>
    </row>
    <row r="22" spans="1:9" hidden="1" x14ac:dyDescent="0.25">
      <c r="A22" s="2" t="e">
        <f t="shared" si="1"/>
        <v>#REF!</v>
      </c>
      <c r="B22" s="2" t="s">
        <v>17</v>
      </c>
      <c r="C22" s="39" t="s">
        <v>89</v>
      </c>
      <c r="D22" s="39" t="s">
        <v>161</v>
      </c>
      <c r="E22" s="14">
        <v>1100000</v>
      </c>
      <c r="F22" s="15">
        <v>1634000</v>
      </c>
      <c r="G22" s="16">
        <v>1634000</v>
      </c>
      <c r="H22" s="18">
        <v>1800000</v>
      </c>
      <c r="I22" s="21">
        <v>1800000</v>
      </c>
    </row>
    <row r="23" spans="1:9" hidden="1" x14ac:dyDescent="0.25">
      <c r="A23" s="2" t="e">
        <f t="shared" si="1"/>
        <v>#REF!</v>
      </c>
      <c r="B23" s="2" t="s">
        <v>17</v>
      </c>
      <c r="C23" s="39" t="s">
        <v>97</v>
      </c>
      <c r="D23" s="39" t="s">
        <v>161</v>
      </c>
      <c r="E23" s="14">
        <v>6521561</v>
      </c>
      <c r="F23" s="15">
        <v>7432896</v>
      </c>
      <c r="G23" s="16">
        <v>6932896</v>
      </c>
      <c r="H23" s="18">
        <v>7000000</v>
      </c>
      <c r="I23" s="21">
        <v>7000000</v>
      </c>
    </row>
    <row r="24" spans="1:9" hidden="1" x14ac:dyDescent="0.25">
      <c r="A24" s="2" t="e">
        <f t="shared" si="1"/>
        <v>#REF!</v>
      </c>
      <c r="B24" s="2" t="s">
        <v>17</v>
      </c>
      <c r="C24" s="39" t="s">
        <v>102</v>
      </c>
      <c r="D24" s="39" t="s">
        <v>161</v>
      </c>
      <c r="E24" s="14">
        <v>2020000</v>
      </c>
      <c r="F24" s="15">
        <v>2520000</v>
      </c>
      <c r="G24" s="16">
        <v>2020000</v>
      </c>
      <c r="H24" s="18">
        <v>2848041</v>
      </c>
      <c r="I24" s="21">
        <v>2848041</v>
      </c>
    </row>
    <row r="25" spans="1:9" hidden="1" x14ac:dyDescent="0.25">
      <c r="A25" s="2" t="e">
        <f t="shared" si="1"/>
        <v>#REF!</v>
      </c>
      <c r="B25" s="2" t="s">
        <v>17</v>
      </c>
      <c r="C25" s="39" t="s">
        <v>118</v>
      </c>
      <c r="D25" s="39" t="s">
        <v>161</v>
      </c>
      <c r="E25" s="14">
        <v>1368000</v>
      </c>
      <c r="F25" s="15">
        <v>1820000</v>
      </c>
      <c r="G25" s="16">
        <v>1520000</v>
      </c>
      <c r="H25" s="18">
        <v>1820000</v>
      </c>
      <c r="I25" s="21">
        <v>1820000</v>
      </c>
    </row>
    <row r="26" spans="1:9" hidden="1" x14ac:dyDescent="0.25">
      <c r="A26" s="2" t="e">
        <f t="shared" si="1"/>
        <v>#REF!</v>
      </c>
      <c r="B26" s="2" t="s">
        <v>17</v>
      </c>
      <c r="C26" s="39" t="s">
        <v>98</v>
      </c>
      <c r="D26" s="39" t="s">
        <v>161</v>
      </c>
      <c r="E26" s="14">
        <v>900000</v>
      </c>
      <c r="F26" s="15">
        <v>900000</v>
      </c>
      <c r="G26" s="16">
        <v>900000</v>
      </c>
      <c r="H26" s="18">
        <v>1000000</v>
      </c>
      <c r="I26" s="21">
        <v>1000000</v>
      </c>
    </row>
    <row r="27" spans="1:9" hidden="1" x14ac:dyDescent="0.25">
      <c r="A27" s="2" t="e">
        <f t="shared" si="1"/>
        <v>#REF!</v>
      </c>
      <c r="B27" s="2" t="s">
        <v>17</v>
      </c>
      <c r="C27" s="39" t="s">
        <v>91</v>
      </c>
      <c r="D27" s="39" t="s">
        <v>161</v>
      </c>
      <c r="E27" s="14">
        <v>1664400</v>
      </c>
      <c r="F27" s="15">
        <v>1752000</v>
      </c>
      <c r="G27" s="16">
        <v>1752000</v>
      </c>
      <c r="H27" s="18">
        <v>2400000</v>
      </c>
      <c r="I27" s="21">
        <v>2400000</v>
      </c>
    </row>
    <row r="28" spans="1:9" hidden="1" x14ac:dyDescent="0.25">
      <c r="A28" s="2" t="e">
        <f t="shared" si="1"/>
        <v>#REF!</v>
      </c>
      <c r="B28" s="2" t="s">
        <v>17</v>
      </c>
      <c r="C28" s="39" t="s">
        <v>120</v>
      </c>
      <c r="D28" s="39" t="s">
        <v>161</v>
      </c>
      <c r="E28" s="14">
        <v>150000</v>
      </c>
      <c r="F28" s="15">
        <v>270000</v>
      </c>
      <c r="G28" s="16">
        <v>270000</v>
      </c>
      <c r="H28" s="18">
        <v>300000</v>
      </c>
      <c r="I28" s="21">
        <v>300000</v>
      </c>
    </row>
    <row r="29" spans="1:9" hidden="1" x14ac:dyDescent="0.25">
      <c r="A29" s="2" t="e">
        <f t="shared" si="1"/>
        <v>#REF!</v>
      </c>
      <c r="B29" s="2" t="s">
        <v>17</v>
      </c>
      <c r="C29" s="39" t="s">
        <v>95</v>
      </c>
      <c r="D29" s="39" t="s">
        <v>161</v>
      </c>
      <c r="E29" s="14">
        <v>1000000</v>
      </c>
      <c r="F29" s="15">
        <v>3000000</v>
      </c>
      <c r="G29" s="16">
        <v>3000000</v>
      </c>
      <c r="H29" s="18">
        <v>2500000</v>
      </c>
      <c r="I29" s="21">
        <v>0</v>
      </c>
    </row>
    <row r="30" spans="1:9" hidden="1" x14ac:dyDescent="0.25">
      <c r="A30" s="2" t="e">
        <f t="shared" si="1"/>
        <v>#REF!</v>
      </c>
      <c r="B30" s="2" t="s">
        <v>17</v>
      </c>
      <c r="C30" s="39" t="s">
        <v>87</v>
      </c>
      <c r="D30" s="39" t="s">
        <v>161</v>
      </c>
      <c r="E30" s="14">
        <v>750000</v>
      </c>
      <c r="F30" s="15">
        <v>1450000</v>
      </c>
      <c r="G30" s="16">
        <v>1350000</v>
      </c>
      <c r="H30" s="18">
        <v>1350000</v>
      </c>
      <c r="I30" s="21">
        <v>1350000</v>
      </c>
    </row>
    <row r="31" spans="1:9" hidden="1" x14ac:dyDescent="0.25">
      <c r="A31" s="2" t="e">
        <f t="shared" si="1"/>
        <v>#REF!</v>
      </c>
      <c r="B31" s="2" t="s">
        <v>17</v>
      </c>
      <c r="C31" s="39" t="s">
        <v>44</v>
      </c>
      <c r="D31" s="39" t="s">
        <v>159</v>
      </c>
      <c r="E31" s="14">
        <v>800000</v>
      </c>
      <c r="F31" s="15">
        <v>800000</v>
      </c>
      <c r="G31" s="16">
        <v>200000</v>
      </c>
      <c r="H31" s="18">
        <v>200000</v>
      </c>
      <c r="I31" s="21">
        <v>0</v>
      </c>
    </row>
    <row r="32" spans="1:9" hidden="1" x14ac:dyDescent="0.25">
      <c r="A32" s="2" t="e">
        <f t="shared" si="1"/>
        <v>#REF!</v>
      </c>
      <c r="B32" s="2" t="s">
        <v>17</v>
      </c>
      <c r="C32" s="39" t="s">
        <v>90</v>
      </c>
      <c r="D32" s="39" t="s">
        <v>161</v>
      </c>
      <c r="E32" s="14">
        <v>600000</v>
      </c>
      <c r="F32" s="15">
        <v>1425000</v>
      </c>
      <c r="G32" s="16">
        <v>1493000</v>
      </c>
      <c r="H32" s="18">
        <v>1218000</v>
      </c>
      <c r="I32" s="21">
        <v>1330000</v>
      </c>
    </row>
    <row r="33" spans="1:9" hidden="1" x14ac:dyDescent="0.25">
      <c r="A33" s="2" t="e">
        <f t="shared" si="1"/>
        <v>#REF!</v>
      </c>
      <c r="B33" s="2" t="s">
        <v>17</v>
      </c>
      <c r="C33" s="39" t="s">
        <v>101</v>
      </c>
      <c r="D33" s="39" t="s">
        <v>161</v>
      </c>
      <c r="E33" s="14">
        <v>2500000</v>
      </c>
      <c r="F33" s="15">
        <v>3500000</v>
      </c>
      <c r="G33" s="16">
        <v>5249809</v>
      </c>
      <c r="H33" s="18">
        <v>5260000</v>
      </c>
      <c r="I33" s="21">
        <v>5250000</v>
      </c>
    </row>
    <row r="34" spans="1:9" hidden="1" x14ac:dyDescent="0.25">
      <c r="A34" s="2" t="e">
        <f t="shared" si="1"/>
        <v>#REF!</v>
      </c>
      <c r="B34" s="2" t="s">
        <v>17</v>
      </c>
      <c r="C34" s="39" t="s">
        <v>88</v>
      </c>
      <c r="D34" s="39" t="s">
        <v>161</v>
      </c>
      <c r="E34" s="14">
        <v>279000</v>
      </c>
      <c r="F34" s="15">
        <v>500000</v>
      </c>
      <c r="G34" s="16">
        <v>400000</v>
      </c>
      <c r="H34" s="18">
        <v>350000</v>
      </c>
      <c r="I34" s="21">
        <v>450000</v>
      </c>
    </row>
    <row r="35" spans="1:9" ht="30" x14ac:dyDescent="0.25">
      <c r="A35" s="2" t="e">
        <f t="shared" si="1"/>
        <v>#REF!</v>
      </c>
      <c r="B35" s="2" t="s">
        <v>17</v>
      </c>
      <c r="C35" s="39" t="s">
        <v>81</v>
      </c>
      <c r="D35" s="39" t="s">
        <v>160</v>
      </c>
      <c r="E35" s="14">
        <v>0</v>
      </c>
      <c r="F35" s="15">
        <v>0</v>
      </c>
      <c r="G35" s="16">
        <v>6500000</v>
      </c>
      <c r="H35" s="18">
        <v>5000000</v>
      </c>
      <c r="I35" s="21">
        <v>5000000</v>
      </c>
    </row>
    <row r="36" spans="1:9" hidden="1" x14ac:dyDescent="0.25">
      <c r="A36" s="2" t="e">
        <f t="shared" si="1"/>
        <v>#REF!</v>
      </c>
      <c r="B36" s="2" t="s">
        <v>17</v>
      </c>
      <c r="C36" s="39" t="s">
        <v>134</v>
      </c>
      <c r="D36" s="39" t="s">
        <v>163</v>
      </c>
      <c r="E36" s="14">
        <v>306200</v>
      </c>
      <c r="F36" s="15">
        <v>618000</v>
      </c>
      <c r="G36" s="16">
        <v>556200</v>
      </c>
      <c r="H36" s="18">
        <v>618000</v>
      </c>
      <c r="I36" s="21">
        <v>618000</v>
      </c>
    </row>
    <row r="37" spans="1:9" hidden="1" x14ac:dyDescent="0.25">
      <c r="A37" s="2" t="e">
        <f t="shared" si="1"/>
        <v>#REF!</v>
      </c>
      <c r="B37" s="2" t="s">
        <v>15</v>
      </c>
      <c r="C37" s="39" t="s">
        <v>138</v>
      </c>
      <c r="D37" s="39" t="s">
        <v>161</v>
      </c>
      <c r="E37" s="14">
        <v>50000</v>
      </c>
      <c r="F37" s="15">
        <v>1950000</v>
      </c>
      <c r="G37" s="16">
        <v>0</v>
      </c>
      <c r="H37" s="18">
        <v>0</v>
      </c>
      <c r="I37" s="21">
        <v>0</v>
      </c>
    </row>
    <row r="38" spans="1:9" hidden="1" x14ac:dyDescent="0.25">
      <c r="A38" s="2" t="e">
        <f t="shared" si="1"/>
        <v>#REF!</v>
      </c>
      <c r="B38" s="2" t="s">
        <v>15</v>
      </c>
      <c r="C38" s="39" t="s">
        <v>25</v>
      </c>
      <c r="D38" s="39" t="s">
        <v>159</v>
      </c>
      <c r="E38" s="14">
        <v>715000</v>
      </c>
      <c r="F38" s="15">
        <v>715000</v>
      </c>
      <c r="G38" s="16">
        <v>715000</v>
      </c>
      <c r="H38" s="18">
        <v>700000</v>
      </c>
      <c r="I38" s="21">
        <v>700000</v>
      </c>
    </row>
    <row r="39" spans="1:9" hidden="1" x14ac:dyDescent="0.25">
      <c r="A39" s="2" t="e">
        <f t="shared" si="1"/>
        <v>#REF!</v>
      </c>
      <c r="B39" s="2" t="s">
        <v>15</v>
      </c>
      <c r="C39" s="39" t="s">
        <v>39</v>
      </c>
      <c r="D39" s="39" t="s">
        <v>161</v>
      </c>
      <c r="E39" s="14">
        <v>4710000</v>
      </c>
      <c r="F39" s="15">
        <v>3100000</v>
      </c>
      <c r="G39" s="16">
        <v>0</v>
      </c>
      <c r="H39" s="18">
        <v>0</v>
      </c>
      <c r="I39" s="21">
        <v>0</v>
      </c>
    </row>
    <row r="40" spans="1:9" x14ac:dyDescent="0.25">
      <c r="A40" s="2" t="e">
        <f t="shared" si="1"/>
        <v>#REF!</v>
      </c>
      <c r="B40" s="2" t="s">
        <v>15</v>
      </c>
      <c r="C40" s="39" t="s">
        <v>26</v>
      </c>
      <c r="D40" s="39" t="s">
        <v>160</v>
      </c>
      <c r="E40" s="14">
        <v>1000000</v>
      </c>
      <c r="F40" s="15">
        <v>1000000</v>
      </c>
      <c r="G40" s="16">
        <v>1000000</v>
      </c>
      <c r="H40" s="18">
        <v>1000000</v>
      </c>
      <c r="I40" s="21">
        <v>1000000</v>
      </c>
    </row>
    <row r="41" spans="1:9" x14ac:dyDescent="0.25">
      <c r="A41" s="2" t="e">
        <f t="shared" si="1"/>
        <v>#REF!</v>
      </c>
      <c r="B41" s="2" t="s">
        <v>15</v>
      </c>
      <c r="C41" s="39" t="s">
        <v>27</v>
      </c>
      <c r="D41" s="39" t="s">
        <v>160</v>
      </c>
      <c r="E41" s="14">
        <v>200000</v>
      </c>
      <c r="F41" s="15">
        <v>200000</v>
      </c>
      <c r="G41" s="16">
        <v>210000</v>
      </c>
      <c r="H41" s="18">
        <v>220000</v>
      </c>
      <c r="I41" s="21">
        <v>230000</v>
      </c>
    </row>
    <row r="42" spans="1:9" ht="30" hidden="1" x14ac:dyDescent="0.25">
      <c r="A42" s="2" t="e">
        <f t="shared" si="1"/>
        <v>#REF!</v>
      </c>
      <c r="B42" s="2" t="s">
        <v>15</v>
      </c>
      <c r="C42" s="39" t="s">
        <v>47</v>
      </c>
      <c r="D42" s="39" t="s">
        <v>159</v>
      </c>
      <c r="E42" s="14">
        <v>23318892</v>
      </c>
      <c r="F42" s="15">
        <v>24043892</v>
      </c>
      <c r="G42" s="16">
        <v>24624816</v>
      </c>
      <c r="H42" s="18">
        <v>25218645</v>
      </c>
      <c r="I42" s="21">
        <v>25825648</v>
      </c>
    </row>
    <row r="43" spans="1:9" hidden="1" x14ac:dyDescent="0.25">
      <c r="A43" s="2" t="e">
        <f t="shared" si="1"/>
        <v>#REF!</v>
      </c>
      <c r="B43" s="2" t="s">
        <v>15</v>
      </c>
      <c r="C43" s="39" t="s">
        <v>28</v>
      </c>
      <c r="D43" s="39" t="s">
        <v>159</v>
      </c>
      <c r="E43" s="14">
        <v>1400000</v>
      </c>
      <c r="F43" s="15">
        <v>1400000</v>
      </c>
      <c r="G43" s="16">
        <v>1600000</v>
      </c>
      <c r="H43" s="18">
        <v>1600000</v>
      </c>
      <c r="I43" s="21">
        <v>1600000</v>
      </c>
    </row>
    <row r="44" spans="1:9" hidden="1" x14ac:dyDescent="0.25">
      <c r="A44" s="2" t="e">
        <f t="shared" si="1"/>
        <v>#REF!</v>
      </c>
      <c r="B44" s="2" t="s">
        <v>15</v>
      </c>
      <c r="C44" s="39" t="s">
        <v>7</v>
      </c>
      <c r="D44" s="39" t="s">
        <v>163</v>
      </c>
      <c r="E44" s="14">
        <v>8000000</v>
      </c>
      <c r="F44" s="15">
        <v>8000000</v>
      </c>
      <c r="G44" s="16">
        <v>8000000</v>
      </c>
      <c r="H44" s="18">
        <v>8000000</v>
      </c>
      <c r="I44" s="21">
        <v>8000000</v>
      </c>
    </row>
    <row r="45" spans="1:9" hidden="1" x14ac:dyDescent="0.25">
      <c r="A45" s="2" t="e">
        <f t="shared" si="1"/>
        <v>#REF!</v>
      </c>
      <c r="B45" s="2" t="s">
        <v>15</v>
      </c>
      <c r="C45" s="39" t="s">
        <v>29</v>
      </c>
      <c r="D45" s="39" t="s">
        <v>159</v>
      </c>
      <c r="E45" s="14">
        <v>400000</v>
      </c>
      <c r="F45" s="15">
        <v>400000</v>
      </c>
      <c r="G45" s="16">
        <v>400000</v>
      </c>
      <c r="H45" s="18">
        <v>250000</v>
      </c>
      <c r="I45" s="21">
        <v>0</v>
      </c>
    </row>
    <row r="46" spans="1:9" hidden="1" x14ac:dyDescent="0.25">
      <c r="A46" s="2" t="e">
        <f t="shared" si="1"/>
        <v>#REF!</v>
      </c>
      <c r="B46" s="2" t="s">
        <v>15</v>
      </c>
      <c r="C46" s="39" t="s">
        <v>30</v>
      </c>
      <c r="D46" s="39" t="s">
        <v>159</v>
      </c>
      <c r="E46" s="14">
        <v>1400000</v>
      </c>
      <c r="F46" s="15">
        <v>1200000</v>
      </c>
      <c r="G46" s="16">
        <v>1300000</v>
      </c>
      <c r="H46" s="18">
        <v>1300000</v>
      </c>
      <c r="I46" s="21">
        <v>1300000</v>
      </c>
    </row>
    <row r="47" spans="1:9" hidden="1" x14ac:dyDescent="0.25">
      <c r="A47" s="2" t="e">
        <f t="shared" si="1"/>
        <v>#REF!</v>
      </c>
      <c r="B47" s="2" t="s">
        <v>15</v>
      </c>
      <c r="C47" s="39" t="s">
        <v>82</v>
      </c>
      <c r="D47" s="39" t="s">
        <v>161</v>
      </c>
      <c r="E47" s="14">
        <v>0</v>
      </c>
      <c r="F47" s="15">
        <v>0</v>
      </c>
      <c r="G47" s="16">
        <v>100000</v>
      </c>
      <c r="H47" s="18">
        <v>2400000</v>
      </c>
      <c r="I47" s="21">
        <v>0</v>
      </c>
    </row>
    <row r="48" spans="1:9" x14ac:dyDescent="0.25">
      <c r="A48" s="2" t="e">
        <f t="shared" si="1"/>
        <v>#REF!</v>
      </c>
      <c r="B48" s="2" t="s">
        <v>15</v>
      </c>
      <c r="C48" s="39" t="s">
        <v>48</v>
      </c>
      <c r="D48" s="39" t="s">
        <v>160</v>
      </c>
      <c r="E48" s="14">
        <v>800000</v>
      </c>
      <c r="F48" s="15">
        <v>1000000</v>
      </c>
      <c r="G48" s="16">
        <v>1000000</v>
      </c>
      <c r="H48" s="18">
        <v>1000000</v>
      </c>
      <c r="I48" s="21">
        <v>1000000</v>
      </c>
    </row>
    <row r="49" spans="1:9" hidden="1" x14ac:dyDescent="0.25">
      <c r="A49" s="2" t="e">
        <f t="shared" si="1"/>
        <v>#REF!</v>
      </c>
      <c r="B49" s="2" t="s">
        <v>15</v>
      </c>
      <c r="C49" s="39" t="s">
        <v>31</v>
      </c>
      <c r="D49" s="39" t="s">
        <v>161</v>
      </c>
      <c r="E49" s="14">
        <v>1000000</v>
      </c>
      <c r="F49" s="15">
        <v>1300000</v>
      </c>
      <c r="G49" s="16">
        <v>1500000</v>
      </c>
      <c r="H49" s="18">
        <v>1000000</v>
      </c>
      <c r="I49" s="21">
        <v>1000000</v>
      </c>
    </row>
    <row r="50" spans="1:9" hidden="1" x14ac:dyDescent="0.25">
      <c r="A50" s="2" t="e">
        <f t="shared" ref="A50:A81" si="2">A49+1</f>
        <v>#REF!</v>
      </c>
      <c r="B50" s="2" t="s">
        <v>15</v>
      </c>
      <c r="C50" s="39" t="s">
        <v>32</v>
      </c>
      <c r="D50" s="39" t="s">
        <v>159</v>
      </c>
      <c r="E50" s="14">
        <v>3000000</v>
      </c>
      <c r="F50" s="15">
        <v>3000000</v>
      </c>
      <c r="G50" s="16">
        <v>3000000</v>
      </c>
      <c r="H50" s="18">
        <v>3000000</v>
      </c>
      <c r="I50" s="21">
        <v>3000000</v>
      </c>
    </row>
    <row r="51" spans="1:9" hidden="1" x14ac:dyDescent="0.25">
      <c r="A51" s="2" t="e">
        <f t="shared" si="2"/>
        <v>#REF!</v>
      </c>
      <c r="B51" s="2" t="s">
        <v>15</v>
      </c>
      <c r="C51" s="39" t="s">
        <v>38</v>
      </c>
      <c r="D51" s="39" t="s">
        <v>161</v>
      </c>
      <c r="E51" s="14">
        <v>0</v>
      </c>
      <c r="F51" s="15">
        <v>0</v>
      </c>
      <c r="G51" s="16">
        <v>0</v>
      </c>
      <c r="H51" s="18">
        <v>100000</v>
      </c>
      <c r="I51" s="21">
        <v>1500000</v>
      </c>
    </row>
    <row r="52" spans="1:9" hidden="1" x14ac:dyDescent="0.25">
      <c r="A52" s="2" t="e">
        <f t="shared" si="2"/>
        <v>#REF!</v>
      </c>
      <c r="B52" s="2" t="s">
        <v>15</v>
      </c>
      <c r="C52" s="39" t="s">
        <v>33</v>
      </c>
      <c r="D52" s="39" t="s">
        <v>161</v>
      </c>
      <c r="E52" s="14">
        <v>200000</v>
      </c>
      <c r="F52" s="15">
        <v>200000</v>
      </c>
      <c r="G52" s="16">
        <v>200000</v>
      </c>
      <c r="H52" s="18">
        <v>200000</v>
      </c>
      <c r="I52" s="21">
        <v>200000</v>
      </c>
    </row>
    <row r="53" spans="1:9" hidden="1" x14ac:dyDescent="0.25">
      <c r="A53" s="2" t="e">
        <f t="shared" si="2"/>
        <v>#REF!</v>
      </c>
      <c r="B53" s="2" t="s">
        <v>15</v>
      </c>
      <c r="C53" s="39" t="s">
        <v>40</v>
      </c>
      <c r="D53" s="39" t="s">
        <v>161</v>
      </c>
      <c r="E53" s="14">
        <v>0</v>
      </c>
      <c r="F53" s="15">
        <v>100000</v>
      </c>
      <c r="G53" s="16">
        <v>5900000</v>
      </c>
      <c r="H53" s="18">
        <v>0</v>
      </c>
      <c r="I53" s="21">
        <v>0</v>
      </c>
    </row>
    <row r="54" spans="1:9" hidden="1" x14ac:dyDescent="0.25">
      <c r="A54" s="2" t="e">
        <f t="shared" si="2"/>
        <v>#REF!</v>
      </c>
      <c r="B54" s="2" t="s">
        <v>14</v>
      </c>
      <c r="C54" s="39" t="s">
        <v>41</v>
      </c>
      <c r="D54" s="39" t="s">
        <v>162</v>
      </c>
      <c r="E54" s="14">
        <v>585000</v>
      </c>
      <c r="F54" s="15">
        <v>585000</v>
      </c>
      <c r="G54" s="16">
        <v>585000</v>
      </c>
      <c r="H54" s="18">
        <v>650000</v>
      </c>
      <c r="I54" s="21">
        <v>650000</v>
      </c>
    </row>
    <row r="55" spans="1:9" x14ac:dyDescent="0.25">
      <c r="A55" s="2" t="e">
        <f t="shared" si="2"/>
        <v>#REF!</v>
      </c>
      <c r="B55" s="2" t="s">
        <v>14</v>
      </c>
      <c r="C55" s="39" t="s">
        <v>0</v>
      </c>
      <c r="D55" s="39" t="s">
        <v>160</v>
      </c>
      <c r="E55" s="14">
        <v>756960</v>
      </c>
      <c r="F55" s="15">
        <v>1034100</v>
      </c>
      <c r="G55" s="16">
        <v>1034100</v>
      </c>
      <c r="H55" s="18">
        <v>1149000</v>
      </c>
      <c r="I55" s="21">
        <v>1149000</v>
      </c>
    </row>
    <row r="56" spans="1:9" hidden="1" x14ac:dyDescent="0.25">
      <c r="A56" s="2" t="e">
        <f t="shared" si="2"/>
        <v>#REF!</v>
      </c>
      <c r="B56" s="2" t="s">
        <v>14</v>
      </c>
      <c r="C56" s="39" t="s">
        <v>49</v>
      </c>
      <c r="D56" s="39" t="s">
        <v>163</v>
      </c>
      <c r="E56" s="14">
        <v>2042280</v>
      </c>
      <c r="F56" s="15">
        <v>2790000</v>
      </c>
      <c r="G56" s="16">
        <v>2790000</v>
      </c>
      <c r="H56" s="18">
        <v>3100000</v>
      </c>
      <c r="I56" s="21">
        <v>3100000</v>
      </c>
    </row>
    <row r="57" spans="1:9" hidden="1" x14ac:dyDescent="0.25">
      <c r="A57" s="2" t="e">
        <f t="shared" si="2"/>
        <v>#REF!</v>
      </c>
      <c r="B57" s="2" t="s">
        <v>14</v>
      </c>
      <c r="C57" s="39" t="s">
        <v>141</v>
      </c>
      <c r="D57" s="39" t="s">
        <v>161</v>
      </c>
      <c r="E57" s="14">
        <v>0</v>
      </c>
      <c r="F57" s="15">
        <v>0</v>
      </c>
      <c r="G57" s="16">
        <v>0</v>
      </c>
      <c r="H57" s="18">
        <v>0</v>
      </c>
      <c r="I57" s="21">
        <v>1200000</v>
      </c>
    </row>
    <row r="58" spans="1:9" x14ac:dyDescent="0.25">
      <c r="A58" s="2" t="e">
        <f t="shared" si="2"/>
        <v>#REF!</v>
      </c>
      <c r="B58" s="2" t="s">
        <v>14</v>
      </c>
      <c r="C58" s="39" t="s">
        <v>50</v>
      </c>
      <c r="D58" s="39" t="s">
        <v>160</v>
      </c>
      <c r="E58" s="14">
        <v>500000</v>
      </c>
      <c r="F58" s="15">
        <v>0</v>
      </c>
      <c r="G58" s="16">
        <v>0</v>
      </c>
      <c r="H58" s="18">
        <v>0</v>
      </c>
      <c r="I58" s="21">
        <v>0</v>
      </c>
    </row>
    <row r="59" spans="1:9" x14ac:dyDescent="0.25">
      <c r="A59" s="2" t="e">
        <f t="shared" si="2"/>
        <v>#REF!</v>
      </c>
      <c r="B59" s="2" t="s">
        <v>14</v>
      </c>
      <c r="C59" s="39" t="s">
        <v>84</v>
      </c>
      <c r="D59" s="39" t="s">
        <v>160</v>
      </c>
      <c r="E59" s="14">
        <v>0</v>
      </c>
      <c r="F59" s="15">
        <v>0</v>
      </c>
      <c r="G59" s="16">
        <v>0</v>
      </c>
      <c r="H59" s="18">
        <v>160000</v>
      </c>
      <c r="I59" s="21">
        <v>1235000</v>
      </c>
    </row>
    <row r="60" spans="1:9" x14ac:dyDescent="0.25">
      <c r="A60" s="2" t="e">
        <f t="shared" si="2"/>
        <v>#REF!</v>
      </c>
      <c r="B60" s="2" t="s">
        <v>14</v>
      </c>
      <c r="C60" s="39" t="s">
        <v>144</v>
      </c>
      <c r="D60" s="39" t="s">
        <v>160</v>
      </c>
      <c r="E60" s="14">
        <v>500000</v>
      </c>
      <c r="F60" s="15">
        <v>0</v>
      </c>
      <c r="G60" s="16">
        <v>0</v>
      </c>
      <c r="H60" s="18">
        <v>0</v>
      </c>
      <c r="I60" s="21">
        <v>0</v>
      </c>
    </row>
    <row r="61" spans="1:9" x14ac:dyDescent="0.25">
      <c r="A61" s="2" t="e">
        <f t="shared" si="2"/>
        <v>#REF!</v>
      </c>
      <c r="B61" s="2" t="s">
        <v>14</v>
      </c>
      <c r="C61" s="39" t="s">
        <v>145</v>
      </c>
      <c r="D61" s="39" t="s">
        <v>160</v>
      </c>
      <c r="E61" s="14">
        <v>0</v>
      </c>
      <c r="F61" s="15">
        <v>0</v>
      </c>
      <c r="G61" s="16">
        <v>0</v>
      </c>
      <c r="H61" s="18">
        <v>550000</v>
      </c>
      <c r="I61" s="21">
        <v>0</v>
      </c>
    </row>
    <row r="62" spans="1:9" x14ac:dyDescent="0.25">
      <c r="A62" s="2" t="e">
        <f t="shared" si="2"/>
        <v>#REF!</v>
      </c>
      <c r="B62" s="2" t="s">
        <v>14</v>
      </c>
      <c r="C62" s="39" t="s">
        <v>85</v>
      </c>
      <c r="D62" s="39" t="s">
        <v>160</v>
      </c>
      <c r="E62" s="14">
        <v>0</v>
      </c>
      <c r="F62" s="15">
        <v>0</v>
      </c>
      <c r="G62" s="16">
        <v>0</v>
      </c>
      <c r="H62" s="18">
        <v>1000000</v>
      </c>
      <c r="I62" s="21">
        <v>2500000</v>
      </c>
    </row>
    <row r="63" spans="1:9" x14ac:dyDescent="0.25">
      <c r="A63" s="2" t="e">
        <f t="shared" si="2"/>
        <v>#REF!</v>
      </c>
      <c r="B63" s="2" t="s">
        <v>14</v>
      </c>
      <c r="C63" s="39" t="s">
        <v>51</v>
      </c>
      <c r="D63" s="39" t="s">
        <v>160</v>
      </c>
      <c r="E63" s="14">
        <v>2800000</v>
      </c>
      <c r="F63" s="15">
        <v>750000</v>
      </c>
      <c r="G63" s="16">
        <v>500000</v>
      </c>
      <c r="H63" s="18">
        <v>0</v>
      </c>
      <c r="I63" s="21">
        <v>0</v>
      </c>
    </row>
    <row r="64" spans="1:9" x14ac:dyDescent="0.25">
      <c r="A64" s="2" t="e">
        <f t="shared" si="2"/>
        <v>#REF!</v>
      </c>
      <c r="B64" s="2" t="s">
        <v>14</v>
      </c>
      <c r="C64" s="39" t="s">
        <v>143</v>
      </c>
      <c r="D64" s="39" t="s">
        <v>160</v>
      </c>
      <c r="E64" s="14">
        <v>0</v>
      </c>
      <c r="F64" s="15">
        <v>1000000</v>
      </c>
      <c r="G64" s="16">
        <v>0</v>
      </c>
      <c r="H64" s="18">
        <v>0</v>
      </c>
      <c r="I64" s="21">
        <v>0</v>
      </c>
    </row>
    <row r="65" spans="1:9" x14ac:dyDescent="0.25">
      <c r="A65" s="2" t="e">
        <f t="shared" si="2"/>
        <v>#REF!</v>
      </c>
      <c r="B65" s="2" t="s">
        <v>14</v>
      </c>
      <c r="C65" s="39" t="s">
        <v>125</v>
      </c>
      <c r="D65" s="39" t="s">
        <v>160</v>
      </c>
      <c r="E65" s="14">
        <v>0</v>
      </c>
      <c r="F65" s="15">
        <v>0</v>
      </c>
      <c r="G65" s="16">
        <v>0</v>
      </c>
      <c r="H65" s="18">
        <v>560000</v>
      </c>
      <c r="I65" s="21">
        <v>0</v>
      </c>
    </row>
    <row r="66" spans="1:9" x14ac:dyDescent="0.25">
      <c r="A66" s="2" t="e">
        <f t="shared" si="2"/>
        <v>#REF!</v>
      </c>
      <c r="B66" s="2" t="s">
        <v>14</v>
      </c>
      <c r="C66" s="39" t="s">
        <v>126</v>
      </c>
      <c r="D66" s="39" t="s">
        <v>160</v>
      </c>
      <c r="E66" s="14">
        <v>0</v>
      </c>
      <c r="F66" s="15">
        <v>0</v>
      </c>
      <c r="G66" s="16">
        <v>0</v>
      </c>
      <c r="H66" s="18">
        <v>0</v>
      </c>
      <c r="I66" s="21">
        <v>1500000</v>
      </c>
    </row>
    <row r="67" spans="1:9" x14ac:dyDescent="0.25">
      <c r="A67" s="2" t="e">
        <f t="shared" si="2"/>
        <v>#REF!</v>
      </c>
      <c r="B67" s="2" t="s">
        <v>14</v>
      </c>
      <c r="C67" s="39" t="s">
        <v>127</v>
      </c>
      <c r="D67" s="39" t="s">
        <v>160</v>
      </c>
      <c r="E67" s="14">
        <v>1800000</v>
      </c>
      <c r="F67" s="15">
        <v>750000</v>
      </c>
      <c r="G67" s="16">
        <v>0</v>
      </c>
      <c r="H67" s="18">
        <v>0</v>
      </c>
      <c r="I67" s="21">
        <v>0</v>
      </c>
    </row>
    <row r="68" spans="1:9" x14ac:dyDescent="0.25">
      <c r="A68" s="2" t="e">
        <f t="shared" si="2"/>
        <v>#REF!</v>
      </c>
      <c r="B68" s="2" t="s">
        <v>14</v>
      </c>
      <c r="C68" s="39" t="s">
        <v>135</v>
      </c>
      <c r="D68" s="39" t="s">
        <v>160</v>
      </c>
      <c r="E68" s="14">
        <v>600000</v>
      </c>
      <c r="F68" s="15">
        <v>2000000</v>
      </c>
      <c r="G68" s="16">
        <v>0</v>
      </c>
      <c r="H68" s="18">
        <v>0</v>
      </c>
      <c r="I68" s="21">
        <v>0</v>
      </c>
    </row>
    <row r="69" spans="1:9" x14ac:dyDescent="0.25">
      <c r="A69" s="2" t="e">
        <f t="shared" si="2"/>
        <v>#REF!</v>
      </c>
      <c r="B69" s="2" t="s">
        <v>14</v>
      </c>
      <c r="C69" s="39" t="s">
        <v>86</v>
      </c>
      <c r="D69" s="39" t="s">
        <v>160</v>
      </c>
      <c r="E69" s="14">
        <v>0</v>
      </c>
      <c r="F69" s="15">
        <v>0</v>
      </c>
      <c r="G69" s="16">
        <v>130000</v>
      </c>
      <c r="H69" s="18">
        <v>2025000</v>
      </c>
      <c r="I69" s="21">
        <v>0</v>
      </c>
    </row>
    <row r="70" spans="1:9" x14ac:dyDescent="0.25">
      <c r="A70" s="2" t="e">
        <f t="shared" si="2"/>
        <v>#REF!</v>
      </c>
      <c r="B70" s="2" t="s">
        <v>14</v>
      </c>
      <c r="C70" s="39" t="s">
        <v>52</v>
      </c>
      <c r="D70" s="39" t="s">
        <v>160</v>
      </c>
      <c r="E70" s="14">
        <v>12500000</v>
      </c>
      <c r="F70" s="15">
        <v>9400000</v>
      </c>
      <c r="G70" s="16">
        <v>3034000</v>
      </c>
      <c r="H70" s="18">
        <v>4000000</v>
      </c>
      <c r="I70" s="21">
        <v>8000000</v>
      </c>
    </row>
    <row r="71" spans="1:9" hidden="1" x14ac:dyDescent="0.25">
      <c r="A71" s="2" t="e">
        <f t="shared" si="2"/>
        <v>#REF!</v>
      </c>
      <c r="B71" s="2" t="s">
        <v>14</v>
      </c>
      <c r="C71" s="39" t="s">
        <v>3</v>
      </c>
      <c r="D71" s="39" t="s">
        <v>161</v>
      </c>
      <c r="E71" s="14">
        <v>2160000</v>
      </c>
      <c r="F71" s="15">
        <f>2160000-1080000</f>
        <v>1080000</v>
      </c>
      <c r="G71" s="16">
        <f>1036800-1036800</f>
        <v>0</v>
      </c>
      <c r="H71" s="18">
        <v>0</v>
      </c>
      <c r="I71" s="21">
        <v>0</v>
      </c>
    </row>
    <row r="72" spans="1:9" hidden="1" x14ac:dyDescent="0.25">
      <c r="A72" s="2" t="e">
        <f t="shared" si="2"/>
        <v>#REF!</v>
      </c>
      <c r="B72" s="2" t="s">
        <v>14</v>
      </c>
      <c r="C72" s="39" t="s">
        <v>140</v>
      </c>
      <c r="D72" s="39" t="s">
        <v>163</v>
      </c>
      <c r="E72" s="14">
        <v>7000000</v>
      </c>
      <c r="F72" s="15">
        <v>4000000</v>
      </c>
      <c r="G72" s="16">
        <v>1600000</v>
      </c>
      <c r="H72" s="18">
        <v>0</v>
      </c>
      <c r="I72" s="21">
        <v>0</v>
      </c>
    </row>
    <row r="73" spans="1:9" x14ac:dyDescent="0.25">
      <c r="A73" s="2" t="e">
        <f t="shared" si="2"/>
        <v>#REF!</v>
      </c>
      <c r="B73" s="2" t="s">
        <v>14</v>
      </c>
      <c r="C73" s="39" t="s">
        <v>53</v>
      </c>
      <c r="D73" s="39" t="s">
        <v>160</v>
      </c>
      <c r="E73" s="14">
        <v>840000</v>
      </c>
      <c r="F73" s="15">
        <v>840000</v>
      </c>
      <c r="G73" s="16">
        <v>900000</v>
      </c>
      <c r="H73" s="18">
        <v>840000</v>
      </c>
      <c r="I73" s="21">
        <v>900000</v>
      </c>
    </row>
    <row r="74" spans="1:9" x14ac:dyDescent="0.25">
      <c r="A74" s="2" t="e">
        <f t="shared" si="2"/>
        <v>#REF!</v>
      </c>
      <c r="B74" s="2" t="s">
        <v>14</v>
      </c>
      <c r="C74" s="39" t="s">
        <v>137</v>
      </c>
      <c r="D74" s="39" t="s">
        <v>160</v>
      </c>
      <c r="E74" s="14">
        <v>0</v>
      </c>
      <c r="F74" s="15">
        <v>1000000</v>
      </c>
      <c r="G74" s="16">
        <v>1000000</v>
      </c>
      <c r="H74" s="18">
        <v>1000000</v>
      </c>
      <c r="I74" s="21">
        <v>1000000</v>
      </c>
    </row>
    <row r="75" spans="1:9" x14ac:dyDescent="0.25">
      <c r="A75" s="2" t="e">
        <f t="shared" si="2"/>
        <v>#REF!</v>
      </c>
      <c r="B75" s="2" t="s">
        <v>14</v>
      </c>
      <c r="C75" s="39" t="s">
        <v>112</v>
      </c>
      <c r="D75" s="39" t="s">
        <v>160</v>
      </c>
      <c r="E75" s="14">
        <v>2230625</v>
      </c>
      <c r="F75" s="15">
        <v>1961875</v>
      </c>
      <c r="G75" s="16">
        <v>1195938</v>
      </c>
      <c r="H75" s="18">
        <v>0</v>
      </c>
      <c r="I75" s="21">
        <v>0</v>
      </c>
    </row>
    <row r="76" spans="1:9" x14ac:dyDescent="0.25">
      <c r="A76" s="2" t="e">
        <f t="shared" si="2"/>
        <v>#REF!</v>
      </c>
      <c r="B76" s="2" t="s">
        <v>14</v>
      </c>
      <c r="C76" s="39" t="s">
        <v>119</v>
      </c>
      <c r="D76" s="39" t="s">
        <v>160</v>
      </c>
      <c r="E76" s="14">
        <v>9000000</v>
      </c>
      <c r="F76" s="15">
        <v>7000000</v>
      </c>
      <c r="G76" s="16">
        <v>2400000</v>
      </c>
      <c r="H76" s="18">
        <v>0</v>
      </c>
      <c r="I76" s="21">
        <v>0</v>
      </c>
    </row>
    <row r="77" spans="1:9" x14ac:dyDescent="0.25">
      <c r="A77" s="2" t="e">
        <f t="shared" si="2"/>
        <v>#REF!</v>
      </c>
      <c r="B77" s="2" t="s">
        <v>14</v>
      </c>
      <c r="C77" s="39" t="s">
        <v>124</v>
      </c>
      <c r="D77" s="39" t="s">
        <v>160</v>
      </c>
      <c r="E77" s="14">
        <v>0</v>
      </c>
      <c r="F77" s="15">
        <v>300000</v>
      </c>
      <c r="G77" s="16">
        <v>2200000</v>
      </c>
      <c r="H77" s="18">
        <v>2000000</v>
      </c>
      <c r="I77" s="21">
        <v>0</v>
      </c>
    </row>
    <row r="78" spans="1:9" x14ac:dyDescent="0.25">
      <c r="A78" s="2" t="e">
        <f t="shared" si="2"/>
        <v>#REF!</v>
      </c>
      <c r="B78" s="2" t="s">
        <v>14</v>
      </c>
      <c r="C78" s="39" t="s">
        <v>9</v>
      </c>
      <c r="D78" s="39" t="s">
        <v>160</v>
      </c>
      <c r="E78" s="14">
        <v>2100000</v>
      </c>
      <c r="F78" s="15">
        <v>0</v>
      </c>
      <c r="G78" s="16">
        <v>0</v>
      </c>
      <c r="H78" s="18">
        <v>0</v>
      </c>
      <c r="I78" s="21">
        <v>0</v>
      </c>
    </row>
    <row r="79" spans="1:9" x14ac:dyDescent="0.25">
      <c r="A79" s="2" t="e">
        <f t="shared" si="2"/>
        <v>#REF!</v>
      </c>
      <c r="B79" s="2" t="s">
        <v>14</v>
      </c>
      <c r="C79" s="39" t="s">
        <v>54</v>
      </c>
      <c r="D79" s="39" t="s">
        <v>160</v>
      </c>
      <c r="E79" s="14">
        <v>0</v>
      </c>
      <c r="F79" s="15">
        <v>0</v>
      </c>
      <c r="G79" s="16">
        <v>0</v>
      </c>
      <c r="H79" s="18">
        <v>0</v>
      </c>
      <c r="I79" s="21">
        <v>1000000</v>
      </c>
    </row>
    <row r="80" spans="1:9" x14ac:dyDescent="0.25">
      <c r="A80" s="2" t="e">
        <f t="shared" si="2"/>
        <v>#REF!</v>
      </c>
      <c r="B80" s="2" t="s">
        <v>14</v>
      </c>
      <c r="C80" s="39" t="s">
        <v>55</v>
      </c>
      <c r="D80" s="39" t="s">
        <v>160</v>
      </c>
      <c r="E80" s="14">
        <v>1500000</v>
      </c>
      <c r="F80" s="15">
        <v>4500000</v>
      </c>
      <c r="G80" s="16">
        <v>11500000</v>
      </c>
      <c r="H80" s="18">
        <v>11500000</v>
      </c>
      <c r="I80" s="21">
        <v>11500000</v>
      </c>
    </row>
    <row r="81" spans="1:9" x14ac:dyDescent="0.25">
      <c r="A81" s="2" t="e">
        <f t="shared" si="2"/>
        <v>#REF!</v>
      </c>
      <c r="B81" s="2" t="s">
        <v>14</v>
      </c>
      <c r="C81" s="39" t="s">
        <v>83</v>
      </c>
      <c r="D81" s="39" t="s">
        <v>160</v>
      </c>
      <c r="E81" s="14">
        <v>0</v>
      </c>
      <c r="F81" s="15">
        <v>75000</v>
      </c>
      <c r="G81" s="16">
        <v>650000</v>
      </c>
      <c r="H81" s="18">
        <v>0</v>
      </c>
      <c r="I81" s="21">
        <v>0</v>
      </c>
    </row>
    <row r="82" spans="1:9" hidden="1" x14ac:dyDescent="0.25">
      <c r="A82" s="2" t="e">
        <f t="shared" ref="A82:A113" si="3">A81+1</f>
        <v>#REF!</v>
      </c>
      <c r="B82" s="2" t="s">
        <v>14</v>
      </c>
      <c r="C82" s="39" t="s">
        <v>113</v>
      </c>
      <c r="D82" s="39" t="s">
        <v>159</v>
      </c>
      <c r="E82" s="14">
        <v>880000</v>
      </c>
      <c r="F82" s="15">
        <v>1455000</v>
      </c>
      <c r="G82" s="16">
        <v>12260000</v>
      </c>
      <c r="H82" s="18">
        <v>11300000</v>
      </c>
      <c r="I82" s="21">
        <v>0</v>
      </c>
    </row>
    <row r="83" spans="1:9" hidden="1" x14ac:dyDescent="0.25">
      <c r="A83" s="2" t="e">
        <f t="shared" si="3"/>
        <v>#REF!</v>
      </c>
      <c r="B83" s="2" t="s">
        <v>14</v>
      </c>
      <c r="C83" s="39" t="s">
        <v>142</v>
      </c>
      <c r="D83" s="39" t="s">
        <v>159</v>
      </c>
      <c r="E83" s="14">
        <v>0</v>
      </c>
      <c r="F83" s="15">
        <v>150000</v>
      </c>
      <c r="G83" s="16">
        <v>750000</v>
      </c>
      <c r="H83" s="18">
        <v>0</v>
      </c>
      <c r="I83" s="21">
        <v>0</v>
      </c>
    </row>
    <row r="84" spans="1:9" x14ac:dyDescent="0.25">
      <c r="A84" s="2" t="e">
        <f t="shared" si="3"/>
        <v>#REF!</v>
      </c>
      <c r="B84" s="2" t="s">
        <v>14</v>
      </c>
      <c r="C84" s="39" t="s">
        <v>104</v>
      </c>
      <c r="D84" s="39" t="s">
        <v>160</v>
      </c>
      <c r="E84" s="14">
        <v>0</v>
      </c>
      <c r="F84" s="15">
        <v>93000</v>
      </c>
      <c r="G84" s="16">
        <v>650000</v>
      </c>
      <c r="H84" s="18">
        <v>182000</v>
      </c>
      <c r="I84" s="21">
        <v>0</v>
      </c>
    </row>
    <row r="85" spans="1:9" x14ac:dyDescent="0.25">
      <c r="A85" s="2" t="e">
        <f t="shared" si="3"/>
        <v>#REF!</v>
      </c>
      <c r="B85" s="2" t="s">
        <v>14</v>
      </c>
      <c r="C85" s="39" t="s">
        <v>148</v>
      </c>
      <c r="D85" s="39" t="s">
        <v>160</v>
      </c>
      <c r="E85" s="14">
        <v>0</v>
      </c>
      <c r="F85" s="15">
        <v>0</v>
      </c>
      <c r="G85" s="16">
        <v>0</v>
      </c>
      <c r="H85" s="18">
        <v>750000</v>
      </c>
      <c r="I85" s="21">
        <v>750000</v>
      </c>
    </row>
    <row r="86" spans="1:9" x14ac:dyDescent="0.25">
      <c r="A86" s="2" t="e">
        <f t="shared" si="3"/>
        <v>#REF!</v>
      </c>
      <c r="B86" s="2" t="s">
        <v>14</v>
      </c>
      <c r="C86" s="39" t="s">
        <v>149</v>
      </c>
      <c r="D86" s="39" t="s">
        <v>160</v>
      </c>
      <c r="E86" s="14">
        <v>0</v>
      </c>
      <c r="F86" s="15">
        <v>0</v>
      </c>
      <c r="G86" s="16">
        <v>0</v>
      </c>
      <c r="H86" s="18">
        <v>0</v>
      </c>
      <c r="I86" s="21">
        <v>2000000</v>
      </c>
    </row>
    <row r="87" spans="1:9" x14ac:dyDescent="0.25">
      <c r="A87" s="2" t="e">
        <f t="shared" si="3"/>
        <v>#REF!</v>
      </c>
      <c r="B87" s="2" t="s">
        <v>14</v>
      </c>
      <c r="C87" s="39" t="s">
        <v>136</v>
      </c>
      <c r="D87" s="39" t="s">
        <v>160</v>
      </c>
      <c r="E87" s="14">
        <v>0</v>
      </c>
      <c r="F87" s="15">
        <v>0</v>
      </c>
      <c r="G87" s="16">
        <v>0</v>
      </c>
      <c r="H87" s="18">
        <v>0</v>
      </c>
      <c r="I87" s="21">
        <v>1000000</v>
      </c>
    </row>
    <row r="88" spans="1:9" x14ac:dyDescent="0.25">
      <c r="A88" s="2" t="e">
        <f t="shared" si="3"/>
        <v>#REF!</v>
      </c>
      <c r="B88" s="2" t="s">
        <v>14</v>
      </c>
      <c r="C88" s="39" t="s">
        <v>106</v>
      </c>
      <c r="D88" s="39" t="s">
        <v>160</v>
      </c>
      <c r="E88" s="14">
        <v>0</v>
      </c>
      <c r="F88" s="15">
        <v>0</v>
      </c>
      <c r="G88" s="16">
        <v>0</v>
      </c>
      <c r="H88" s="18">
        <v>1005000</v>
      </c>
      <c r="I88" s="21">
        <v>2406000</v>
      </c>
    </row>
    <row r="89" spans="1:9" x14ac:dyDescent="0.25">
      <c r="A89" s="2" t="e">
        <f t="shared" si="3"/>
        <v>#REF!</v>
      </c>
      <c r="B89" s="2" t="s">
        <v>14</v>
      </c>
      <c r="C89" s="39" t="s">
        <v>107</v>
      </c>
      <c r="D89" s="39" t="s">
        <v>160</v>
      </c>
      <c r="E89" s="14">
        <v>500000</v>
      </c>
      <c r="F89" s="15">
        <v>6430000</v>
      </c>
      <c r="G89" s="16">
        <v>5930000</v>
      </c>
      <c r="H89" s="18">
        <v>5930000</v>
      </c>
      <c r="I89" s="21">
        <v>4759000</v>
      </c>
    </row>
    <row r="90" spans="1:9" hidden="1" x14ac:dyDescent="0.25">
      <c r="A90" s="2" t="e">
        <f t="shared" si="3"/>
        <v>#REF!</v>
      </c>
      <c r="B90" s="2" t="s">
        <v>14</v>
      </c>
      <c r="C90" s="39" t="s">
        <v>56</v>
      </c>
      <c r="D90" s="39" t="s">
        <v>163</v>
      </c>
      <c r="E90" s="14">
        <v>329400</v>
      </c>
      <c r="F90" s="15">
        <v>450000</v>
      </c>
      <c r="G90" s="16">
        <v>450000</v>
      </c>
      <c r="H90" s="18">
        <v>500000</v>
      </c>
      <c r="I90" s="21">
        <v>500000</v>
      </c>
    </row>
    <row r="91" spans="1:9" x14ac:dyDescent="0.25">
      <c r="A91" s="2" t="e">
        <f t="shared" si="3"/>
        <v>#REF!</v>
      </c>
      <c r="B91" s="2" t="s">
        <v>14</v>
      </c>
      <c r="C91" s="39" t="s">
        <v>57</v>
      </c>
      <c r="D91" s="39" t="s">
        <v>160</v>
      </c>
      <c r="E91" s="14">
        <v>0</v>
      </c>
      <c r="F91" s="15">
        <v>0</v>
      </c>
      <c r="G91" s="16">
        <v>0</v>
      </c>
      <c r="H91" s="18">
        <v>0</v>
      </c>
      <c r="I91" s="21">
        <v>2000000</v>
      </c>
    </row>
    <row r="92" spans="1:9" x14ac:dyDescent="0.25">
      <c r="A92" s="2" t="e">
        <f t="shared" si="3"/>
        <v>#REF!</v>
      </c>
      <c r="B92" s="2" t="s">
        <v>14</v>
      </c>
      <c r="C92" s="39" t="s">
        <v>139</v>
      </c>
      <c r="D92" s="39" t="s">
        <v>160</v>
      </c>
      <c r="E92" s="14">
        <v>190000</v>
      </c>
      <c r="F92" s="15">
        <v>3110000</v>
      </c>
      <c r="G92" s="16">
        <v>0</v>
      </c>
      <c r="H92" s="18">
        <v>0</v>
      </c>
      <c r="I92" s="21">
        <v>0</v>
      </c>
    </row>
    <row r="93" spans="1:9" x14ac:dyDescent="0.25">
      <c r="A93" s="2" t="e">
        <f t="shared" si="3"/>
        <v>#REF!</v>
      </c>
      <c r="B93" s="2" t="s">
        <v>14</v>
      </c>
      <c r="C93" s="39" t="s">
        <v>146</v>
      </c>
      <c r="D93" s="39" t="s">
        <v>160</v>
      </c>
      <c r="E93" s="14">
        <v>500000</v>
      </c>
      <c r="F93" s="15">
        <v>0</v>
      </c>
      <c r="G93" s="16">
        <v>1500000</v>
      </c>
      <c r="H93" s="18">
        <v>9500000</v>
      </c>
      <c r="I93" s="21">
        <v>10000000</v>
      </c>
    </row>
    <row r="94" spans="1:9" x14ac:dyDescent="0.25">
      <c r="A94" s="2" t="e">
        <f t="shared" si="3"/>
        <v>#REF!</v>
      </c>
      <c r="B94" s="2" t="s">
        <v>14</v>
      </c>
      <c r="C94" s="39" t="s">
        <v>1</v>
      </c>
      <c r="D94" s="39" t="s">
        <v>160</v>
      </c>
      <c r="E94" s="14">
        <v>2137540</v>
      </c>
      <c r="F94" s="15">
        <v>3179700</v>
      </c>
      <c r="G94" s="16">
        <v>3179700</v>
      </c>
      <c r="H94" s="18">
        <v>3500000</v>
      </c>
      <c r="I94" s="21">
        <v>3500000</v>
      </c>
    </row>
    <row r="95" spans="1:9" ht="30" hidden="1" x14ac:dyDescent="0.25">
      <c r="A95" s="2" t="e">
        <f t="shared" si="3"/>
        <v>#REF!</v>
      </c>
      <c r="B95" s="2" t="s">
        <v>14</v>
      </c>
      <c r="C95" s="39" t="s">
        <v>110</v>
      </c>
      <c r="D95" s="39" t="s">
        <v>161</v>
      </c>
      <c r="E95" s="14">
        <v>0</v>
      </c>
      <c r="F95" s="15">
        <v>0</v>
      </c>
      <c r="G95" s="16">
        <v>0</v>
      </c>
      <c r="H95" s="18">
        <v>0</v>
      </c>
      <c r="I95" s="21">
        <v>100000</v>
      </c>
    </row>
    <row r="96" spans="1:9" x14ac:dyDescent="0.25">
      <c r="A96" s="2" t="e">
        <f t="shared" si="3"/>
        <v>#REF!</v>
      </c>
      <c r="B96" s="2" t="s">
        <v>14</v>
      </c>
      <c r="C96" s="39" t="s">
        <v>147</v>
      </c>
      <c r="D96" s="39" t="s">
        <v>160</v>
      </c>
      <c r="E96" s="14">
        <v>0</v>
      </c>
      <c r="F96" s="15">
        <v>0</v>
      </c>
      <c r="G96" s="16">
        <v>0</v>
      </c>
      <c r="H96" s="18">
        <v>0</v>
      </c>
      <c r="I96" s="21">
        <v>450000</v>
      </c>
    </row>
    <row r="97" spans="1:9" hidden="1" x14ac:dyDescent="0.25">
      <c r="A97" s="2" t="e">
        <f t="shared" si="3"/>
        <v>#REF!</v>
      </c>
      <c r="B97" s="2" t="s">
        <v>14</v>
      </c>
      <c r="C97" s="39" t="s">
        <v>111</v>
      </c>
      <c r="D97" s="39" t="s">
        <v>161</v>
      </c>
      <c r="E97" s="14">
        <v>0</v>
      </c>
      <c r="F97" s="15">
        <v>0</v>
      </c>
      <c r="G97" s="16">
        <v>250000</v>
      </c>
      <c r="H97" s="18">
        <v>0</v>
      </c>
      <c r="I97" s="21">
        <v>0</v>
      </c>
    </row>
    <row r="98" spans="1:9" hidden="1" x14ac:dyDescent="0.25">
      <c r="A98" s="2" t="e">
        <f t="shared" si="3"/>
        <v>#REF!</v>
      </c>
      <c r="B98" s="2" t="s">
        <v>20</v>
      </c>
      <c r="C98" s="39" t="s">
        <v>10</v>
      </c>
      <c r="D98" s="39" t="s">
        <v>164</v>
      </c>
      <c r="E98" s="14">
        <v>57956711</v>
      </c>
      <c r="F98" s="15">
        <v>51134379</v>
      </c>
      <c r="G98" s="16">
        <v>49859819</v>
      </c>
      <c r="H98" s="18">
        <v>49734401</v>
      </c>
      <c r="I98" s="21">
        <v>50362596</v>
      </c>
    </row>
    <row r="99" spans="1:9" hidden="1" x14ac:dyDescent="0.25">
      <c r="A99" s="2" t="e">
        <f t="shared" si="3"/>
        <v>#REF!</v>
      </c>
      <c r="B99" s="2" t="s">
        <v>16</v>
      </c>
      <c r="C99" s="39" t="s">
        <v>121</v>
      </c>
      <c r="D99" s="39" t="s">
        <v>161</v>
      </c>
      <c r="E99" s="14">
        <v>0</v>
      </c>
      <c r="F99" s="15">
        <v>0</v>
      </c>
      <c r="G99" s="16">
        <v>0</v>
      </c>
      <c r="H99" s="18">
        <v>10000000</v>
      </c>
      <c r="I99" s="21">
        <v>9000000</v>
      </c>
    </row>
    <row r="100" spans="1:9" hidden="1" x14ac:dyDescent="0.25">
      <c r="A100" s="2" t="e">
        <f t="shared" si="3"/>
        <v>#REF!</v>
      </c>
      <c r="B100" s="2" t="s">
        <v>16</v>
      </c>
      <c r="C100" s="39" t="s">
        <v>150</v>
      </c>
      <c r="D100" s="39" t="s">
        <v>161</v>
      </c>
      <c r="E100" s="14">
        <v>0</v>
      </c>
      <c r="F100" s="15">
        <v>9000000</v>
      </c>
      <c r="G100" s="16">
        <v>4000000</v>
      </c>
      <c r="H100" s="18">
        <v>0</v>
      </c>
      <c r="I100" s="21">
        <v>0</v>
      </c>
    </row>
    <row r="101" spans="1:9" hidden="1" x14ac:dyDescent="0.25">
      <c r="A101" s="2" t="e">
        <f t="shared" si="3"/>
        <v>#REF!</v>
      </c>
      <c r="B101" s="2" t="s">
        <v>16</v>
      </c>
      <c r="C101" s="39" t="s">
        <v>156</v>
      </c>
      <c r="D101" s="39" t="s">
        <v>161</v>
      </c>
      <c r="E101" s="14">
        <v>0</v>
      </c>
      <c r="F101" s="15">
        <v>0</v>
      </c>
      <c r="G101" s="16">
        <v>0</v>
      </c>
      <c r="H101" s="18">
        <v>0</v>
      </c>
      <c r="I101" s="21">
        <v>2000000</v>
      </c>
    </row>
    <row r="102" spans="1:9" x14ac:dyDescent="0.25">
      <c r="A102" s="2" t="e">
        <f t="shared" si="3"/>
        <v>#REF!</v>
      </c>
      <c r="B102" s="2" t="s">
        <v>16</v>
      </c>
      <c r="C102" s="39" t="s">
        <v>24</v>
      </c>
      <c r="D102" s="39" t="s">
        <v>160</v>
      </c>
      <c r="E102" s="14">
        <v>0</v>
      </c>
      <c r="F102" s="15">
        <v>0</v>
      </c>
      <c r="G102" s="16">
        <v>5000000</v>
      </c>
      <c r="H102" s="18">
        <v>7000000</v>
      </c>
      <c r="I102" s="21">
        <v>0</v>
      </c>
    </row>
    <row r="103" spans="1:9" hidden="1" x14ac:dyDescent="0.25">
      <c r="A103" s="2" t="e">
        <f t="shared" si="3"/>
        <v>#REF!</v>
      </c>
      <c r="B103" s="2" t="s">
        <v>16</v>
      </c>
      <c r="C103" s="39" t="s">
        <v>122</v>
      </c>
      <c r="D103" s="39" t="s">
        <v>161</v>
      </c>
      <c r="E103" s="14">
        <v>0</v>
      </c>
      <c r="F103" s="15">
        <v>0</v>
      </c>
      <c r="G103" s="16">
        <v>0</v>
      </c>
      <c r="H103" s="18">
        <v>1500000</v>
      </c>
      <c r="I103" s="21">
        <v>8500000</v>
      </c>
    </row>
    <row r="104" spans="1:9" x14ac:dyDescent="0.25">
      <c r="A104" s="2" t="e">
        <f t="shared" si="3"/>
        <v>#REF!</v>
      </c>
      <c r="B104" s="2" t="s">
        <v>16</v>
      </c>
      <c r="C104" s="39" t="s">
        <v>151</v>
      </c>
      <c r="D104" s="39" t="s">
        <v>160</v>
      </c>
      <c r="E104" s="14">
        <v>3000000</v>
      </c>
      <c r="F104" s="15">
        <v>0</v>
      </c>
      <c r="G104" s="16">
        <v>0</v>
      </c>
      <c r="H104" s="18">
        <v>0</v>
      </c>
      <c r="I104" s="21">
        <v>0</v>
      </c>
    </row>
    <row r="105" spans="1:9" x14ac:dyDescent="0.25">
      <c r="A105" s="2" t="e">
        <f t="shared" si="3"/>
        <v>#REF!</v>
      </c>
      <c r="B105" s="2" t="s">
        <v>16</v>
      </c>
      <c r="C105" s="39" t="s">
        <v>13</v>
      </c>
      <c r="D105" s="39" t="s">
        <v>160</v>
      </c>
      <c r="E105" s="14">
        <v>2000000</v>
      </c>
      <c r="F105" s="15">
        <v>2200000</v>
      </c>
      <c r="G105" s="16">
        <v>2500000</v>
      </c>
      <c r="H105" s="18">
        <v>2750000</v>
      </c>
      <c r="I105" s="21">
        <v>2750000</v>
      </c>
    </row>
    <row r="106" spans="1:9" hidden="1" x14ac:dyDescent="0.25">
      <c r="A106" s="2" t="e">
        <f t="shared" si="3"/>
        <v>#REF!</v>
      </c>
      <c r="B106" s="2" t="s">
        <v>16</v>
      </c>
      <c r="C106" s="39" t="s">
        <v>58</v>
      </c>
      <c r="D106" s="39" t="s">
        <v>159</v>
      </c>
      <c r="E106" s="14">
        <v>48600</v>
      </c>
      <c r="F106" s="15">
        <v>54000</v>
      </c>
      <c r="G106" s="16">
        <v>54000</v>
      </c>
      <c r="H106" s="18">
        <v>60000</v>
      </c>
      <c r="I106" s="21">
        <v>60000</v>
      </c>
    </row>
    <row r="107" spans="1:9" x14ac:dyDescent="0.25">
      <c r="A107" s="2" t="e">
        <f t="shared" si="3"/>
        <v>#REF!</v>
      </c>
      <c r="B107" s="2" t="s">
        <v>16</v>
      </c>
      <c r="C107" s="39" t="s">
        <v>59</v>
      </c>
      <c r="D107" s="39" t="s">
        <v>160</v>
      </c>
      <c r="E107" s="14">
        <v>1782000</v>
      </c>
      <c r="F107" s="15">
        <v>1980000</v>
      </c>
      <c r="G107" s="16">
        <v>1980000</v>
      </c>
      <c r="H107" s="18">
        <v>2000000</v>
      </c>
      <c r="I107" s="21">
        <v>2000000</v>
      </c>
    </row>
    <row r="108" spans="1:9" hidden="1" x14ac:dyDescent="0.25">
      <c r="A108" s="2" t="e">
        <f t="shared" si="3"/>
        <v>#REF!</v>
      </c>
      <c r="B108" s="2" t="s">
        <v>16</v>
      </c>
      <c r="C108" s="39" t="s">
        <v>36</v>
      </c>
      <c r="D108" s="39" t="s">
        <v>161</v>
      </c>
      <c r="E108" s="14">
        <v>9157500</v>
      </c>
      <c r="F108" s="15">
        <v>9180000</v>
      </c>
      <c r="G108" s="16">
        <v>2262000</v>
      </c>
      <c r="H108" s="18">
        <v>0</v>
      </c>
      <c r="I108" s="21">
        <v>0</v>
      </c>
    </row>
    <row r="109" spans="1:9" x14ac:dyDescent="0.25">
      <c r="A109" s="2" t="e">
        <f t="shared" si="3"/>
        <v>#REF!</v>
      </c>
      <c r="B109" s="2" t="s">
        <v>16</v>
      </c>
      <c r="C109" s="39" t="s">
        <v>46</v>
      </c>
      <c r="D109" s="39" t="s">
        <v>160</v>
      </c>
      <c r="E109" s="14">
        <v>6237000</v>
      </c>
      <c r="F109" s="15">
        <v>6237000</v>
      </c>
      <c r="G109" s="16">
        <v>6237000</v>
      </c>
      <c r="H109" s="18">
        <v>6237000</v>
      </c>
      <c r="I109" s="21">
        <v>6237000</v>
      </c>
    </row>
    <row r="110" spans="1:9" hidden="1" x14ac:dyDescent="0.25">
      <c r="A110" s="2" t="e">
        <f t="shared" si="3"/>
        <v>#REF!</v>
      </c>
      <c r="B110" s="2" t="s">
        <v>16</v>
      </c>
      <c r="C110" s="39" t="s">
        <v>132</v>
      </c>
      <c r="D110" s="39" t="s">
        <v>161</v>
      </c>
      <c r="E110" s="14">
        <v>54000</v>
      </c>
      <c r="F110" s="15">
        <v>60000</v>
      </c>
      <c r="G110" s="16">
        <v>60000</v>
      </c>
      <c r="H110" s="18">
        <v>60000</v>
      </c>
      <c r="I110" s="21">
        <v>60000</v>
      </c>
    </row>
    <row r="111" spans="1:9" hidden="1" x14ac:dyDescent="0.25">
      <c r="A111" s="2" t="e">
        <f t="shared" si="3"/>
        <v>#REF!</v>
      </c>
      <c r="B111" s="2" t="s">
        <v>16</v>
      </c>
      <c r="C111" s="39" t="s">
        <v>61</v>
      </c>
      <c r="D111" s="39" t="s">
        <v>161</v>
      </c>
      <c r="E111" s="14">
        <v>2328333</v>
      </c>
      <c r="F111" s="15">
        <v>2293333</v>
      </c>
      <c r="G111" s="16">
        <v>2278333</v>
      </c>
      <c r="H111" s="18">
        <v>2270000</v>
      </c>
      <c r="I111" s="21">
        <v>2271667</v>
      </c>
    </row>
    <row r="112" spans="1:9" x14ac:dyDescent="0.25">
      <c r="A112" s="2" t="e">
        <f t="shared" si="3"/>
        <v>#REF!</v>
      </c>
      <c r="B112" s="27" t="s">
        <v>16</v>
      </c>
      <c r="C112" s="40" t="s">
        <v>154</v>
      </c>
      <c r="D112" s="40" t="s">
        <v>160</v>
      </c>
      <c r="E112" s="14">
        <v>0</v>
      </c>
      <c r="F112" s="15">
        <v>1100000</v>
      </c>
      <c r="G112" s="16">
        <v>675000</v>
      </c>
      <c r="H112" s="18">
        <v>612500</v>
      </c>
      <c r="I112" s="21">
        <v>0</v>
      </c>
    </row>
    <row r="113" spans="1:9" hidden="1" x14ac:dyDescent="0.25">
      <c r="A113" s="2" t="e">
        <f t="shared" si="3"/>
        <v>#REF!</v>
      </c>
      <c r="B113" s="2" t="s">
        <v>16</v>
      </c>
      <c r="C113" s="39" t="s">
        <v>78</v>
      </c>
      <c r="D113" s="39" t="s">
        <v>159</v>
      </c>
      <c r="E113" s="14">
        <v>250000</v>
      </c>
      <c r="F113" s="15">
        <v>250000</v>
      </c>
      <c r="G113" s="16">
        <v>250000</v>
      </c>
      <c r="H113" s="18">
        <v>250000</v>
      </c>
      <c r="I113" s="21">
        <v>250000</v>
      </c>
    </row>
    <row r="114" spans="1:9" x14ac:dyDescent="0.25">
      <c r="A114" s="2" t="e">
        <f t="shared" ref="A114:A145" si="4">A113+1</f>
        <v>#REF!</v>
      </c>
      <c r="B114" s="41" t="s">
        <v>16</v>
      </c>
      <c r="C114" s="42" t="s">
        <v>157</v>
      </c>
      <c r="D114" s="42" t="s">
        <v>160</v>
      </c>
      <c r="E114" s="43">
        <v>-329588</v>
      </c>
      <c r="F114" s="44">
        <f>-1483487+1080000</f>
        <v>-403487</v>
      </c>
      <c r="G114" s="45">
        <f>3855843+1036800</f>
        <v>4892643</v>
      </c>
      <c r="H114" s="46">
        <v>1680758</v>
      </c>
      <c r="I114" s="47">
        <v>16192512</v>
      </c>
    </row>
    <row r="115" spans="1:9" hidden="1" x14ac:dyDescent="0.25">
      <c r="A115" s="2" t="e">
        <f t="shared" si="4"/>
        <v>#REF!</v>
      </c>
      <c r="B115" s="2" t="s">
        <v>16</v>
      </c>
      <c r="C115" s="39" t="s">
        <v>60</v>
      </c>
      <c r="D115" s="39" t="s">
        <v>159</v>
      </c>
      <c r="E115" s="14">
        <v>225000</v>
      </c>
      <c r="F115" s="15">
        <v>225000</v>
      </c>
      <c r="G115" s="16">
        <v>225000</v>
      </c>
      <c r="H115" s="18">
        <v>225000</v>
      </c>
      <c r="I115" s="21">
        <v>225000</v>
      </c>
    </row>
    <row r="116" spans="1:9" hidden="1" x14ac:dyDescent="0.25">
      <c r="A116" s="2" t="e">
        <f t="shared" si="4"/>
        <v>#REF!</v>
      </c>
      <c r="B116" s="2" t="s">
        <v>16</v>
      </c>
      <c r="C116" s="39" t="s">
        <v>94</v>
      </c>
      <c r="D116" s="39" t="s">
        <v>159</v>
      </c>
      <c r="E116" s="14">
        <v>1000000</v>
      </c>
      <c r="F116" s="15">
        <v>500000</v>
      </c>
      <c r="G116" s="16">
        <v>0</v>
      </c>
      <c r="H116" s="18">
        <v>0</v>
      </c>
      <c r="I116" s="21">
        <v>0</v>
      </c>
    </row>
    <row r="117" spans="1:9" hidden="1" x14ac:dyDescent="0.25">
      <c r="A117" s="2" t="e">
        <f t="shared" si="4"/>
        <v>#REF!</v>
      </c>
      <c r="B117" s="2" t="s">
        <v>16</v>
      </c>
      <c r="C117" s="39" t="s">
        <v>43</v>
      </c>
      <c r="D117" s="39" t="s">
        <v>162</v>
      </c>
      <c r="E117" s="14">
        <v>345000</v>
      </c>
      <c r="F117" s="15">
        <v>405000</v>
      </c>
      <c r="G117" s="16">
        <v>405000</v>
      </c>
      <c r="H117" s="18">
        <v>450000</v>
      </c>
      <c r="I117" s="21">
        <v>450000</v>
      </c>
    </row>
    <row r="118" spans="1:9" hidden="1" x14ac:dyDescent="0.25">
      <c r="A118" s="2" t="e">
        <f t="shared" si="4"/>
        <v>#REF!</v>
      </c>
      <c r="B118" s="2" t="s">
        <v>16</v>
      </c>
      <c r="C118" s="39" t="s">
        <v>5</v>
      </c>
      <c r="D118" s="39" t="s">
        <v>162</v>
      </c>
      <c r="E118" s="14">
        <v>2160000</v>
      </c>
      <c r="F118" s="15">
        <v>2160000</v>
      </c>
      <c r="G118" s="16">
        <v>2160000</v>
      </c>
      <c r="H118" s="18">
        <v>2700000</v>
      </c>
      <c r="I118" s="21">
        <v>2700000</v>
      </c>
    </row>
    <row r="119" spans="1:9" hidden="1" x14ac:dyDescent="0.25">
      <c r="A119" s="2" t="e">
        <f t="shared" si="4"/>
        <v>#REF!</v>
      </c>
      <c r="B119" s="2" t="s">
        <v>16</v>
      </c>
      <c r="C119" s="39" t="s">
        <v>128</v>
      </c>
      <c r="D119" s="39" t="s">
        <v>162</v>
      </c>
      <c r="E119" s="14">
        <v>280000</v>
      </c>
      <c r="F119" s="15">
        <v>340000</v>
      </c>
      <c r="G119" s="16">
        <v>340000</v>
      </c>
      <c r="H119" s="18">
        <v>340000</v>
      </c>
      <c r="I119" s="21">
        <v>500000</v>
      </c>
    </row>
    <row r="120" spans="1:9" hidden="1" x14ac:dyDescent="0.25">
      <c r="A120" s="2" t="e">
        <f t="shared" si="4"/>
        <v>#REF!</v>
      </c>
      <c r="B120" s="2" t="s">
        <v>16</v>
      </c>
      <c r="C120" s="39" t="s">
        <v>129</v>
      </c>
      <c r="D120" s="39" t="s">
        <v>162</v>
      </c>
      <c r="E120" s="14">
        <v>330000</v>
      </c>
      <c r="F120" s="15">
        <v>330000</v>
      </c>
      <c r="G120" s="16">
        <v>330000</v>
      </c>
      <c r="H120" s="18">
        <v>500000</v>
      </c>
      <c r="I120" s="21">
        <v>500000</v>
      </c>
    </row>
    <row r="121" spans="1:9" ht="30" hidden="1" x14ac:dyDescent="0.25">
      <c r="A121" s="2" t="e">
        <f t="shared" si="4"/>
        <v>#REF!</v>
      </c>
      <c r="B121" s="2" t="s">
        <v>16</v>
      </c>
      <c r="C121" s="39" t="s">
        <v>130</v>
      </c>
      <c r="D121" s="39" t="s">
        <v>162</v>
      </c>
      <c r="E121" s="14">
        <v>75000</v>
      </c>
      <c r="F121" s="15">
        <v>112500</v>
      </c>
      <c r="G121" s="16">
        <v>112500</v>
      </c>
      <c r="H121" s="18">
        <v>250000</v>
      </c>
      <c r="I121" s="21">
        <v>250000</v>
      </c>
    </row>
    <row r="122" spans="1:9" hidden="1" x14ac:dyDescent="0.25">
      <c r="A122" s="2" t="e">
        <f>A121+1</f>
        <v>#REF!</v>
      </c>
      <c r="B122" s="2" t="s">
        <v>18</v>
      </c>
      <c r="C122" s="39" t="s">
        <v>37</v>
      </c>
      <c r="D122" s="39" t="s">
        <v>162</v>
      </c>
      <c r="E122" s="14">
        <v>2500000</v>
      </c>
      <c r="F122" s="15">
        <v>26700000</v>
      </c>
      <c r="G122" s="16">
        <v>26700000</v>
      </c>
      <c r="H122" s="18">
        <v>26600000</v>
      </c>
      <c r="I122" s="21">
        <v>0</v>
      </c>
    </row>
    <row r="123" spans="1:9" hidden="1" x14ac:dyDescent="0.25">
      <c r="A123" s="2" t="e">
        <f t="shared" si="4"/>
        <v>#REF!</v>
      </c>
      <c r="B123" s="2" t="s">
        <v>18</v>
      </c>
      <c r="C123" s="39" t="s">
        <v>79</v>
      </c>
      <c r="D123" s="39" t="s">
        <v>162</v>
      </c>
      <c r="E123" s="14">
        <v>37292537</v>
      </c>
      <c r="F123" s="15">
        <v>1357245</v>
      </c>
      <c r="G123" s="16">
        <v>0</v>
      </c>
      <c r="H123" s="18">
        <v>0</v>
      </c>
      <c r="I123" s="21">
        <v>0</v>
      </c>
    </row>
    <row r="124" spans="1:9" hidden="1" x14ac:dyDescent="0.25">
      <c r="A124" s="2" t="e">
        <f t="shared" si="4"/>
        <v>#REF!</v>
      </c>
      <c r="B124" s="2" t="s">
        <v>18</v>
      </c>
      <c r="C124" s="39" t="s">
        <v>117</v>
      </c>
      <c r="D124" s="39" t="s">
        <v>161</v>
      </c>
      <c r="E124" s="14">
        <v>100000</v>
      </c>
      <c r="F124" s="15">
        <v>1500000</v>
      </c>
      <c r="G124" s="16">
        <v>0</v>
      </c>
      <c r="H124" s="18">
        <v>0</v>
      </c>
      <c r="I124" s="21">
        <v>0</v>
      </c>
    </row>
    <row r="125" spans="1:9" hidden="1" x14ac:dyDescent="0.25">
      <c r="A125" s="2" t="e">
        <f t="shared" si="4"/>
        <v>#REF!</v>
      </c>
      <c r="B125" s="2" t="s">
        <v>18</v>
      </c>
      <c r="C125" s="39" t="s">
        <v>152</v>
      </c>
      <c r="D125" s="39" t="s">
        <v>159</v>
      </c>
      <c r="E125" s="14">
        <v>346000</v>
      </c>
      <c r="F125" s="15">
        <v>0</v>
      </c>
      <c r="G125" s="16">
        <v>0</v>
      </c>
      <c r="H125" s="18">
        <v>0</v>
      </c>
      <c r="I125" s="21">
        <v>0</v>
      </c>
    </row>
    <row r="126" spans="1:9" hidden="1" x14ac:dyDescent="0.25">
      <c r="A126" s="2" t="e">
        <f t="shared" si="4"/>
        <v>#REF!</v>
      </c>
      <c r="B126" s="2" t="s">
        <v>18</v>
      </c>
      <c r="C126" s="39" t="s">
        <v>34</v>
      </c>
      <c r="D126" s="39" t="s">
        <v>159</v>
      </c>
      <c r="E126" s="14">
        <v>370000</v>
      </c>
      <c r="F126" s="15">
        <v>485000</v>
      </c>
      <c r="G126" s="16">
        <v>590000</v>
      </c>
      <c r="H126" s="18">
        <v>1075000</v>
      </c>
      <c r="I126" s="21">
        <v>350000</v>
      </c>
    </row>
    <row r="127" spans="1:9" hidden="1" x14ac:dyDescent="0.25">
      <c r="A127" s="2" t="e">
        <f t="shared" si="4"/>
        <v>#REF!</v>
      </c>
      <c r="B127" s="2" t="s">
        <v>18</v>
      </c>
      <c r="C127" s="39" t="s">
        <v>105</v>
      </c>
      <c r="D127" s="39" t="s">
        <v>159</v>
      </c>
      <c r="E127" s="14">
        <v>0</v>
      </c>
      <c r="F127" s="15">
        <v>0</v>
      </c>
      <c r="G127" s="16">
        <v>3200000</v>
      </c>
      <c r="H127" s="18">
        <v>1500000</v>
      </c>
      <c r="I127" s="21">
        <v>15000000</v>
      </c>
    </row>
    <row r="128" spans="1:9" hidden="1" x14ac:dyDescent="0.25">
      <c r="A128" s="2" t="e">
        <f t="shared" si="4"/>
        <v>#REF!</v>
      </c>
      <c r="B128" s="2" t="s">
        <v>18</v>
      </c>
      <c r="C128" s="39" t="s">
        <v>67</v>
      </c>
      <c r="D128" s="39" t="s">
        <v>159</v>
      </c>
      <c r="E128" s="14">
        <v>5600000</v>
      </c>
      <c r="F128" s="15">
        <v>2600000</v>
      </c>
      <c r="G128" s="16">
        <v>1200000</v>
      </c>
      <c r="H128" s="18">
        <v>0</v>
      </c>
      <c r="I128" s="21">
        <v>0</v>
      </c>
    </row>
    <row r="129" spans="1:9" ht="30" hidden="1" x14ac:dyDescent="0.25">
      <c r="A129" s="2" t="e">
        <f t="shared" si="4"/>
        <v>#REF!</v>
      </c>
      <c r="B129" s="2" t="s">
        <v>18</v>
      </c>
      <c r="C129" s="39" t="s">
        <v>116</v>
      </c>
      <c r="D129" s="39" t="s">
        <v>164</v>
      </c>
      <c r="E129" s="14">
        <v>2225000</v>
      </c>
      <c r="F129" s="15">
        <v>0</v>
      </c>
      <c r="G129" s="16">
        <v>0</v>
      </c>
      <c r="H129" s="18">
        <v>0</v>
      </c>
      <c r="I129" s="21">
        <v>0</v>
      </c>
    </row>
    <row r="130" spans="1:9" ht="30" hidden="1" x14ac:dyDescent="0.25">
      <c r="A130" s="2" t="e">
        <f t="shared" si="4"/>
        <v>#REF!</v>
      </c>
      <c r="B130" s="2" t="s">
        <v>18</v>
      </c>
      <c r="C130" s="39" t="s">
        <v>108</v>
      </c>
      <c r="D130" s="39" t="s">
        <v>159</v>
      </c>
      <c r="E130" s="14">
        <v>10000000</v>
      </c>
      <c r="F130" s="15">
        <v>0</v>
      </c>
      <c r="G130" s="16">
        <v>0</v>
      </c>
      <c r="H130" s="18">
        <v>0</v>
      </c>
      <c r="I130" s="21">
        <v>0</v>
      </c>
    </row>
    <row r="131" spans="1:9" ht="30" hidden="1" x14ac:dyDescent="0.25">
      <c r="A131" s="2" t="e">
        <f t="shared" si="4"/>
        <v>#REF!</v>
      </c>
      <c r="B131" s="2" t="s">
        <v>18</v>
      </c>
      <c r="C131" s="39" t="s">
        <v>109</v>
      </c>
      <c r="D131" s="39" t="s">
        <v>159</v>
      </c>
      <c r="E131" s="14">
        <v>500000</v>
      </c>
      <c r="F131" s="15">
        <v>16000000</v>
      </c>
      <c r="G131" s="16">
        <v>0</v>
      </c>
      <c r="H131" s="18">
        <v>0</v>
      </c>
      <c r="I131" s="21">
        <v>0</v>
      </c>
    </row>
    <row r="132" spans="1:9" x14ac:dyDescent="0.25">
      <c r="A132" s="2" t="e">
        <f t="shared" si="4"/>
        <v>#REF!</v>
      </c>
      <c r="B132" s="2" t="s">
        <v>18</v>
      </c>
      <c r="C132" s="39" t="s">
        <v>68</v>
      </c>
      <c r="D132" s="39" t="s">
        <v>160</v>
      </c>
      <c r="E132" s="14">
        <v>2100000</v>
      </c>
      <c r="F132" s="15">
        <v>920000</v>
      </c>
      <c r="G132" s="16">
        <v>700000</v>
      </c>
      <c r="H132" s="18">
        <v>700000</v>
      </c>
      <c r="I132" s="21">
        <v>700000</v>
      </c>
    </row>
    <row r="133" spans="1:9" hidden="1" x14ac:dyDescent="0.25">
      <c r="A133" s="2" t="e">
        <f t="shared" si="4"/>
        <v>#REF!</v>
      </c>
      <c r="B133" s="2" t="s">
        <v>18</v>
      </c>
      <c r="C133" s="39" t="s">
        <v>69</v>
      </c>
      <c r="D133" s="39" t="s">
        <v>161</v>
      </c>
      <c r="E133" s="14">
        <v>6000000</v>
      </c>
      <c r="F133" s="15">
        <v>6000000</v>
      </c>
      <c r="G133" s="16">
        <v>6000000</v>
      </c>
      <c r="H133" s="18">
        <v>6000000</v>
      </c>
      <c r="I133" s="21">
        <v>6000000</v>
      </c>
    </row>
    <row r="134" spans="1:9" ht="15" hidden="1" customHeight="1" x14ac:dyDescent="0.25">
      <c r="A134" s="2" t="e">
        <f t="shared" si="4"/>
        <v>#REF!</v>
      </c>
      <c r="B134" s="2" t="s">
        <v>18</v>
      </c>
      <c r="C134" s="39" t="s">
        <v>70</v>
      </c>
      <c r="D134" s="39" t="s">
        <v>159</v>
      </c>
      <c r="E134" s="14">
        <v>3900000</v>
      </c>
      <c r="F134" s="15">
        <v>2900000</v>
      </c>
      <c r="G134" s="16">
        <v>0</v>
      </c>
      <c r="H134" s="18">
        <v>0</v>
      </c>
      <c r="I134" s="21">
        <v>0</v>
      </c>
    </row>
    <row r="135" spans="1:9" hidden="1" x14ac:dyDescent="0.25">
      <c r="A135" s="2" t="e">
        <f t="shared" si="4"/>
        <v>#REF!</v>
      </c>
      <c r="B135" s="2" t="s">
        <v>18</v>
      </c>
      <c r="C135" s="39" t="s">
        <v>72</v>
      </c>
      <c r="D135" s="39" t="s">
        <v>161</v>
      </c>
      <c r="E135" s="14">
        <v>7650000</v>
      </c>
      <c r="F135" s="15">
        <v>5150000</v>
      </c>
      <c r="G135" s="16">
        <v>13050000</v>
      </c>
      <c r="H135" s="18">
        <v>13000000</v>
      </c>
      <c r="I135" s="21">
        <v>13000000</v>
      </c>
    </row>
    <row r="136" spans="1:9" x14ac:dyDescent="0.25">
      <c r="A136" s="2" t="e">
        <f t="shared" si="4"/>
        <v>#REF!</v>
      </c>
      <c r="B136" s="2" t="s">
        <v>18</v>
      </c>
      <c r="C136" s="39" t="s">
        <v>73</v>
      </c>
      <c r="D136" s="39" t="s">
        <v>160</v>
      </c>
      <c r="E136" s="14">
        <v>18750000</v>
      </c>
      <c r="F136" s="15">
        <v>18250000</v>
      </c>
      <c r="G136" s="16">
        <v>24950000</v>
      </c>
      <c r="H136" s="18">
        <v>25050000</v>
      </c>
      <c r="I136" s="21">
        <v>25125000</v>
      </c>
    </row>
    <row r="137" spans="1:9" x14ac:dyDescent="0.25">
      <c r="A137" s="2" t="e">
        <f t="shared" si="4"/>
        <v>#REF!</v>
      </c>
      <c r="B137" s="2" t="s">
        <v>18</v>
      </c>
      <c r="C137" s="39" t="s">
        <v>74</v>
      </c>
      <c r="D137" s="39" t="s">
        <v>160</v>
      </c>
      <c r="E137" s="14">
        <v>1659120</v>
      </c>
      <c r="F137" s="15">
        <f>1659120+750000</f>
        <v>2409120</v>
      </c>
      <c r="G137" s="16">
        <f>1659120+750000</f>
        <v>2409120</v>
      </c>
      <c r="H137" s="18">
        <f>1843420+750000</f>
        <v>2593420</v>
      </c>
      <c r="I137" s="21">
        <f>1843420+750000</f>
        <v>2593420</v>
      </c>
    </row>
    <row r="138" spans="1:9" hidden="1" x14ac:dyDescent="0.25">
      <c r="A138" s="2" t="e">
        <f t="shared" si="4"/>
        <v>#REF!</v>
      </c>
      <c r="B138" s="2" t="s">
        <v>18</v>
      </c>
      <c r="C138" s="39" t="s">
        <v>76</v>
      </c>
      <c r="D138" s="39" t="s">
        <v>159</v>
      </c>
      <c r="E138" s="14">
        <v>2850000</v>
      </c>
      <c r="F138" s="15">
        <v>3500000</v>
      </c>
      <c r="G138" s="16">
        <v>0</v>
      </c>
      <c r="H138" s="18">
        <v>1200000</v>
      </c>
      <c r="I138" s="21">
        <v>0</v>
      </c>
    </row>
    <row r="139" spans="1:9" x14ac:dyDescent="0.25">
      <c r="A139" s="2" t="e">
        <f t="shared" si="4"/>
        <v>#REF!</v>
      </c>
      <c r="B139" s="2" t="s">
        <v>18</v>
      </c>
      <c r="C139" s="39" t="s">
        <v>77</v>
      </c>
      <c r="D139" s="39" t="s">
        <v>160</v>
      </c>
      <c r="E139" s="14">
        <v>7550000</v>
      </c>
      <c r="F139" s="15">
        <v>7500000</v>
      </c>
      <c r="G139" s="16">
        <v>14000000</v>
      </c>
      <c r="H139" s="18">
        <v>10000000</v>
      </c>
      <c r="I139" s="21">
        <v>10000000</v>
      </c>
    </row>
    <row r="140" spans="1:9" hidden="1" x14ac:dyDescent="0.25">
      <c r="A140" s="2" t="e">
        <f t="shared" si="4"/>
        <v>#REF!</v>
      </c>
      <c r="B140" s="2" t="s">
        <v>18</v>
      </c>
      <c r="C140" s="39" t="s">
        <v>75</v>
      </c>
      <c r="D140" s="39" t="s">
        <v>159</v>
      </c>
      <c r="E140" s="14">
        <v>2800000</v>
      </c>
      <c r="F140" s="15">
        <v>2700000</v>
      </c>
      <c r="G140" s="16">
        <v>1000000</v>
      </c>
      <c r="H140" s="18">
        <v>0</v>
      </c>
      <c r="I140" s="21">
        <v>0</v>
      </c>
    </row>
    <row r="141" spans="1:9" hidden="1" x14ac:dyDescent="0.25">
      <c r="A141" s="2" t="e">
        <f t="shared" si="4"/>
        <v>#REF!</v>
      </c>
      <c r="B141" s="2" t="s">
        <v>18</v>
      </c>
      <c r="C141" s="39" t="s">
        <v>103</v>
      </c>
      <c r="D141" s="39" t="s">
        <v>161</v>
      </c>
      <c r="E141" s="14">
        <v>0</v>
      </c>
      <c r="F141" s="15">
        <v>0</v>
      </c>
      <c r="G141" s="16">
        <v>400000</v>
      </c>
      <c r="H141" s="18">
        <v>11250000</v>
      </c>
      <c r="I141" s="21">
        <v>12900000</v>
      </c>
    </row>
    <row r="142" spans="1:9" hidden="1" x14ac:dyDescent="0.25">
      <c r="A142" s="2" t="e">
        <f t="shared" si="4"/>
        <v>#REF!</v>
      </c>
      <c r="B142" s="2" t="s">
        <v>18</v>
      </c>
      <c r="C142" s="39" t="s">
        <v>123</v>
      </c>
      <c r="D142" s="39" t="s">
        <v>159</v>
      </c>
      <c r="E142" s="14">
        <v>0</v>
      </c>
      <c r="F142" s="15">
        <v>0</v>
      </c>
      <c r="G142" s="16">
        <v>8650000</v>
      </c>
      <c r="H142" s="18">
        <v>0</v>
      </c>
      <c r="I142" s="21">
        <v>0</v>
      </c>
    </row>
    <row r="143" spans="1:9" hidden="1" x14ac:dyDescent="0.25">
      <c r="A143" s="2" t="e">
        <f t="shared" si="4"/>
        <v>#REF!</v>
      </c>
      <c r="B143" s="2" t="s">
        <v>18</v>
      </c>
      <c r="C143" s="39" t="s">
        <v>80</v>
      </c>
      <c r="D143" s="39" t="s">
        <v>159</v>
      </c>
      <c r="E143" s="14">
        <v>3500000</v>
      </c>
      <c r="F143" s="15">
        <v>4500000</v>
      </c>
      <c r="G143" s="16">
        <v>2800000</v>
      </c>
      <c r="H143" s="18">
        <v>0</v>
      </c>
      <c r="I143" s="21">
        <v>0</v>
      </c>
    </row>
    <row r="144" spans="1:9" x14ac:dyDescent="0.25">
      <c r="A144" s="2" t="e">
        <f t="shared" si="4"/>
        <v>#REF!</v>
      </c>
      <c r="B144" s="2" t="s">
        <v>18</v>
      </c>
      <c r="C144" s="39" t="s">
        <v>62</v>
      </c>
      <c r="D144" s="39" t="s">
        <v>160</v>
      </c>
      <c r="E144" s="14">
        <v>8000000</v>
      </c>
      <c r="F144" s="15">
        <v>10000000</v>
      </c>
      <c r="G144" s="16">
        <v>12000000</v>
      </c>
      <c r="H144" s="18">
        <v>12200000</v>
      </c>
      <c r="I144" s="21">
        <v>13000000</v>
      </c>
    </row>
    <row r="145" spans="1:9" x14ac:dyDescent="0.25">
      <c r="A145" s="2" t="e">
        <f t="shared" si="4"/>
        <v>#REF!</v>
      </c>
      <c r="B145" s="2" t="s">
        <v>18</v>
      </c>
      <c r="C145" s="39" t="s">
        <v>4</v>
      </c>
      <c r="D145" s="39" t="s">
        <v>160</v>
      </c>
      <c r="E145" s="14">
        <v>8768500</v>
      </c>
      <c r="F145" s="15">
        <v>10000000</v>
      </c>
      <c r="G145" s="16">
        <v>10000000</v>
      </c>
      <c r="H145" s="18">
        <v>10000000</v>
      </c>
      <c r="I145" s="21">
        <v>10000000</v>
      </c>
    </row>
    <row r="146" spans="1:9" x14ac:dyDescent="0.25">
      <c r="A146" s="2" t="e">
        <f t="shared" ref="A146:A155" si="5">A145+1</f>
        <v>#REF!</v>
      </c>
      <c r="B146" s="2" t="s">
        <v>18</v>
      </c>
      <c r="C146" s="39" t="s">
        <v>63</v>
      </c>
      <c r="D146" s="39" t="s">
        <v>160</v>
      </c>
      <c r="E146" s="14">
        <v>541000</v>
      </c>
      <c r="F146" s="15">
        <v>600000</v>
      </c>
      <c r="G146" s="16">
        <v>0</v>
      </c>
      <c r="H146" s="18">
        <v>0</v>
      </c>
      <c r="I146" s="21">
        <v>0</v>
      </c>
    </row>
    <row r="147" spans="1:9" x14ac:dyDescent="0.25">
      <c r="A147" s="2" t="e">
        <f t="shared" si="5"/>
        <v>#REF!</v>
      </c>
      <c r="B147" s="2" t="s">
        <v>18</v>
      </c>
      <c r="C147" s="39" t="s">
        <v>114</v>
      </c>
      <c r="D147" s="39" t="s">
        <v>160</v>
      </c>
      <c r="E147" s="14">
        <v>1539000</v>
      </c>
      <c r="F147" s="15">
        <v>1600000</v>
      </c>
      <c r="G147" s="16">
        <v>2800000</v>
      </c>
      <c r="H147" s="18">
        <v>2800000</v>
      </c>
      <c r="I147" s="21">
        <v>2800000</v>
      </c>
    </row>
    <row r="148" spans="1:9" hidden="1" x14ac:dyDescent="0.25">
      <c r="A148" s="2" t="e">
        <f t="shared" si="5"/>
        <v>#REF!</v>
      </c>
      <c r="B148" s="2" t="s">
        <v>18</v>
      </c>
      <c r="C148" s="39" t="s">
        <v>115</v>
      </c>
      <c r="D148" s="39" t="s">
        <v>161</v>
      </c>
      <c r="E148" s="14">
        <v>1012500</v>
      </c>
      <c r="F148" s="15">
        <v>1125000</v>
      </c>
      <c r="G148" s="16">
        <v>1125000</v>
      </c>
      <c r="H148" s="18">
        <v>1125000</v>
      </c>
      <c r="I148" s="21">
        <v>1125000</v>
      </c>
    </row>
    <row r="149" spans="1:9" hidden="1" x14ac:dyDescent="0.25">
      <c r="A149" s="2" t="e">
        <f t="shared" si="5"/>
        <v>#REF!</v>
      </c>
      <c r="B149" s="2" t="s">
        <v>18</v>
      </c>
      <c r="C149" s="39" t="s">
        <v>65</v>
      </c>
      <c r="D149" s="39" t="s">
        <v>159</v>
      </c>
      <c r="E149" s="14">
        <v>2470000</v>
      </c>
      <c r="F149" s="15">
        <v>3000000</v>
      </c>
      <c r="G149" s="16">
        <v>3100000</v>
      </c>
      <c r="H149" s="18">
        <v>3100000</v>
      </c>
      <c r="I149" s="21">
        <v>3100000</v>
      </c>
    </row>
    <row r="150" spans="1:9" hidden="1" x14ac:dyDescent="0.25">
      <c r="A150" s="2" t="e">
        <f t="shared" si="5"/>
        <v>#REF!</v>
      </c>
      <c r="B150" s="2" t="s">
        <v>18</v>
      </c>
      <c r="C150" s="39" t="s">
        <v>71</v>
      </c>
      <c r="D150" s="39" t="s">
        <v>163</v>
      </c>
      <c r="E150" s="14">
        <v>3000000</v>
      </c>
      <c r="F150" s="15">
        <f>3090000-750000</f>
        <v>2340000</v>
      </c>
      <c r="G150" s="16">
        <f>3182000-750000</f>
        <v>2432000</v>
      </c>
      <c r="H150" s="18">
        <f>3200000-750000</f>
        <v>2450000</v>
      </c>
      <c r="I150" s="21">
        <f>3200000-750000</f>
        <v>2450000</v>
      </c>
    </row>
    <row r="151" spans="1:9" hidden="1" x14ac:dyDescent="0.25">
      <c r="A151" s="2" t="e">
        <f t="shared" si="5"/>
        <v>#REF!</v>
      </c>
      <c r="B151" s="2" t="s">
        <v>18</v>
      </c>
      <c r="C151" s="39" t="s">
        <v>153</v>
      </c>
      <c r="D151" s="39" t="s">
        <v>159</v>
      </c>
      <c r="E151" s="14">
        <v>1500000</v>
      </c>
      <c r="F151" s="15">
        <v>1500000</v>
      </c>
      <c r="G151" s="16">
        <v>1500000</v>
      </c>
      <c r="H151" s="18">
        <v>1500000</v>
      </c>
      <c r="I151" s="21">
        <v>1500000</v>
      </c>
    </row>
    <row r="152" spans="1:9" x14ac:dyDescent="0.25">
      <c r="A152" s="2" t="e">
        <f t="shared" si="5"/>
        <v>#REF!</v>
      </c>
      <c r="B152" s="2" t="s">
        <v>18</v>
      </c>
      <c r="C152" s="39" t="s">
        <v>66</v>
      </c>
      <c r="D152" s="39" t="s">
        <v>160</v>
      </c>
      <c r="E152" s="14">
        <v>500000</v>
      </c>
      <c r="F152" s="15">
        <v>585000</v>
      </c>
      <c r="G152" s="16">
        <v>500000</v>
      </c>
      <c r="H152" s="18">
        <v>500000</v>
      </c>
      <c r="I152" s="21">
        <v>500000</v>
      </c>
    </row>
    <row r="153" spans="1:9" hidden="1" x14ac:dyDescent="0.25">
      <c r="A153" s="2" t="e">
        <f t="shared" si="5"/>
        <v>#REF!</v>
      </c>
      <c r="B153" s="2" t="s">
        <v>18</v>
      </c>
      <c r="C153" s="39" t="s">
        <v>35</v>
      </c>
      <c r="D153" s="39" t="s">
        <v>163</v>
      </c>
      <c r="E153" s="14">
        <v>200000</v>
      </c>
      <c r="F153" s="15">
        <v>200000</v>
      </c>
      <c r="G153" s="16">
        <v>200000</v>
      </c>
      <c r="H153" s="18">
        <v>200000</v>
      </c>
      <c r="I153" s="21">
        <v>200000</v>
      </c>
    </row>
    <row r="154" spans="1:9" x14ac:dyDescent="0.25">
      <c r="A154" s="2" t="e">
        <f t="shared" si="5"/>
        <v>#REF!</v>
      </c>
      <c r="B154" s="2" t="s">
        <v>18</v>
      </c>
      <c r="C154" s="39" t="s">
        <v>11</v>
      </c>
      <c r="D154" s="39" t="s">
        <v>160</v>
      </c>
      <c r="E154" s="14">
        <v>0</v>
      </c>
      <c r="F154" s="15">
        <v>750000</v>
      </c>
      <c r="G154" s="16">
        <v>750000</v>
      </c>
      <c r="H154" s="18">
        <v>750000</v>
      </c>
      <c r="I154" s="21">
        <v>750000</v>
      </c>
    </row>
    <row r="155" spans="1:9" x14ac:dyDescent="0.25">
      <c r="A155" s="2" t="e">
        <f t="shared" si="5"/>
        <v>#REF!</v>
      </c>
      <c r="B155" s="2" t="s">
        <v>18</v>
      </c>
      <c r="C155" s="39" t="s">
        <v>64</v>
      </c>
      <c r="D155" s="39" t="s">
        <v>160</v>
      </c>
      <c r="E155" s="14">
        <v>10500000</v>
      </c>
      <c r="F155" s="15">
        <v>11000000</v>
      </c>
      <c r="G155" s="16">
        <v>11500000</v>
      </c>
      <c r="H155" s="18">
        <v>12730000</v>
      </c>
      <c r="I155" s="21">
        <v>13111900</v>
      </c>
    </row>
    <row r="156" spans="1:9" x14ac:dyDescent="0.25">
      <c r="B156" s="215"/>
      <c r="C156" s="216"/>
      <c r="D156" s="216"/>
      <c r="E156" s="217">
        <f>SUM(FiveYearPlan_2020[2020 Approved])</f>
        <v>405000000</v>
      </c>
      <c r="F156" s="218"/>
      <c r="G156" s="219"/>
      <c r="H156" s="220"/>
      <c r="I156" s="221"/>
    </row>
  </sheetData>
  <sortState ref="A8:AD134">
    <sortCondition ref="B8:B134"/>
    <sortCondition ref="C8:C134"/>
  </sortState>
  <dataConsolidate/>
  <conditionalFormatting sqref="B17:I155 B8:I14">
    <cfRule type="expression" dxfId="20" priority="4">
      <formula>MOD($A8,5)=0</formula>
    </cfRule>
  </conditionalFormatting>
  <conditionalFormatting sqref="B15:I16">
    <cfRule type="expression" dxfId="19" priority="1">
      <formula>MOD($A15,5)=0</formula>
    </cfRule>
  </conditionalFormatting>
  <pageMargins left="0.25" right="0.25" top="0.75" bottom="0.75" header="0.3" footer="0.3"/>
  <pageSetup paperSize="17" scale="76" fitToHeight="0" orientation="landscape" r:id="rId1"/>
  <headerFooter>
    <oddFooter>&amp;LPage &amp;P of &amp;N&amp;RPrinted &amp;D
&amp;Z&amp;F</oddFooter>
  </headerFooter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A36" workbookViewId="0">
      <selection activeCell="V21" sqref="V21"/>
    </sheetView>
  </sheetViews>
  <sheetFormatPr defaultRowHeight="15" x14ac:dyDescent="0.25"/>
  <cols>
    <col min="1" max="1" width="30.28515625" customWidth="1"/>
    <col min="2" max="2" width="11.7109375" customWidth="1"/>
    <col min="3" max="6" width="14.42578125" customWidth="1"/>
    <col min="7" max="7" width="13.7109375" customWidth="1"/>
    <col min="8" max="8" width="6.140625" customWidth="1"/>
  </cols>
  <sheetData>
    <row r="1" spans="1:21" x14ac:dyDescent="0.25">
      <c r="A1" s="222" t="s">
        <v>207</v>
      </c>
      <c r="B1" s="223">
        <v>2020</v>
      </c>
      <c r="C1" s="246">
        <v>2021</v>
      </c>
      <c r="D1" s="247">
        <v>2022</v>
      </c>
      <c r="E1" s="248">
        <v>2023</v>
      </c>
      <c r="F1" s="249">
        <v>2024</v>
      </c>
    </row>
    <row r="2" spans="1:21" x14ac:dyDescent="0.25">
      <c r="A2" s="230" t="s">
        <v>164</v>
      </c>
      <c r="B2" s="231">
        <f>SUMIF(FiveYearPlan_2020[Primary Driver],$A2,FiveYearPlan_2020[2020 Approved])</f>
        <v>60181711</v>
      </c>
      <c r="C2" s="250">
        <f>SUMIF(FiveYearPlan_2020[Primary Driver],$A2,FiveYearPlan_2020[2021 Approved])</f>
        <v>51134379</v>
      </c>
      <c r="D2" s="251">
        <f>SUMIF(FiveYearPlan_2020[Primary Driver],$A2,FiveYearPlan_2020[2022 Approved])</f>
        <v>49859819</v>
      </c>
      <c r="E2" s="252">
        <f>SUMIF(FiveYearPlan_2020[Primary Driver],$A2,FiveYearPlan_2020[2023 Approved])</f>
        <v>49734401</v>
      </c>
      <c r="F2" s="253">
        <f>SUMIF(FiveYearPlan_2020[Primary Driver],$A2,FiveYearPlan_2020[2024 Approved])</f>
        <v>50362596</v>
      </c>
    </row>
    <row r="3" spans="1:21" x14ac:dyDescent="0.25">
      <c r="A3" s="230" t="s">
        <v>159</v>
      </c>
      <c r="B3" s="231">
        <f>SUMIF(FiveYearPlan_2020[Primary Driver],$A3,FiveYearPlan_2020[2020 Approved])</f>
        <v>91410119</v>
      </c>
      <c r="C3" s="250">
        <f>SUMIF(FiveYearPlan_2020[Primary Driver],$A3,FiveYearPlan_2020[2021 Approved])</f>
        <v>89600960</v>
      </c>
      <c r="D3" s="251">
        <f>SUMIF(FiveYearPlan_2020[Primary Driver],$A3,FiveYearPlan_2020[2022 Approved])</f>
        <v>73515726</v>
      </c>
      <c r="E3" s="252">
        <f>SUMIF(FiveYearPlan_2020[Primary Driver],$A3,FiveYearPlan_2020[2023 Approved])</f>
        <v>57761343</v>
      </c>
      <c r="F3" s="253">
        <f>SUMIF(FiveYearPlan_2020[Primary Driver],$A3,FiveYearPlan_2020[2024 Approved])</f>
        <v>58005327</v>
      </c>
    </row>
    <row r="4" spans="1:21" x14ac:dyDescent="0.25">
      <c r="A4" s="230" t="s">
        <v>163</v>
      </c>
      <c r="B4" s="231">
        <f>SUMIF(FiveYearPlan_2020[Primary Driver],$A4,FiveYearPlan_2020[2020 Approved])</f>
        <v>20877880</v>
      </c>
      <c r="C4" s="250">
        <f>SUMIF(FiveYearPlan_2020[Primary Driver],$A4,FiveYearPlan_2020[2021 Approved])</f>
        <v>18398000</v>
      </c>
      <c r="D4" s="251">
        <f>SUMIF(FiveYearPlan_2020[Primary Driver],$A4,FiveYearPlan_2020[2022 Approved])</f>
        <v>16028200</v>
      </c>
      <c r="E4" s="252">
        <f>SUMIF(FiveYearPlan_2020[Primary Driver],$A4,FiveYearPlan_2020[2023 Approved])</f>
        <v>14868000</v>
      </c>
      <c r="F4" s="253">
        <f>SUMIF(FiveYearPlan_2020[Primary Driver],$A4,FiveYearPlan_2020[2024 Approved])</f>
        <v>14868000</v>
      </c>
    </row>
    <row r="5" spans="1:21" x14ac:dyDescent="0.25">
      <c r="A5" s="230" t="s">
        <v>162</v>
      </c>
      <c r="B5" s="231">
        <f>SUMIF(FiveYearPlan_2020[Primary Driver],$A5,FiveYearPlan_2020[2020 Approved])</f>
        <v>53112537</v>
      </c>
      <c r="C5" s="250">
        <f>SUMIF(FiveYearPlan_2020[Primary Driver],$A5,FiveYearPlan_2020[2021 Approved])</f>
        <v>43039745</v>
      </c>
      <c r="D5" s="251">
        <f>SUMIF(FiveYearPlan_2020[Primary Driver],$A5,FiveYearPlan_2020[2022 Approved])</f>
        <v>41682500</v>
      </c>
      <c r="E5" s="252">
        <f>SUMIF(FiveYearPlan_2020[Primary Driver],$A5,FiveYearPlan_2020[2023 Approved])</f>
        <v>42540000</v>
      </c>
      <c r="F5" s="253">
        <f>SUMIF(FiveYearPlan_2020[Primary Driver],$A5,FiveYearPlan_2020[2024 Approved])</f>
        <v>15850000</v>
      </c>
    </row>
    <row r="6" spans="1:21" x14ac:dyDescent="0.25">
      <c r="A6" s="230" t="s">
        <v>161</v>
      </c>
      <c r="B6" s="231">
        <f>SUMIF(FiveYearPlan_2020[Primary Driver],$A6,FiveYearPlan_2020[2020 Approved])</f>
        <v>63815596</v>
      </c>
      <c r="C6" s="250">
        <f>SUMIF(FiveYearPlan_2020[Primary Driver],$A6,FiveYearPlan_2020[2021 Approved])</f>
        <v>80225608</v>
      </c>
      <c r="D6" s="251">
        <f>SUMIF(FiveYearPlan_2020[Primary Driver],$A6,FiveYearPlan_2020[2022 Approved])</f>
        <v>75481254</v>
      </c>
      <c r="E6" s="252">
        <f>SUMIF(FiveYearPlan_2020[Primary Driver],$A6,FiveYearPlan_2020[2023 Approved])</f>
        <v>88396578</v>
      </c>
      <c r="F6" s="253">
        <f>SUMIF(FiveYearPlan_2020[Primary Driver],$A6,FiveYearPlan_2020[2024 Approved])</f>
        <v>96050245</v>
      </c>
    </row>
    <row r="7" spans="1:21" x14ac:dyDescent="0.25">
      <c r="A7" s="230" t="s">
        <v>160</v>
      </c>
      <c r="B7" s="231">
        <f>SUMIF(FiveYearPlan_2020[Primary Driver],$A7,FiveYearPlan_2020[2020 Approved])</f>
        <v>115602157</v>
      </c>
      <c r="C7" s="250">
        <f>SUMIF(FiveYearPlan_2020[Primary Driver],$A7,FiveYearPlan_2020[2021 Approved])</f>
        <v>122601308</v>
      </c>
      <c r="D7" s="251">
        <f>SUMIF(FiveYearPlan_2020[Primary Driver],$A7,FiveYearPlan_2020[2022 Approved])</f>
        <v>148432501</v>
      </c>
      <c r="E7" s="252">
        <f>SUMIF(FiveYearPlan_2020[Primary Driver],$A7,FiveYearPlan_2020[2023 Approved])</f>
        <v>151699678</v>
      </c>
      <c r="F7" s="253">
        <f>SUMIF(FiveYearPlan_2020[Primary Driver],$A7,FiveYearPlan_2020[2024 Approved])</f>
        <v>169863832</v>
      </c>
    </row>
    <row r="8" spans="1:21" ht="15.75" thickBot="1" x14ac:dyDescent="0.3">
      <c r="A8" s="238" t="s">
        <v>206</v>
      </c>
      <c r="B8" s="239">
        <f t="shared" ref="B8:F8" si="0">SUM(B2:B7)</f>
        <v>405000000</v>
      </c>
      <c r="C8" s="254">
        <f t="shared" si="0"/>
        <v>405000000</v>
      </c>
      <c r="D8" s="255">
        <f t="shared" si="0"/>
        <v>405000000</v>
      </c>
      <c r="E8" s="256">
        <f t="shared" si="0"/>
        <v>405000000</v>
      </c>
      <c r="F8" s="257">
        <f t="shared" si="0"/>
        <v>405000000</v>
      </c>
    </row>
    <row r="9" spans="1:21" s="83" customFormat="1" ht="15.75" thickBot="1" x14ac:dyDescent="0.3">
      <c r="A9" s="85"/>
      <c r="B9" s="89"/>
      <c r="C9" s="89"/>
      <c r="D9" s="89"/>
      <c r="E9" s="90"/>
      <c r="F9" s="90"/>
    </row>
    <row r="10" spans="1:21" s="76" customFormat="1" x14ac:dyDescent="0.25">
      <c r="A10" s="222" t="s">
        <v>207</v>
      </c>
      <c r="B10" s="223">
        <v>2020</v>
      </c>
      <c r="C10" s="224">
        <v>2021</v>
      </c>
      <c r="D10" s="225">
        <v>2022</v>
      </c>
      <c r="E10" s="226">
        <v>2023</v>
      </c>
      <c r="F10" s="227">
        <v>2024</v>
      </c>
      <c r="G10" s="228" t="s">
        <v>208</v>
      </c>
      <c r="H10" s="229" t="s">
        <v>209</v>
      </c>
    </row>
    <row r="11" spans="1:21" s="76" customFormat="1" x14ac:dyDescent="0.25">
      <c r="A11" s="230" t="s">
        <v>164</v>
      </c>
      <c r="B11" s="231">
        <f>B2</f>
        <v>60181711</v>
      </c>
      <c r="C11" s="232">
        <f t="shared" ref="C11:F11" si="1">C2</f>
        <v>51134379</v>
      </c>
      <c r="D11" s="233">
        <f t="shared" si="1"/>
        <v>49859819</v>
      </c>
      <c r="E11" s="234">
        <f t="shared" si="1"/>
        <v>49734401</v>
      </c>
      <c r="F11" s="235">
        <f t="shared" si="1"/>
        <v>50362596</v>
      </c>
      <c r="G11" s="236">
        <f>SUM(B11:F11)</f>
        <v>261272906</v>
      </c>
      <c r="H11" s="237">
        <f t="shared" ref="H11:H16" si="2">G11/$G$17</f>
        <v>0.12902365728395063</v>
      </c>
    </row>
    <row r="12" spans="1:21" s="76" customFormat="1" x14ac:dyDescent="0.25">
      <c r="A12" s="230" t="s">
        <v>159</v>
      </c>
      <c r="B12" s="231">
        <f t="shared" ref="B12:F13" si="3">B3</f>
        <v>91410119</v>
      </c>
      <c r="C12" s="232">
        <f t="shared" si="3"/>
        <v>89600960</v>
      </c>
      <c r="D12" s="233">
        <f t="shared" si="3"/>
        <v>73515726</v>
      </c>
      <c r="E12" s="234">
        <f t="shared" si="3"/>
        <v>57761343</v>
      </c>
      <c r="F12" s="235">
        <f t="shared" si="3"/>
        <v>58005327</v>
      </c>
      <c r="G12" s="236">
        <f t="shared" ref="G12:G16" si="4">SUM(B12:F12)</f>
        <v>370293475</v>
      </c>
      <c r="H12" s="237">
        <f t="shared" si="2"/>
        <v>0.18286097530864198</v>
      </c>
    </row>
    <row r="13" spans="1:21" s="76" customFormat="1" x14ac:dyDescent="0.25">
      <c r="A13" s="230" t="s">
        <v>163</v>
      </c>
      <c r="B13" s="231">
        <f t="shared" si="3"/>
        <v>20877880</v>
      </c>
      <c r="C13" s="232">
        <f t="shared" si="3"/>
        <v>18398000</v>
      </c>
      <c r="D13" s="233">
        <f t="shared" si="3"/>
        <v>16028200</v>
      </c>
      <c r="E13" s="234">
        <f t="shared" si="3"/>
        <v>14868000</v>
      </c>
      <c r="F13" s="235">
        <f t="shared" si="3"/>
        <v>14868000</v>
      </c>
      <c r="G13" s="236">
        <f t="shared" si="4"/>
        <v>85040080</v>
      </c>
      <c r="H13" s="237">
        <f t="shared" si="2"/>
        <v>4.19951012345679E-2</v>
      </c>
      <c r="U13" s="76">
        <f>SUM(35+4)</f>
        <v>39</v>
      </c>
    </row>
    <row r="14" spans="1:21" s="76" customFormat="1" x14ac:dyDescent="0.25">
      <c r="A14" s="230" t="s">
        <v>160</v>
      </c>
      <c r="B14" s="231">
        <f>B7</f>
        <v>115602157</v>
      </c>
      <c r="C14" s="232">
        <f t="shared" ref="C14:F14" si="5">C7</f>
        <v>122601308</v>
      </c>
      <c r="D14" s="233">
        <f t="shared" si="5"/>
        <v>148432501</v>
      </c>
      <c r="E14" s="234">
        <f t="shared" si="5"/>
        <v>151699678</v>
      </c>
      <c r="F14" s="235">
        <f t="shared" si="5"/>
        <v>169863832</v>
      </c>
      <c r="G14" s="236">
        <f t="shared" si="4"/>
        <v>708199476</v>
      </c>
      <c r="H14" s="237">
        <f t="shared" si="2"/>
        <v>0.34972813629629629</v>
      </c>
    </row>
    <row r="15" spans="1:21" s="76" customFormat="1" x14ac:dyDescent="0.25">
      <c r="A15" s="230" t="s">
        <v>162</v>
      </c>
      <c r="B15" s="231">
        <f>B5</f>
        <v>53112537</v>
      </c>
      <c r="C15" s="232">
        <f t="shared" ref="C15:F15" si="6">C5</f>
        <v>43039745</v>
      </c>
      <c r="D15" s="233">
        <f t="shared" si="6"/>
        <v>41682500</v>
      </c>
      <c r="E15" s="234">
        <f t="shared" si="6"/>
        <v>42540000</v>
      </c>
      <c r="F15" s="235">
        <f t="shared" si="6"/>
        <v>15850000</v>
      </c>
      <c r="G15" s="236">
        <f t="shared" si="4"/>
        <v>196224782</v>
      </c>
      <c r="H15" s="237">
        <f t="shared" si="2"/>
        <v>9.6901126913580243E-2</v>
      </c>
    </row>
    <row r="16" spans="1:21" s="76" customFormat="1" x14ac:dyDescent="0.25">
      <c r="A16" s="230" t="s">
        <v>161</v>
      </c>
      <c r="B16" s="231">
        <f>B6</f>
        <v>63815596</v>
      </c>
      <c r="C16" s="232">
        <f t="shared" ref="C16:F16" si="7">C6</f>
        <v>80225608</v>
      </c>
      <c r="D16" s="233">
        <f t="shared" si="7"/>
        <v>75481254</v>
      </c>
      <c r="E16" s="234">
        <f t="shared" si="7"/>
        <v>88396578</v>
      </c>
      <c r="F16" s="235">
        <f t="shared" si="7"/>
        <v>96050245</v>
      </c>
      <c r="G16" s="236">
        <f t="shared" si="4"/>
        <v>403969281</v>
      </c>
      <c r="H16" s="237">
        <f t="shared" si="2"/>
        <v>0.19949100296296296</v>
      </c>
    </row>
    <row r="17" spans="1:19" ht="15.75" thickBot="1" x14ac:dyDescent="0.3">
      <c r="A17" s="238" t="s">
        <v>206</v>
      </c>
      <c r="B17" s="239">
        <f>SUM(B11:B16)</f>
        <v>405000000</v>
      </c>
      <c r="C17" s="240">
        <f t="shared" ref="C17:G17" si="8">SUM(C11:C16)</f>
        <v>405000000</v>
      </c>
      <c r="D17" s="241">
        <f t="shared" si="8"/>
        <v>405000000</v>
      </c>
      <c r="E17" s="242">
        <f t="shared" si="8"/>
        <v>405000000</v>
      </c>
      <c r="F17" s="243">
        <f t="shared" si="8"/>
        <v>405000000</v>
      </c>
      <c r="G17" s="244">
        <f t="shared" si="8"/>
        <v>2025000000</v>
      </c>
      <c r="H17" s="245"/>
      <c r="S17">
        <f>39+22</f>
        <v>61</v>
      </c>
    </row>
    <row r="18" spans="1:19" s="83" customFormat="1" ht="15.75" thickBot="1" x14ac:dyDescent="0.3">
      <c r="A18" s="85"/>
      <c r="B18" s="86"/>
      <c r="C18" s="86"/>
      <c r="D18" s="86"/>
      <c r="E18" s="87"/>
      <c r="F18" s="88"/>
    </row>
    <row r="19" spans="1:19" x14ac:dyDescent="0.25">
      <c r="A19" s="49"/>
      <c r="B19" s="51"/>
      <c r="C19" s="94">
        <v>2020</v>
      </c>
      <c r="D19" s="92">
        <v>2021</v>
      </c>
      <c r="E19" s="91">
        <v>2022</v>
      </c>
      <c r="F19" s="99">
        <v>2023</v>
      </c>
      <c r="G19" s="100">
        <v>2024</v>
      </c>
      <c r="H19" s="77" t="s">
        <v>208</v>
      </c>
      <c r="I19" s="82" t="s">
        <v>209</v>
      </c>
    </row>
    <row r="20" spans="1:19" x14ac:dyDescent="0.25">
      <c r="A20" s="93" t="s">
        <v>19</v>
      </c>
      <c r="B20" s="103" t="s">
        <v>19</v>
      </c>
      <c r="C20" s="95">
        <f>SUMIF(FiveYearPlan_2020[Function],$B20,FiveYearPlan_2020[2020 Approved])</f>
        <v>24136627</v>
      </c>
      <c r="D20" s="97">
        <f>SUMIF(FiveYearPlan_2020[Function],$B20,FiveYearPlan_2020[2021 Approved])</f>
        <v>18223068</v>
      </c>
      <c r="E20" s="98">
        <f>SUMIF(FiveYearPlan_2020[Function],$B20,FiveYearPlan_2020[2022 Approved])</f>
        <v>6096910</v>
      </c>
      <c r="F20" s="101">
        <f>SUMIF(FiveYearPlan_2020[Function],$B20,FiveYearPlan_2020[2023 Approved])</f>
        <v>5282698</v>
      </c>
      <c r="G20" s="104">
        <f>SUMIF(FiveYearPlan_2020[Function],$B20,FiveYearPlan_2020[2024 Approved])</f>
        <v>5094679</v>
      </c>
      <c r="H20" s="50">
        <f>SUM(C20:G20)</f>
        <v>58833982</v>
      </c>
      <c r="I20" s="81">
        <f>H20/$H$27</f>
        <v>2.9053818271604939E-2</v>
      </c>
    </row>
    <row r="21" spans="1:19" x14ac:dyDescent="0.25">
      <c r="A21" s="93" t="s">
        <v>210</v>
      </c>
      <c r="B21" s="103" t="s">
        <v>17</v>
      </c>
      <c r="C21" s="95">
        <f>SUMIF(FiveYearPlan_2020[Function],$B21,FiveYearPlan_2020[2020 Approved])</f>
        <v>42594463</v>
      </c>
      <c r="D21" s="97">
        <f>SUMIF(FiveYearPlan_2020[Function],$B21,FiveYearPlan_2020[2021 Approved])</f>
        <v>52905275</v>
      </c>
      <c r="E21" s="98">
        <f>SUMIF(FiveYearPlan_2020[Function],$B21,FiveYearPlan_2020[2022 Approved])</f>
        <v>59687121</v>
      </c>
      <c r="F21" s="101">
        <f>SUMIF(FiveYearPlan_2020[Function],$B21,FiveYearPlan_2020[2023 Approved])</f>
        <v>57584578</v>
      </c>
      <c r="G21" s="104">
        <f>SUMIF(FiveYearPlan_2020[Function],$B21,FiveYearPlan_2020[2024 Approved])</f>
        <v>54836578</v>
      </c>
      <c r="H21" s="50">
        <f t="shared" ref="H21:H27" si="9">SUM(C21:G21)</f>
        <v>267608015</v>
      </c>
      <c r="I21" s="81">
        <f t="shared" ref="I21:I26" si="10">H21/$H$27</f>
        <v>0.13215210617283951</v>
      </c>
    </row>
    <row r="22" spans="1:19" x14ac:dyDescent="0.25">
      <c r="A22" s="93" t="s">
        <v>15</v>
      </c>
      <c r="B22" s="103" t="s">
        <v>15</v>
      </c>
      <c r="C22" s="95">
        <f>SUMIF(FiveYearPlan_2020[Function],$B22,FiveYearPlan_2020[2020 Approved])</f>
        <v>46193892</v>
      </c>
      <c r="D22" s="97">
        <f>SUMIF(FiveYearPlan_2020[Function],$B22,FiveYearPlan_2020[2021 Approved])</f>
        <v>47608892</v>
      </c>
      <c r="E22" s="98">
        <f>SUMIF(FiveYearPlan_2020[Function],$B22,FiveYearPlan_2020[2022 Approved])</f>
        <v>49549816</v>
      </c>
      <c r="F22" s="101">
        <f>SUMIF(FiveYearPlan_2020[Function],$B22,FiveYearPlan_2020[2023 Approved])</f>
        <v>45988645</v>
      </c>
      <c r="G22" s="104">
        <f>SUMIF(FiveYearPlan_2020[Function],$B22,FiveYearPlan_2020[2024 Approved])</f>
        <v>45355648</v>
      </c>
      <c r="H22" s="50">
        <f t="shared" si="9"/>
        <v>234696893</v>
      </c>
      <c r="I22" s="81">
        <f t="shared" si="10"/>
        <v>0.11589970024691358</v>
      </c>
    </row>
    <row r="23" spans="1:19" x14ac:dyDescent="0.25">
      <c r="A23" s="93" t="s">
        <v>14</v>
      </c>
      <c r="B23" s="103" t="s">
        <v>14</v>
      </c>
      <c r="C23" s="95">
        <f>SUMIF(FiveYearPlan_2020[Function],$B23,FiveYearPlan_2020[2020 Approved])</f>
        <v>51451805</v>
      </c>
      <c r="D23" s="97">
        <f>SUMIF(FiveYearPlan_2020[Function],$B23,FiveYearPlan_2020[2021 Approved])</f>
        <v>53933675</v>
      </c>
      <c r="E23" s="98">
        <f>SUMIF(FiveYearPlan_2020[Function],$B23,FiveYearPlan_2020[2022 Approved])</f>
        <v>54488738</v>
      </c>
      <c r="F23" s="101">
        <f>SUMIF(FiveYearPlan_2020[Function],$B23,FiveYearPlan_2020[2023 Approved])</f>
        <v>61201000</v>
      </c>
      <c r="G23" s="104">
        <f>SUMIF(FiveYearPlan_2020[Function],$B23,FiveYearPlan_2020[2024 Approved])</f>
        <v>61199000</v>
      </c>
      <c r="H23" s="50">
        <f t="shared" si="9"/>
        <v>282274218</v>
      </c>
      <c r="I23" s="81">
        <f t="shared" si="10"/>
        <v>0.13939467555555557</v>
      </c>
    </row>
    <row r="24" spans="1:19" x14ac:dyDescent="0.25">
      <c r="A24" s="93" t="s">
        <v>20</v>
      </c>
      <c r="B24" s="103" t="s">
        <v>20</v>
      </c>
      <c r="C24" s="95">
        <f>SUMIF(FiveYearPlan_2020[Function],$B24,FiveYearPlan_2020[2020 Approved])</f>
        <v>57956711</v>
      </c>
      <c r="D24" s="97">
        <f>SUMIF(FiveYearPlan_2020[Function],$B24,FiveYearPlan_2020[2021 Approved])</f>
        <v>51134379</v>
      </c>
      <c r="E24" s="98">
        <f>SUMIF(FiveYearPlan_2020[Function],$B24,FiveYearPlan_2020[2022 Approved])</f>
        <v>49859819</v>
      </c>
      <c r="F24" s="101">
        <f>SUMIF(FiveYearPlan_2020[Function],$B24,FiveYearPlan_2020[2023 Approved])</f>
        <v>49734401</v>
      </c>
      <c r="G24" s="104">
        <f>SUMIF(FiveYearPlan_2020[Function],$B24,FiveYearPlan_2020[2024 Approved])</f>
        <v>50362596</v>
      </c>
      <c r="H24" s="50">
        <f t="shared" si="9"/>
        <v>259047906</v>
      </c>
      <c r="I24" s="81">
        <f t="shared" si="10"/>
        <v>0.12792489185185185</v>
      </c>
    </row>
    <row r="25" spans="1:19" x14ac:dyDescent="0.25">
      <c r="A25" s="93" t="s">
        <v>16</v>
      </c>
      <c r="B25" s="103" t="s">
        <v>16</v>
      </c>
      <c r="C25" s="95">
        <f>SUMIF(FiveYearPlan_2020[Function],$B25,FiveYearPlan_2020[2020 Approved])</f>
        <v>28942845</v>
      </c>
      <c r="D25" s="97">
        <f>SUMIF(FiveYearPlan_2020[Function],$B25,FiveYearPlan_2020[2021 Approved])</f>
        <v>36023346</v>
      </c>
      <c r="E25" s="98">
        <f>SUMIF(FiveYearPlan_2020[Function],$B25,FiveYearPlan_2020[2022 Approved])</f>
        <v>33761476</v>
      </c>
      <c r="F25" s="101">
        <f>SUMIF(FiveYearPlan_2020[Function],$B25,FiveYearPlan_2020[2023 Approved])</f>
        <v>38885258</v>
      </c>
      <c r="G25" s="104">
        <f>SUMIF(FiveYearPlan_2020[Function],$B25,FiveYearPlan_2020[2024 Approved])</f>
        <v>53946179</v>
      </c>
      <c r="H25" s="50">
        <f t="shared" si="9"/>
        <v>191559104</v>
      </c>
      <c r="I25" s="81">
        <f t="shared" si="10"/>
        <v>9.4597088395061729E-2</v>
      </c>
    </row>
    <row r="26" spans="1:19" x14ac:dyDescent="0.25">
      <c r="A26" s="93" t="s">
        <v>211</v>
      </c>
      <c r="B26" s="103" t="s">
        <v>18</v>
      </c>
      <c r="C26" s="95">
        <f>SUMIF(FiveYearPlan_2020[Function],$B26,FiveYearPlan_2020[2020 Approved])</f>
        <v>153723657</v>
      </c>
      <c r="D26" s="97">
        <f>SUMIF(FiveYearPlan_2020[Function],$B26,FiveYearPlan_2020[2021 Approved])</f>
        <v>145171365</v>
      </c>
      <c r="E26" s="98">
        <f>SUMIF(FiveYearPlan_2020[Function],$B26,FiveYearPlan_2020[2022 Approved])</f>
        <v>151556120</v>
      </c>
      <c r="F26" s="101">
        <f>SUMIF(FiveYearPlan_2020[Function],$B26,FiveYearPlan_2020[2023 Approved])</f>
        <v>146323420</v>
      </c>
      <c r="G26" s="104">
        <f>SUMIF(FiveYearPlan_2020[Function],$B26,FiveYearPlan_2020[2024 Approved])</f>
        <v>134205320</v>
      </c>
      <c r="H26" s="50">
        <f t="shared" si="9"/>
        <v>730979882</v>
      </c>
      <c r="I26" s="81">
        <f t="shared" si="10"/>
        <v>0.36097771950617286</v>
      </c>
    </row>
    <row r="27" spans="1:19" ht="15.75" thickBot="1" x14ac:dyDescent="0.3">
      <c r="B27" s="67" t="s">
        <v>206</v>
      </c>
      <c r="C27" s="96">
        <f>SUM(C20:C26)</f>
        <v>405000000</v>
      </c>
      <c r="D27" s="68">
        <f t="shared" ref="D27:G27" si="11">SUM(D20:D26)</f>
        <v>405000000</v>
      </c>
      <c r="E27" s="84">
        <f t="shared" si="11"/>
        <v>405000000</v>
      </c>
      <c r="F27" s="102">
        <f t="shared" si="11"/>
        <v>405000000</v>
      </c>
      <c r="G27" s="105">
        <f t="shared" si="11"/>
        <v>405000000</v>
      </c>
      <c r="H27" s="50">
        <f t="shared" si="9"/>
        <v>2025000000</v>
      </c>
    </row>
    <row r="30" spans="1:19" ht="15.75" thickBot="1" x14ac:dyDescent="0.3">
      <c r="B30" s="127">
        <v>371318373</v>
      </c>
      <c r="C30" s="125">
        <v>375726932</v>
      </c>
      <c r="D30" s="125">
        <v>387853090</v>
      </c>
      <c r="E30" s="125">
        <v>388667302</v>
      </c>
      <c r="F30" s="126">
        <v>389105321</v>
      </c>
    </row>
    <row r="31" spans="1:19" ht="15.75" thickTop="1" x14ac:dyDescent="0.25"/>
    <row r="32" spans="1:19" ht="15.75" thickBot="1" x14ac:dyDescent="0.3"/>
    <row r="33" spans="1:6" ht="15.75" thickBot="1" x14ac:dyDescent="0.3">
      <c r="A33" s="76"/>
      <c r="B33" s="259">
        <v>2020</v>
      </c>
      <c r="C33" s="260">
        <v>2021</v>
      </c>
      <c r="D33" s="261">
        <v>2022</v>
      </c>
      <c r="E33" s="262">
        <v>2023</v>
      </c>
      <c r="F33" s="263">
        <v>2024</v>
      </c>
    </row>
    <row r="34" spans="1:6" x14ac:dyDescent="0.25">
      <c r="A34" s="264" t="s">
        <v>164</v>
      </c>
      <c r="B34" s="265">
        <v>60181711</v>
      </c>
      <c r="C34" s="266">
        <v>51134379</v>
      </c>
      <c r="D34" s="266">
        <v>49859819</v>
      </c>
      <c r="E34" s="266">
        <v>49734401</v>
      </c>
      <c r="F34" s="267">
        <v>50362596</v>
      </c>
    </row>
    <row r="35" spans="1:6" x14ac:dyDescent="0.25">
      <c r="A35" s="268" t="s">
        <v>159</v>
      </c>
      <c r="B35" s="269">
        <v>91410119</v>
      </c>
      <c r="C35" s="270">
        <v>89600960</v>
      </c>
      <c r="D35" s="270">
        <v>73515726</v>
      </c>
      <c r="E35" s="270">
        <v>57761343</v>
      </c>
      <c r="F35" s="271">
        <v>58005327</v>
      </c>
    </row>
    <row r="36" spans="1:6" x14ac:dyDescent="0.25">
      <c r="A36" s="268" t="s">
        <v>163</v>
      </c>
      <c r="B36" s="269">
        <v>20877880</v>
      </c>
      <c r="C36" s="270">
        <v>18398000</v>
      </c>
      <c r="D36" s="270">
        <v>16028200</v>
      </c>
      <c r="E36" s="270">
        <v>14868000</v>
      </c>
      <c r="F36" s="271">
        <v>14868000</v>
      </c>
    </row>
    <row r="37" spans="1:6" x14ac:dyDescent="0.25">
      <c r="A37" s="268" t="s">
        <v>162</v>
      </c>
      <c r="B37" s="269">
        <v>53112537</v>
      </c>
      <c r="C37" s="270">
        <v>43039745</v>
      </c>
      <c r="D37" s="270">
        <v>41682500</v>
      </c>
      <c r="E37" s="270">
        <v>42540000</v>
      </c>
      <c r="F37" s="271">
        <v>15850000</v>
      </c>
    </row>
    <row r="38" spans="1:6" x14ac:dyDescent="0.25">
      <c r="A38" s="268" t="s">
        <v>161</v>
      </c>
      <c r="B38" s="269">
        <v>63815596</v>
      </c>
      <c r="C38" s="270">
        <v>80225608</v>
      </c>
      <c r="D38" s="270">
        <v>75481254</v>
      </c>
      <c r="E38" s="270">
        <v>88396578</v>
      </c>
      <c r="F38" s="271">
        <v>96050245</v>
      </c>
    </row>
    <row r="39" spans="1:6" ht="15.75" thickBot="1" x14ac:dyDescent="0.3">
      <c r="A39" s="272" t="s">
        <v>160</v>
      </c>
      <c r="B39" s="273">
        <v>115602157</v>
      </c>
      <c r="C39" s="274">
        <v>122601308</v>
      </c>
      <c r="D39" s="274">
        <v>148432501</v>
      </c>
      <c r="E39" s="274">
        <v>151699678</v>
      </c>
      <c r="F39" s="275">
        <v>169863832</v>
      </c>
    </row>
    <row r="40" spans="1:6" x14ac:dyDescent="0.25">
      <c r="A40" s="49"/>
      <c r="B40" s="50">
        <v>405000000</v>
      </c>
      <c r="C40" s="50">
        <v>405000000</v>
      </c>
      <c r="D40" s="50">
        <v>405000000</v>
      </c>
      <c r="E40" s="50">
        <v>405000000</v>
      </c>
      <c r="F40" s="50">
        <v>405000000</v>
      </c>
    </row>
    <row r="41" spans="1:6" ht="15.75" thickBot="1" x14ac:dyDescent="0.3">
      <c r="A41" s="49"/>
      <c r="B41" s="76"/>
      <c r="C41" s="76"/>
      <c r="D41" s="76"/>
      <c r="E41" s="76"/>
      <c r="F41" s="76"/>
    </row>
    <row r="42" spans="1:6" ht="15.75" thickBot="1" x14ac:dyDescent="0.3">
      <c r="A42" s="49"/>
      <c r="B42" s="259">
        <v>2020</v>
      </c>
      <c r="C42" s="260">
        <v>2021</v>
      </c>
      <c r="D42" s="261">
        <v>2022</v>
      </c>
      <c r="E42" s="262">
        <v>2023</v>
      </c>
      <c r="F42" s="263">
        <v>2024</v>
      </c>
    </row>
    <row r="43" spans="1:6" x14ac:dyDescent="0.25">
      <c r="A43" s="276" t="s">
        <v>19</v>
      </c>
      <c r="B43" s="265">
        <v>24136627</v>
      </c>
      <c r="C43" s="266">
        <v>18223068</v>
      </c>
      <c r="D43" s="266">
        <v>6096910</v>
      </c>
      <c r="E43" s="266">
        <v>5282698</v>
      </c>
      <c r="F43" s="267">
        <v>5094679</v>
      </c>
    </row>
    <row r="44" spans="1:6" x14ac:dyDescent="0.25">
      <c r="A44" s="277" t="s">
        <v>17</v>
      </c>
      <c r="B44" s="269">
        <v>42594463</v>
      </c>
      <c r="C44" s="270">
        <v>52905275</v>
      </c>
      <c r="D44" s="270">
        <v>59687121</v>
      </c>
      <c r="E44" s="270">
        <v>57584578</v>
      </c>
      <c r="F44" s="271">
        <v>54836578</v>
      </c>
    </row>
    <row r="45" spans="1:6" x14ac:dyDescent="0.25">
      <c r="A45" s="277" t="s">
        <v>15</v>
      </c>
      <c r="B45" s="269">
        <v>46193892</v>
      </c>
      <c r="C45" s="270">
        <v>47608892</v>
      </c>
      <c r="D45" s="270">
        <v>49549816</v>
      </c>
      <c r="E45" s="270">
        <v>45988645</v>
      </c>
      <c r="F45" s="271">
        <v>45355648</v>
      </c>
    </row>
    <row r="46" spans="1:6" x14ac:dyDescent="0.25">
      <c r="A46" s="277" t="s">
        <v>14</v>
      </c>
      <c r="B46" s="269">
        <v>51451805</v>
      </c>
      <c r="C46" s="270">
        <v>53933675</v>
      </c>
      <c r="D46" s="270">
        <v>54488738</v>
      </c>
      <c r="E46" s="270">
        <v>61201000</v>
      </c>
      <c r="F46" s="271">
        <v>61199000</v>
      </c>
    </row>
    <row r="47" spans="1:6" x14ac:dyDescent="0.25">
      <c r="A47" s="277" t="s">
        <v>20</v>
      </c>
      <c r="B47" s="269">
        <v>57956711</v>
      </c>
      <c r="C47" s="270">
        <v>51134379</v>
      </c>
      <c r="D47" s="270">
        <v>49859819</v>
      </c>
      <c r="E47" s="270">
        <v>49734401</v>
      </c>
      <c r="F47" s="271">
        <v>50362596</v>
      </c>
    </row>
    <row r="48" spans="1:6" x14ac:dyDescent="0.25">
      <c r="A48" s="277" t="s">
        <v>16</v>
      </c>
      <c r="B48" s="269">
        <v>28942845</v>
      </c>
      <c r="C48" s="270">
        <v>36023346</v>
      </c>
      <c r="D48" s="270">
        <v>33761476</v>
      </c>
      <c r="E48" s="270">
        <v>38885258</v>
      </c>
      <c r="F48" s="271">
        <v>53946179</v>
      </c>
    </row>
    <row r="49" spans="1:6" ht="15.75" thickBot="1" x14ac:dyDescent="0.3">
      <c r="A49" s="278" t="s">
        <v>18</v>
      </c>
      <c r="B49" s="273">
        <v>153723657</v>
      </c>
      <c r="C49" s="274">
        <v>145171365</v>
      </c>
      <c r="D49" s="274">
        <v>151556120</v>
      </c>
      <c r="E49" s="274">
        <v>146323420</v>
      </c>
      <c r="F49" s="275">
        <v>134205320</v>
      </c>
    </row>
    <row r="50" spans="1:6" x14ac:dyDescent="0.25">
      <c r="A50" s="76"/>
      <c r="B50" s="50">
        <v>405000000</v>
      </c>
      <c r="C50" s="50">
        <v>405000000</v>
      </c>
      <c r="D50" s="50">
        <v>405000000</v>
      </c>
      <c r="E50" s="50">
        <v>405000000</v>
      </c>
      <c r="F50" s="50">
        <v>405000000</v>
      </c>
    </row>
  </sheetData>
  <conditionalFormatting sqref="A2:A7 A11:A16">
    <cfRule type="expression" dxfId="39" priority="5">
      <formula>MOD($A2,5)=0</formula>
    </cfRule>
  </conditionalFormatting>
  <conditionalFormatting sqref="B20:B26">
    <cfRule type="expression" dxfId="38" priority="6">
      <formula>MOD($B20,5)=0</formula>
    </cfRule>
  </conditionalFormatting>
  <conditionalFormatting sqref="A34:A39">
    <cfRule type="expression" dxfId="37" priority="2">
      <formula>MOD($A34,5)=0</formula>
    </cfRule>
  </conditionalFormatting>
  <conditionalFormatting sqref="A43:A49">
    <cfRule type="expression" dxfId="36" priority="1">
      <formula>MOD($A43,5)=0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T4" sqref="T4"/>
    </sheetView>
  </sheetViews>
  <sheetFormatPr defaultColWidth="8.7109375" defaultRowHeight="15" x14ac:dyDescent="0.25"/>
  <cols>
    <col min="1" max="1" width="15.140625" style="76" customWidth="1"/>
    <col min="2" max="16384" width="8.7109375" style="76"/>
  </cols>
  <sheetData>
    <row r="1" spans="1:21" ht="45" x14ac:dyDescent="0.25">
      <c r="A1" s="190"/>
      <c r="B1" s="191" t="s">
        <v>235</v>
      </c>
      <c r="C1" s="191" t="s">
        <v>236</v>
      </c>
      <c r="D1" s="191" t="s">
        <v>237</v>
      </c>
      <c r="F1" s="199" t="s">
        <v>244</v>
      </c>
      <c r="U1" s="76">
        <f>0</f>
        <v>0</v>
      </c>
    </row>
    <row r="2" spans="1:21" x14ac:dyDescent="0.25">
      <c r="A2" s="192">
        <v>1999</v>
      </c>
      <c r="B2" s="193">
        <v>4306</v>
      </c>
      <c r="C2" s="194"/>
      <c r="D2" s="194"/>
    </row>
    <row r="3" spans="1:21" x14ac:dyDescent="0.25">
      <c r="A3" s="195">
        <v>2000</v>
      </c>
      <c r="B3" s="193">
        <v>3976</v>
      </c>
      <c r="C3" s="196"/>
      <c r="D3" s="196"/>
    </row>
    <row r="4" spans="1:21" x14ac:dyDescent="0.25">
      <c r="A4" s="192">
        <v>2001</v>
      </c>
      <c r="B4" s="193">
        <v>4307</v>
      </c>
      <c r="C4" s="196"/>
      <c r="D4" s="196"/>
      <c r="F4" s="77" t="s">
        <v>247</v>
      </c>
    </row>
    <row r="5" spans="1:21" x14ac:dyDescent="0.25">
      <c r="A5" s="195">
        <v>2002</v>
      </c>
      <c r="B5" s="193">
        <v>4145</v>
      </c>
      <c r="C5" s="196"/>
      <c r="D5" s="196"/>
      <c r="F5" s="76" t="s">
        <v>245</v>
      </c>
      <c r="I5" s="200">
        <f>AVERAGE(B12:B22)</f>
        <v>4085.4545454545455</v>
      </c>
    </row>
    <row r="6" spans="1:21" x14ac:dyDescent="0.25">
      <c r="A6" s="192">
        <v>2003</v>
      </c>
      <c r="B6" s="193">
        <v>5044</v>
      </c>
      <c r="C6" s="196"/>
      <c r="D6" s="196"/>
      <c r="F6" s="76" t="s">
        <v>246</v>
      </c>
      <c r="I6" s="200">
        <f>AVERAGE(C12:C22)</f>
        <v>4941.636363636364</v>
      </c>
    </row>
    <row r="7" spans="1:21" x14ac:dyDescent="0.25">
      <c r="A7" s="195">
        <v>2004</v>
      </c>
      <c r="B7" s="193">
        <v>5832</v>
      </c>
      <c r="C7" s="196"/>
      <c r="D7" s="196"/>
    </row>
    <row r="8" spans="1:21" x14ac:dyDescent="0.25">
      <c r="A8" s="192">
        <v>2005</v>
      </c>
      <c r="B8" s="193">
        <v>7418</v>
      </c>
      <c r="C8" s="196"/>
      <c r="D8" s="196"/>
      <c r="F8" s="77" t="s">
        <v>248</v>
      </c>
    </row>
    <row r="9" spans="1:21" x14ac:dyDescent="0.25">
      <c r="A9" s="195">
        <v>2006</v>
      </c>
      <c r="B9" s="193">
        <v>7107</v>
      </c>
      <c r="C9" s="196"/>
      <c r="D9" s="196"/>
      <c r="F9" s="76" t="s">
        <v>249</v>
      </c>
      <c r="I9" s="200">
        <f>AVERAGE(B23:B28)</f>
        <v>4635.6103811311887</v>
      </c>
    </row>
    <row r="10" spans="1:21" x14ac:dyDescent="0.25">
      <c r="A10" s="192">
        <v>2007</v>
      </c>
      <c r="B10" s="193">
        <v>6764</v>
      </c>
      <c r="C10" s="196"/>
      <c r="D10" s="196"/>
      <c r="F10" s="76" t="s">
        <v>250</v>
      </c>
      <c r="I10" s="200">
        <f>AVERAGE(C23:C28)</f>
        <v>5790.477583163879</v>
      </c>
    </row>
    <row r="11" spans="1:21" x14ac:dyDescent="0.25">
      <c r="A11" s="195">
        <v>2008</v>
      </c>
      <c r="B11" s="193">
        <v>4493</v>
      </c>
      <c r="C11" s="196"/>
      <c r="D11" s="196"/>
    </row>
    <row r="12" spans="1:21" x14ac:dyDescent="0.25">
      <c r="A12" s="192">
        <v>2009</v>
      </c>
      <c r="B12" s="193">
        <v>3350</v>
      </c>
      <c r="C12" s="193">
        <v>3592</v>
      </c>
      <c r="D12" s="193">
        <f>SUM(B12:C12)</f>
        <v>6942</v>
      </c>
    </row>
    <row r="13" spans="1:21" x14ac:dyDescent="0.25">
      <c r="A13" s="195">
        <v>2010</v>
      </c>
      <c r="B13" s="193">
        <v>2455</v>
      </c>
      <c r="C13" s="193">
        <v>3048</v>
      </c>
      <c r="D13" s="193">
        <f t="shared" ref="D13:D28" si="0">SUM(B13:C13)</f>
        <v>5503</v>
      </c>
    </row>
    <row r="14" spans="1:21" x14ac:dyDescent="0.25">
      <c r="A14" s="192">
        <v>2011</v>
      </c>
      <c r="B14" s="193">
        <v>2693</v>
      </c>
      <c r="C14" s="193">
        <v>2924</v>
      </c>
      <c r="D14" s="193">
        <f t="shared" si="0"/>
        <v>5617</v>
      </c>
    </row>
    <row r="15" spans="1:21" x14ac:dyDescent="0.25">
      <c r="A15" s="195">
        <v>2012</v>
      </c>
      <c r="B15" s="193">
        <v>3263</v>
      </c>
      <c r="C15" s="193">
        <v>3230</v>
      </c>
      <c r="D15" s="193">
        <f t="shared" si="0"/>
        <v>6493</v>
      </c>
    </row>
    <row r="16" spans="1:21" x14ac:dyDescent="0.25">
      <c r="A16" s="192">
        <v>2013</v>
      </c>
      <c r="B16" s="193">
        <v>4362</v>
      </c>
      <c r="C16" s="193">
        <v>4030</v>
      </c>
      <c r="D16" s="193">
        <f t="shared" si="0"/>
        <v>8392</v>
      </c>
    </row>
    <row r="17" spans="1:4" x14ac:dyDescent="0.25">
      <c r="A17" s="195">
        <v>2014</v>
      </c>
      <c r="B17" s="193">
        <v>4782</v>
      </c>
      <c r="C17" s="193">
        <v>4855</v>
      </c>
      <c r="D17" s="193">
        <f t="shared" si="0"/>
        <v>9637</v>
      </c>
    </row>
    <row r="18" spans="1:4" x14ac:dyDescent="0.25">
      <c r="A18" s="192">
        <v>2015</v>
      </c>
      <c r="B18" s="193">
        <v>4041</v>
      </c>
      <c r="C18" s="193">
        <v>5134</v>
      </c>
      <c r="D18" s="193">
        <f t="shared" si="0"/>
        <v>9175</v>
      </c>
    </row>
    <row r="19" spans="1:4" x14ac:dyDescent="0.25">
      <c r="A19" s="195">
        <v>2016</v>
      </c>
      <c r="B19" s="193">
        <v>4587</v>
      </c>
      <c r="C19" s="193">
        <v>6431</v>
      </c>
      <c r="D19" s="193">
        <f t="shared" si="0"/>
        <v>11018</v>
      </c>
    </row>
    <row r="20" spans="1:4" x14ac:dyDescent="0.25">
      <c r="A20" s="192">
        <v>2017</v>
      </c>
      <c r="B20" s="193">
        <v>4706</v>
      </c>
      <c r="C20" s="193">
        <v>7279</v>
      </c>
      <c r="D20" s="193">
        <f t="shared" si="0"/>
        <v>11985</v>
      </c>
    </row>
    <row r="21" spans="1:4" x14ac:dyDescent="0.25">
      <c r="A21" s="195">
        <v>2018</v>
      </c>
      <c r="B21" s="193">
        <v>5554</v>
      </c>
      <c r="C21" s="193">
        <v>7474</v>
      </c>
      <c r="D21" s="193">
        <f t="shared" si="0"/>
        <v>13028</v>
      </c>
    </row>
    <row r="22" spans="1:4" x14ac:dyDescent="0.25">
      <c r="A22" s="192">
        <v>2019</v>
      </c>
      <c r="B22" s="193">
        <v>5147</v>
      </c>
      <c r="C22" s="193">
        <v>6361</v>
      </c>
      <c r="D22" s="193">
        <f t="shared" si="0"/>
        <v>11508</v>
      </c>
    </row>
    <row r="23" spans="1:4" x14ac:dyDescent="0.25">
      <c r="A23" s="198" t="s">
        <v>238</v>
      </c>
      <c r="B23" s="197">
        <v>5054.6248437943177</v>
      </c>
      <c r="C23" s="197">
        <v>6772.8479225000146</v>
      </c>
      <c r="D23" s="197">
        <f t="shared" si="0"/>
        <v>11827.472766294333</v>
      </c>
    </row>
    <row r="24" spans="1:4" x14ac:dyDescent="0.25">
      <c r="A24" s="198" t="s">
        <v>239</v>
      </c>
      <c r="B24" s="197">
        <v>4648.8170012187484</v>
      </c>
      <c r="C24" s="197">
        <v>5796.6183738999644</v>
      </c>
      <c r="D24" s="197">
        <f t="shared" si="0"/>
        <v>10445.435375118712</v>
      </c>
    </row>
    <row r="25" spans="1:4" x14ac:dyDescent="0.25">
      <c r="A25" s="198" t="s">
        <v>240</v>
      </c>
      <c r="B25" s="197">
        <v>4545.6134630492052</v>
      </c>
      <c r="C25" s="197">
        <v>5623.9644955833319</v>
      </c>
      <c r="D25" s="197">
        <f t="shared" si="0"/>
        <v>10169.577958632537</v>
      </c>
    </row>
    <row r="26" spans="1:4" x14ac:dyDescent="0.25">
      <c r="A26" s="198" t="s">
        <v>241</v>
      </c>
      <c r="B26" s="197">
        <v>4535.2488355124187</v>
      </c>
      <c r="C26" s="197">
        <v>5570.8411494833545</v>
      </c>
      <c r="D26" s="197">
        <f t="shared" si="0"/>
        <v>10106.089984995773</v>
      </c>
    </row>
    <row r="27" spans="1:4" x14ac:dyDescent="0.25">
      <c r="A27" s="198" t="s">
        <v>242</v>
      </c>
      <c r="B27" s="197">
        <v>4513.5700363068217</v>
      </c>
      <c r="C27" s="197">
        <v>5523.7217064000379</v>
      </c>
      <c r="D27" s="197">
        <f t="shared" si="0"/>
        <v>10037.291742706861</v>
      </c>
    </row>
    <row r="28" spans="1:4" x14ac:dyDescent="0.25">
      <c r="A28" s="198" t="s">
        <v>243</v>
      </c>
      <c r="B28" s="197">
        <v>4515.7881069056248</v>
      </c>
      <c r="C28" s="197">
        <v>5454.8718511165716</v>
      </c>
      <c r="D28" s="197">
        <f t="shared" si="0"/>
        <v>9970.6599580221955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2" sqref="A2:G6"/>
    </sheetView>
  </sheetViews>
  <sheetFormatPr defaultRowHeight="15" x14ac:dyDescent="0.25"/>
  <cols>
    <col min="1" max="1" width="10.42578125" customWidth="1"/>
    <col min="2" max="2" width="33.85546875" customWidth="1"/>
    <col min="3" max="7" width="12.42578125" customWidth="1"/>
  </cols>
  <sheetData>
    <row r="1" spans="1:7" ht="15.75" thickBot="1" x14ac:dyDescent="0.3"/>
    <row r="2" spans="1:7" ht="15.75" thickBot="1" x14ac:dyDescent="0.3">
      <c r="A2" s="298" t="s">
        <v>278</v>
      </c>
      <c r="B2" s="299"/>
      <c r="C2" s="299"/>
      <c r="D2" s="299"/>
      <c r="E2" s="299"/>
      <c r="F2" s="299"/>
      <c r="G2" s="300"/>
    </row>
    <row r="3" spans="1:7" s="79" customFormat="1" ht="15.75" thickBot="1" x14ac:dyDescent="0.3">
      <c r="A3" s="158" t="s">
        <v>21</v>
      </c>
      <c r="B3" s="159" t="s">
        <v>213</v>
      </c>
      <c r="C3" s="160">
        <v>2020</v>
      </c>
      <c r="D3" s="161">
        <v>2021</v>
      </c>
      <c r="E3" s="162">
        <v>2022</v>
      </c>
      <c r="F3" s="163">
        <v>2023</v>
      </c>
      <c r="G3" s="164">
        <v>2024</v>
      </c>
    </row>
    <row r="4" spans="1:7" s="79" customFormat="1" ht="18" customHeight="1" x14ac:dyDescent="0.25">
      <c r="A4" s="151" t="s">
        <v>20</v>
      </c>
      <c r="B4" s="152" t="s">
        <v>10</v>
      </c>
      <c r="C4" s="153">
        <v>57956711</v>
      </c>
      <c r="D4" s="154">
        <v>51134379</v>
      </c>
      <c r="E4" s="155">
        <v>49859819</v>
      </c>
      <c r="F4" s="156">
        <v>49734401</v>
      </c>
      <c r="G4" s="157">
        <v>50362596</v>
      </c>
    </row>
    <row r="5" spans="1:7" s="79" customFormat="1" ht="30" x14ac:dyDescent="0.25">
      <c r="A5" s="114" t="s">
        <v>18</v>
      </c>
      <c r="B5" s="113" t="s">
        <v>116</v>
      </c>
      <c r="C5" s="107">
        <v>2225000</v>
      </c>
      <c r="D5" s="108">
        <v>0</v>
      </c>
      <c r="E5" s="109">
        <v>0</v>
      </c>
      <c r="F5" s="110">
        <v>0</v>
      </c>
      <c r="G5" s="112">
        <v>0</v>
      </c>
    </row>
    <row r="6" spans="1:7" ht="15.75" thickBot="1" x14ac:dyDescent="0.3">
      <c r="A6" s="132"/>
      <c r="B6" s="133" t="s">
        <v>212</v>
      </c>
      <c r="C6" s="134">
        <f>SUM(C4:C5)</f>
        <v>60181711</v>
      </c>
      <c r="D6" s="134">
        <f t="shared" ref="D6:G6" si="0">SUM(D4:D5)</f>
        <v>51134379</v>
      </c>
      <c r="E6" s="134">
        <f t="shared" si="0"/>
        <v>49859819</v>
      </c>
      <c r="F6" s="134">
        <f t="shared" si="0"/>
        <v>49734401</v>
      </c>
      <c r="G6" s="135">
        <f t="shared" si="0"/>
        <v>50362596</v>
      </c>
    </row>
  </sheetData>
  <mergeCells count="1">
    <mergeCell ref="A2:G2"/>
  </mergeCells>
  <conditionalFormatting sqref="A4:G5">
    <cfRule type="expression" dxfId="35" priority="4">
      <formula>MOD(#REF!,5)=0</formula>
    </cfRule>
  </conditionalFormatting>
  <pageMargins left="0.7" right="0.7" top="0.75" bottom="0.75" header="0.3" footer="0.3"/>
  <pageSetup orientation="portrait" r:id="rId1"/>
  <ignoredErrors>
    <ignoredError sqref="C6:G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2" sqref="A2:G21"/>
    </sheetView>
  </sheetViews>
  <sheetFormatPr defaultRowHeight="15" x14ac:dyDescent="0.25"/>
  <cols>
    <col min="1" max="1" width="14.5703125" customWidth="1"/>
    <col min="2" max="2" width="45.140625" bestFit="1" customWidth="1"/>
    <col min="3" max="3" width="13.140625" customWidth="1"/>
    <col min="4" max="4" width="17.140625" customWidth="1"/>
    <col min="5" max="7" width="12.5703125" customWidth="1"/>
    <col min="8" max="8" width="12.5703125" bestFit="1" customWidth="1"/>
    <col min="9" max="9" width="14.42578125" bestFit="1" customWidth="1"/>
    <col min="12" max="12" width="11" bestFit="1" customWidth="1"/>
    <col min="13" max="13" width="49.5703125" bestFit="1" customWidth="1"/>
    <col min="14" max="14" width="12" bestFit="1" customWidth="1"/>
    <col min="15" max="15" width="14.85546875" bestFit="1" customWidth="1"/>
  </cols>
  <sheetData>
    <row r="1" spans="1:15" ht="15.75" thickBot="1" x14ac:dyDescent="0.3"/>
    <row r="2" spans="1:15" ht="15.75" thickBot="1" x14ac:dyDescent="0.3">
      <c r="A2" s="298" t="s">
        <v>279</v>
      </c>
      <c r="B2" s="299"/>
      <c r="C2" s="299"/>
      <c r="D2" s="299"/>
      <c r="E2" s="299"/>
      <c r="F2" s="299"/>
      <c r="G2" s="300"/>
    </row>
    <row r="3" spans="1:15" s="79" customFormat="1" ht="18" customHeight="1" thickBot="1" x14ac:dyDescent="0.3">
      <c r="A3" s="144" t="s">
        <v>21</v>
      </c>
      <c r="B3" s="145" t="s">
        <v>215</v>
      </c>
      <c r="C3" s="146">
        <v>2020</v>
      </c>
      <c r="D3" s="147">
        <v>2021</v>
      </c>
      <c r="E3" s="148">
        <v>2022</v>
      </c>
      <c r="F3" s="149">
        <v>2023</v>
      </c>
      <c r="G3" s="150">
        <v>2024</v>
      </c>
      <c r="H3" s="211" t="s">
        <v>225</v>
      </c>
      <c r="I3" s="177" t="s">
        <v>226</v>
      </c>
      <c r="L3" s="201" t="s">
        <v>21</v>
      </c>
      <c r="M3" s="202" t="s">
        <v>251</v>
      </c>
      <c r="N3" s="203" t="s">
        <v>225</v>
      </c>
      <c r="O3" s="204" t="s">
        <v>226</v>
      </c>
    </row>
    <row r="4" spans="1:15" s="79" customFormat="1" x14ac:dyDescent="0.25">
      <c r="A4" s="137" t="s">
        <v>19</v>
      </c>
      <c r="B4" s="138" t="s">
        <v>133</v>
      </c>
      <c r="C4" s="139">
        <v>19500000</v>
      </c>
      <c r="D4" s="140">
        <v>12500000</v>
      </c>
      <c r="E4" s="141">
        <v>160000</v>
      </c>
      <c r="F4" s="142">
        <v>0</v>
      </c>
      <c r="G4" s="143">
        <v>0</v>
      </c>
      <c r="H4" s="212">
        <f>SUM(C4:G4)</f>
        <v>32160000</v>
      </c>
      <c r="I4" s="178">
        <f>AVERAGE(C4:G4)</f>
        <v>6432000</v>
      </c>
      <c r="L4" s="205" t="s">
        <v>14</v>
      </c>
      <c r="M4" s="207" t="s">
        <v>41</v>
      </c>
      <c r="N4" s="208">
        <v>3055000</v>
      </c>
      <c r="O4" s="209">
        <v>611000</v>
      </c>
    </row>
    <row r="5" spans="1:15" s="79" customFormat="1" x14ac:dyDescent="0.25">
      <c r="A5" s="119" t="s">
        <v>19</v>
      </c>
      <c r="B5" s="111" t="s">
        <v>2</v>
      </c>
      <c r="C5" s="115">
        <v>3068027</v>
      </c>
      <c r="D5" s="116">
        <v>4418068</v>
      </c>
      <c r="E5" s="117">
        <v>5119610</v>
      </c>
      <c r="F5" s="118">
        <v>4222698</v>
      </c>
      <c r="G5" s="120">
        <v>4277379</v>
      </c>
      <c r="H5" s="212">
        <f t="shared" ref="H5:H21" si="0">SUM(C5:G5)</f>
        <v>21105782</v>
      </c>
      <c r="I5" s="178">
        <f t="shared" ref="I5:I21" si="1">AVERAGE(C5:G5)</f>
        <v>4221156.4000000004</v>
      </c>
      <c r="L5" s="206" t="s">
        <v>16</v>
      </c>
      <c r="M5" s="210" t="s">
        <v>43</v>
      </c>
      <c r="N5" s="208">
        <v>2055000</v>
      </c>
      <c r="O5" s="209">
        <v>411000</v>
      </c>
    </row>
    <row r="6" spans="1:15" s="79" customFormat="1" x14ac:dyDescent="0.25">
      <c r="A6" s="119" t="s">
        <v>19</v>
      </c>
      <c r="B6" s="111" t="s">
        <v>6</v>
      </c>
      <c r="C6" s="115">
        <v>450000</v>
      </c>
      <c r="D6" s="116">
        <v>450000</v>
      </c>
      <c r="E6" s="117">
        <v>450000</v>
      </c>
      <c r="F6" s="118">
        <v>450000</v>
      </c>
      <c r="G6" s="120">
        <v>450000</v>
      </c>
      <c r="H6" s="212">
        <f t="shared" si="0"/>
        <v>2250000</v>
      </c>
      <c r="I6" s="178">
        <f t="shared" si="1"/>
        <v>450000</v>
      </c>
      <c r="L6" s="206" t="s">
        <v>16</v>
      </c>
      <c r="M6" s="210" t="s">
        <v>5</v>
      </c>
      <c r="N6" s="208">
        <v>11880000</v>
      </c>
      <c r="O6" s="209">
        <v>2376000</v>
      </c>
    </row>
    <row r="7" spans="1:15" s="79" customFormat="1" x14ac:dyDescent="0.25">
      <c r="A7" s="119" t="s">
        <v>19</v>
      </c>
      <c r="B7" s="111" t="s">
        <v>8</v>
      </c>
      <c r="C7" s="115">
        <v>50000</v>
      </c>
      <c r="D7" s="116">
        <v>50000</v>
      </c>
      <c r="E7" s="117">
        <v>50000</v>
      </c>
      <c r="F7" s="118">
        <v>50000</v>
      </c>
      <c r="G7" s="120">
        <v>50000</v>
      </c>
      <c r="H7" s="212">
        <f t="shared" si="0"/>
        <v>250000</v>
      </c>
      <c r="I7" s="178">
        <f t="shared" si="1"/>
        <v>50000</v>
      </c>
      <c r="L7" s="206" t="s">
        <v>16</v>
      </c>
      <c r="M7" s="210" t="s">
        <v>128</v>
      </c>
      <c r="N7" s="208">
        <v>1800000</v>
      </c>
      <c r="O7" s="209">
        <v>360000</v>
      </c>
    </row>
    <row r="8" spans="1:15" s="79" customFormat="1" x14ac:dyDescent="0.25">
      <c r="A8" s="119" t="s">
        <v>19</v>
      </c>
      <c r="B8" s="111" t="s">
        <v>12</v>
      </c>
      <c r="C8" s="115">
        <v>1068600</v>
      </c>
      <c r="D8" s="116">
        <v>805000</v>
      </c>
      <c r="E8" s="117">
        <v>317300</v>
      </c>
      <c r="F8" s="118">
        <v>560000</v>
      </c>
      <c r="G8" s="120">
        <v>317300</v>
      </c>
      <c r="H8" s="212">
        <f t="shared" si="0"/>
        <v>3068200</v>
      </c>
      <c r="I8" s="178">
        <f t="shared" si="1"/>
        <v>613640</v>
      </c>
      <c r="L8" s="206" t="s">
        <v>16</v>
      </c>
      <c r="M8" s="210" t="s">
        <v>129</v>
      </c>
      <c r="N8" s="208">
        <v>1990000</v>
      </c>
      <c r="O8" s="209">
        <v>398000</v>
      </c>
    </row>
    <row r="9" spans="1:15" s="79" customFormat="1" ht="16.5" customHeight="1" x14ac:dyDescent="0.25">
      <c r="A9" s="119" t="s">
        <v>17</v>
      </c>
      <c r="B9" s="111" t="s">
        <v>44</v>
      </c>
      <c r="C9" s="115">
        <v>800000</v>
      </c>
      <c r="D9" s="116">
        <v>800000</v>
      </c>
      <c r="E9" s="117">
        <v>200000</v>
      </c>
      <c r="F9" s="118">
        <v>200000</v>
      </c>
      <c r="G9" s="120">
        <v>0</v>
      </c>
      <c r="H9" s="212">
        <f t="shared" si="0"/>
        <v>2000000</v>
      </c>
      <c r="I9" s="178">
        <f t="shared" si="1"/>
        <v>400000</v>
      </c>
      <c r="L9" s="206" t="s">
        <v>16</v>
      </c>
      <c r="M9" s="210" t="s">
        <v>230</v>
      </c>
      <c r="N9" s="208">
        <v>800000</v>
      </c>
      <c r="O9" s="209">
        <v>160000</v>
      </c>
    </row>
    <row r="10" spans="1:15" s="79" customFormat="1" x14ac:dyDescent="0.25">
      <c r="A10" s="119" t="s">
        <v>15</v>
      </c>
      <c r="B10" s="111" t="s">
        <v>25</v>
      </c>
      <c r="C10" s="115">
        <v>715000</v>
      </c>
      <c r="D10" s="116">
        <v>715000</v>
      </c>
      <c r="E10" s="117">
        <v>715000</v>
      </c>
      <c r="F10" s="118">
        <v>700000</v>
      </c>
      <c r="G10" s="120">
        <v>700000</v>
      </c>
      <c r="H10" s="212">
        <f t="shared" si="0"/>
        <v>3545000</v>
      </c>
      <c r="I10" s="178">
        <f t="shared" si="1"/>
        <v>709000</v>
      </c>
      <c r="L10" s="206" t="s">
        <v>18</v>
      </c>
      <c r="M10" s="210" t="s">
        <v>37</v>
      </c>
      <c r="N10" s="208">
        <v>82500000</v>
      </c>
      <c r="O10" s="209">
        <v>16500000</v>
      </c>
    </row>
    <row r="11" spans="1:15" s="79" customFormat="1" ht="30" x14ac:dyDescent="0.25">
      <c r="A11" s="165" t="s">
        <v>15</v>
      </c>
      <c r="B11" s="111" t="s">
        <v>47</v>
      </c>
      <c r="C11" s="115">
        <v>23318892</v>
      </c>
      <c r="D11" s="116">
        <v>24043892</v>
      </c>
      <c r="E11" s="117">
        <v>24624816</v>
      </c>
      <c r="F11" s="118">
        <v>25218645</v>
      </c>
      <c r="G11" s="120">
        <v>25825648</v>
      </c>
      <c r="H11" s="212">
        <f t="shared" si="0"/>
        <v>123031893</v>
      </c>
      <c r="I11" s="178">
        <f t="shared" si="1"/>
        <v>24606378.600000001</v>
      </c>
      <c r="L11" s="206" t="s">
        <v>18</v>
      </c>
      <c r="M11" s="210" t="s">
        <v>79</v>
      </c>
      <c r="N11" s="208">
        <v>38649782</v>
      </c>
      <c r="O11" s="209">
        <v>7729956.4000000004</v>
      </c>
    </row>
    <row r="12" spans="1:15" s="79" customFormat="1" x14ac:dyDescent="0.25">
      <c r="A12" s="119" t="s">
        <v>15</v>
      </c>
      <c r="B12" s="111" t="s">
        <v>28</v>
      </c>
      <c r="C12" s="115">
        <v>1400000</v>
      </c>
      <c r="D12" s="116">
        <v>1400000</v>
      </c>
      <c r="E12" s="117">
        <v>1600000</v>
      </c>
      <c r="F12" s="118">
        <v>1600000</v>
      </c>
      <c r="G12" s="120">
        <v>1600000</v>
      </c>
      <c r="H12" s="212">
        <f t="shared" si="0"/>
        <v>7600000</v>
      </c>
      <c r="I12" s="178">
        <f t="shared" si="1"/>
        <v>1520000</v>
      </c>
    </row>
    <row r="13" spans="1:15" s="79" customFormat="1" x14ac:dyDescent="0.25">
      <c r="A13" s="119" t="s">
        <v>15</v>
      </c>
      <c r="B13" s="111" t="s">
        <v>29</v>
      </c>
      <c r="C13" s="115">
        <v>400000</v>
      </c>
      <c r="D13" s="116">
        <v>400000</v>
      </c>
      <c r="E13" s="117">
        <v>400000</v>
      </c>
      <c r="F13" s="118">
        <v>250000</v>
      </c>
      <c r="G13" s="120">
        <v>0</v>
      </c>
      <c r="H13" s="212">
        <f t="shared" si="0"/>
        <v>1450000</v>
      </c>
      <c r="I13" s="178">
        <f t="shared" si="1"/>
        <v>290000</v>
      </c>
    </row>
    <row r="14" spans="1:15" s="79" customFormat="1" x14ac:dyDescent="0.25">
      <c r="A14" s="119" t="s">
        <v>15</v>
      </c>
      <c r="B14" s="111" t="s">
        <v>30</v>
      </c>
      <c r="C14" s="115">
        <v>1400000</v>
      </c>
      <c r="D14" s="116">
        <v>1200000</v>
      </c>
      <c r="E14" s="117">
        <v>1300000</v>
      </c>
      <c r="F14" s="118">
        <v>1300000</v>
      </c>
      <c r="G14" s="120">
        <v>1300000</v>
      </c>
      <c r="H14" s="212">
        <f t="shared" si="0"/>
        <v>6500000</v>
      </c>
      <c r="I14" s="178">
        <f t="shared" si="1"/>
        <v>1300000</v>
      </c>
    </row>
    <row r="15" spans="1:15" s="79" customFormat="1" x14ac:dyDescent="0.25">
      <c r="A15" s="119" t="s">
        <v>15</v>
      </c>
      <c r="B15" s="111" t="s">
        <v>32</v>
      </c>
      <c r="C15" s="115">
        <v>3000000</v>
      </c>
      <c r="D15" s="116">
        <v>3000000</v>
      </c>
      <c r="E15" s="117">
        <v>3000000</v>
      </c>
      <c r="F15" s="118">
        <v>3000000</v>
      </c>
      <c r="G15" s="120">
        <v>3000000</v>
      </c>
      <c r="H15" s="212">
        <f t="shared" si="0"/>
        <v>15000000</v>
      </c>
      <c r="I15" s="178">
        <f t="shared" si="1"/>
        <v>3000000</v>
      </c>
    </row>
    <row r="16" spans="1:15" s="79" customFormat="1" x14ac:dyDescent="0.25">
      <c r="A16" s="119" t="s">
        <v>14</v>
      </c>
      <c r="B16" s="111" t="s">
        <v>113</v>
      </c>
      <c r="C16" s="115">
        <v>880000</v>
      </c>
      <c r="D16" s="116">
        <v>1455000</v>
      </c>
      <c r="E16" s="117">
        <v>12260000</v>
      </c>
      <c r="F16" s="118">
        <v>11300000</v>
      </c>
      <c r="G16" s="120">
        <v>0</v>
      </c>
      <c r="H16" s="212">
        <f t="shared" si="0"/>
        <v>25895000</v>
      </c>
      <c r="I16" s="178">
        <f t="shared" si="1"/>
        <v>5179000</v>
      </c>
    </row>
    <row r="17" spans="1:9" s="79" customFormat="1" ht="16.5" customHeight="1" x14ac:dyDescent="0.25">
      <c r="A17" s="119" t="s">
        <v>14</v>
      </c>
      <c r="B17" s="111" t="s">
        <v>142</v>
      </c>
      <c r="C17" s="115">
        <v>0</v>
      </c>
      <c r="D17" s="116">
        <v>150000</v>
      </c>
      <c r="E17" s="117">
        <v>750000</v>
      </c>
      <c r="F17" s="118">
        <v>0</v>
      </c>
      <c r="G17" s="120">
        <v>0</v>
      </c>
      <c r="H17" s="212">
        <f t="shared" si="0"/>
        <v>900000</v>
      </c>
      <c r="I17" s="178">
        <f t="shared" si="1"/>
        <v>180000</v>
      </c>
    </row>
    <row r="18" spans="1:9" s="79" customFormat="1" x14ac:dyDescent="0.25">
      <c r="A18" s="119" t="s">
        <v>16</v>
      </c>
      <c r="B18" s="111" t="s">
        <v>58</v>
      </c>
      <c r="C18" s="115">
        <v>48600</v>
      </c>
      <c r="D18" s="116">
        <v>54000</v>
      </c>
      <c r="E18" s="117">
        <v>54000</v>
      </c>
      <c r="F18" s="118">
        <v>60000</v>
      </c>
      <c r="G18" s="120">
        <v>60000</v>
      </c>
      <c r="H18" s="212">
        <f t="shared" si="0"/>
        <v>276600</v>
      </c>
      <c r="I18" s="178">
        <f t="shared" si="1"/>
        <v>55320</v>
      </c>
    </row>
    <row r="19" spans="1:9" s="79" customFormat="1" x14ac:dyDescent="0.25">
      <c r="A19" s="119" t="s">
        <v>16</v>
      </c>
      <c r="B19" s="111" t="s">
        <v>78</v>
      </c>
      <c r="C19" s="115">
        <v>250000</v>
      </c>
      <c r="D19" s="116">
        <v>250000</v>
      </c>
      <c r="E19" s="117">
        <v>250000</v>
      </c>
      <c r="F19" s="118">
        <v>250000</v>
      </c>
      <c r="G19" s="120">
        <v>250000</v>
      </c>
      <c r="H19" s="212">
        <f t="shared" si="0"/>
        <v>1250000</v>
      </c>
      <c r="I19" s="178">
        <f t="shared" si="1"/>
        <v>250000</v>
      </c>
    </row>
    <row r="20" spans="1:9" s="79" customFormat="1" x14ac:dyDescent="0.25">
      <c r="A20" s="119" t="s">
        <v>16</v>
      </c>
      <c r="B20" s="111" t="s">
        <v>60</v>
      </c>
      <c r="C20" s="115">
        <v>225000</v>
      </c>
      <c r="D20" s="116">
        <v>225000</v>
      </c>
      <c r="E20" s="117">
        <v>225000</v>
      </c>
      <c r="F20" s="118">
        <v>225000</v>
      </c>
      <c r="G20" s="120">
        <v>225000</v>
      </c>
      <c r="H20" s="212">
        <f t="shared" si="0"/>
        <v>1125000</v>
      </c>
      <c r="I20" s="178">
        <f t="shared" si="1"/>
        <v>225000</v>
      </c>
    </row>
    <row r="21" spans="1:9" s="79" customFormat="1" ht="15.75" thickBot="1" x14ac:dyDescent="0.3">
      <c r="A21" s="280" t="s">
        <v>16</v>
      </c>
      <c r="B21" s="281" t="s">
        <v>94</v>
      </c>
      <c r="C21" s="282">
        <v>1000000</v>
      </c>
      <c r="D21" s="283">
        <v>500000</v>
      </c>
      <c r="E21" s="284">
        <v>0</v>
      </c>
      <c r="F21" s="285">
        <v>0</v>
      </c>
      <c r="G21" s="286">
        <v>0</v>
      </c>
      <c r="H21" s="212">
        <f t="shared" si="0"/>
        <v>1500000</v>
      </c>
      <c r="I21" s="178">
        <f t="shared" si="1"/>
        <v>300000</v>
      </c>
    </row>
    <row r="22" spans="1:9" s="79" customFormat="1" ht="15.75" thickBot="1" x14ac:dyDescent="0.3">
      <c r="A22" s="298" t="s">
        <v>280</v>
      </c>
      <c r="B22" s="299"/>
      <c r="C22" s="299"/>
      <c r="D22" s="299"/>
      <c r="E22" s="299"/>
      <c r="F22" s="299"/>
      <c r="G22" s="300"/>
      <c r="H22" s="212"/>
      <c r="I22" s="178"/>
    </row>
    <row r="23" spans="1:9" s="79" customFormat="1" ht="18" customHeight="1" thickBot="1" x14ac:dyDescent="0.3">
      <c r="A23" s="144" t="s">
        <v>21</v>
      </c>
      <c r="B23" s="145" t="s">
        <v>215</v>
      </c>
      <c r="C23" s="146">
        <v>2020</v>
      </c>
      <c r="D23" s="147">
        <v>2021</v>
      </c>
      <c r="E23" s="148">
        <v>2022</v>
      </c>
      <c r="F23" s="149">
        <v>2023</v>
      </c>
      <c r="G23" s="150">
        <v>2024</v>
      </c>
      <c r="H23" s="212">
        <f t="shared" ref="H23:H35" si="2">SUM(C24:G24)</f>
        <v>346000</v>
      </c>
      <c r="I23" s="178">
        <f t="shared" ref="I23:I35" si="3">AVERAGE(C24:G24)</f>
        <v>69200</v>
      </c>
    </row>
    <row r="24" spans="1:9" s="79" customFormat="1" x14ac:dyDescent="0.25">
      <c r="A24" s="119" t="s">
        <v>18</v>
      </c>
      <c r="B24" s="258" t="s">
        <v>152</v>
      </c>
      <c r="C24" s="115">
        <v>346000</v>
      </c>
      <c r="D24" s="116">
        <v>0</v>
      </c>
      <c r="E24" s="117">
        <v>0</v>
      </c>
      <c r="F24" s="118">
        <v>0</v>
      </c>
      <c r="G24" s="120">
        <v>0</v>
      </c>
      <c r="H24" s="212">
        <f t="shared" si="2"/>
        <v>2870000</v>
      </c>
      <c r="I24" s="178">
        <f t="shared" si="3"/>
        <v>574000</v>
      </c>
    </row>
    <row r="25" spans="1:9" s="79" customFormat="1" x14ac:dyDescent="0.25">
      <c r="A25" s="119" t="s">
        <v>18</v>
      </c>
      <c r="B25" s="258" t="s">
        <v>34</v>
      </c>
      <c r="C25" s="115">
        <v>370000</v>
      </c>
      <c r="D25" s="116">
        <v>485000</v>
      </c>
      <c r="E25" s="117">
        <v>590000</v>
      </c>
      <c r="F25" s="118">
        <v>1075000</v>
      </c>
      <c r="G25" s="120">
        <v>350000</v>
      </c>
      <c r="H25" s="212">
        <f t="shared" si="2"/>
        <v>19700000</v>
      </c>
      <c r="I25" s="178">
        <f t="shared" si="3"/>
        <v>3940000</v>
      </c>
    </row>
    <row r="26" spans="1:9" s="79" customFormat="1" x14ac:dyDescent="0.25">
      <c r="A26" s="119" t="s">
        <v>18</v>
      </c>
      <c r="B26" s="258" t="s">
        <v>105</v>
      </c>
      <c r="C26" s="115">
        <v>0</v>
      </c>
      <c r="D26" s="116">
        <v>0</v>
      </c>
      <c r="E26" s="117">
        <v>3200000</v>
      </c>
      <c r="F26" s="118">
        <v>1500000</v>
      </c>
      <c r="G26" s="120">
        <v>15000000</v>
      </c>
      <c r="H26" s="212">
        <f t="shared" si="2"/>
        <v>9400000</v>
      </c>
      <c r="I26" s="178">
        <f t="shared" si="3"/>
        <v>1880000</v>
      </c>
    </row>
    <row r="27" spans="1:9" s="79" customFormat="1" x14ac:dyDescent="0.25">
      <c r="A27" s="119" t="s">
        <v>18</v>
      </c>
      <c r="B27" s="258" t="s">
        <v>67</v>
      </c>
      <c r="C27" s="115">
        <v>5600000</v>
      </c>
      <c r="D27" s="116">
        <v>2600000</v>
      </c>
      <c r="E27" s="117">
        <v>1200000</v>
      </c>
      <c r="F27" s="118">
        <v>0</v>
      </c>
      <c r="G27" s="120">
        <v>0</v>
      </c>
      <c r="H27" s="212">
        <f t="shared" si="2"/>
        <v>10000000</v>
      </c>
      <c r="I27" s="178">
        <f t="shared" si="3"/>
        <v>2000000</v>
      </c>
    </row>
    <row r="28" spans="1:9" s="79" customFormat="1" ht="30" x14ac:dyDescent="0.25">
      <c r="A28" s="165" t="s">
        <v>18</v>
      </c>
      <c r="B28" s="258" t="s">
        <v>108</v>
      </c>
      <c r="C28" s="115">
        <v>10000000</v>
      </c>
      <c r="D28" s="116">
        <v>0</v>
      </c>
      <c r="E28" s="117">
        <v>0</v>
      </c>
      <c r="F28" s="118">
        <v>0</v>
      </c>
      <c r="G28" s="120">
        <v>0</v>
      </c>
      <c r="H28" s="212">
        <f t="shared" si="2"/>
        <v>16500000</v>
      </c>
      <c r="I28" s="178">
        <f t="shared" si="3"/>
        <v>3300000</v>
      </c>
    </row>
    <row r="29" spans="1:9" s="79" customFormat="1" ht="30" x14ac:dyDescent="0.25">
      <c r="A29" s="165" t="s">
        <v>18</v>
      </c>
      <c r="B29" s="258" t="s">
        <v>109</v>
      </c>
      <c r="C29" s="115">
        <v>500000</v>
      </c>
      <c r="D29" s="116">
        <v>16000000</v>
      </c>
      <c r="E29" s="117">
        <v>0</v>
      </c>
      <c r="F29" s="118">
        <v>0</v>
      </c>
      <c r="G29" s="120">
        <v>0</v>
      </c>
      <c r="H29" s="212">
        <f t="shared" si="2"/>
        <v>6800000</v>
      </c>
      <c r="I29" s="178">
        <f t="shared" si="3"/>
        <v>1360000</v>
      </c>
    </row>
    <row r="30" spans="1:9" s="79" customFormat="1" ht="30" x14ac:dyDescent="0.25">
      <c r="A30" s="119" t="s">
        <v>18</v>
      </c>
      <c r="B30" s="258" t="s">
        <v>70</v>
      </c>
      <c r="C30" s="115">
        <v>3900000</v>
      </c>
      <c r="D30" s="116">
        <v>2900000</v>
      </c>
      <c r="E30" s="117">
        <v>0</v>
      </c>
      <c r="F30" s="118">
        <v>0</v>
      </c>
      <c r="G30" s="120">
        <v>0</v>
      </c>
      <c r="H30" s="212">
        <f t="shared" si="2"/>
        <v>7550000</v>
      </c>
      <c r="I30" s="178">
        <f t="shared" si="3"/>
        <v>1510000</v>
      </c>
    </row>
    <row r="31" spans="1:9" s="79" customFormat="1" x14ac:dyDescent="0.25">
      <c r="A31" s="119" t="s">
        <v>18</v>
      </c>
      <c r="B31" s="258" t="s">
        <v>76</v>
      </c>
      <c r="C31" s="115">
        <v>2850000</v>
      </c>
      <c r="D31" s="116">
        <v>3500000</v>
      </c>
      <c r="E31" s="117">
        <v>0</v>
      </c>
      <c r="F31" s="118">
        <v>1200000</v>
      </c>
      <c r="G31" s="120">
        <v>0</v>
      </c>
      <c r="H31" s="212">
        <f t="shared" si="2"/>
        <v>6500000</v>
      </c>
      <c r="I31" s="178">
        <f t="shared" si="3"/>
        <v>1300000</v>
      </c>
    </row>
    <row r="32" spans="1:9" s="79" customFormat="1" ht="30" x14ac:dyDescent="0.25">
      <c r="A32" s="119" t="s">
        <v>18</v>
      </c>
      <c r="B32" s="258" t="s">
        <v>75</v>
      </c>
      <c r="C32" s="115">
        <v>2800000</v>
      </c>
      <c r="D32" s="116">
        <v>2700000</v>
      </c>
      <c r="E32" s="117">
        <v>1000000</v>
      </c>
      <c r="F32" s="118">
        <v>0</v>
      </c>
      <c r="G32" s="120">
        <v>0</v>
      </c>
      <c r="H32" s="212">
        <f t="shared" si="2"/>
        <v>8650000</v>
      </c>
      <c r="I32" s="178">
        <f t="shared" si="3"/>
        <v>1730000</v>
      </c>
    </row>
    <row r="33" spans="1:9" s="79" customFormat="1" x14ac:dyDescent="0.25">
      <c r="A33" s="119" t="s">
        <v>18</v>
      </c>
      <c r="B33" s="258" t="s">
        <v>123</v>
      </c>
      <c r="C33" s="115">
        <v>0</v>
      </c>
      <c r="D33" s="116">
        <v>0</v>
      </c>
      <c r="E33" s="117">
        <v>8650000</v>
      </c>
      <c r="F33" s="118">
        <v>0</v>
      </c>
      <c r="G33" s="120">
        <v>0</v>
      </c>
      <c r="H33" s="212">
        <f t="shared" si="2"/>
        <v>10800000</v>
      </c>
      <c r="I33" s="178">
        <f t="shared" si="3"/>
        <v>2160000</v>
      </c>
    </row>
    <row r="34" spans="1:9" s="79" customFormat="1" ht="30" x14ac:dyDescent="0.25">
      <c r="A34" s="165" t="s">
        <v>18</v>
      </c>
      <c r="B34" s="258" t="s">
        <v>80</v>
      </c>
      <c r="C34" s="115">
        <v>3500000</v>
      </c>
      <c r="D34" s="116">
        <v>4500000</v>
      </c>
      <c r="E34" s="117">
        <v>2800000</v>
      </c>
      <c r="F34" s="118">
        <v>0</v>
      </c>
      <c r="G34" s="120">
        <v>0</v>
      </c>
      <c r="H34" s="212">
        <f t="shared" si="2"/>
        <v>14770000</v>
      </c>
      <c r="I34" s="178">
        <f t="shared" si="3"/>
        <v>2954000</v>
      </c>
    </row>
    <row r="35" spans="1:9" s="79" customFormat="1" x14ac:dyDescent="0.25">
      <c r="A35" s="119" t="s">
        <v>18</v>
      </c>
      <c r="B35" s="258" t="s">
        <v>65</v>
      </c>
      <c r="C35" s="115">
        <v>2470000</v>
      </c>
      <c r="D35" s="116">
        <v>3000000</v>
      </c>
      <c r="E35" s="117">
        <v>3100000</v>
      </c>
      <c r="F35" s="118">
        <v>3100000</v>
      </c>
      <c r="G35" s="120">
        <v>3100000</v>
      </c>
      <c r="H35" s="212">
        <f t="shared" si="2"/>
        <v>7500000</v>
      </c>
      <c r="I35" s="178">
        <f t="shared" si="3"/>
        <v>1500000</v>
      </c>
    </row>
    <row r="36" spans="1:9" ht="15.75" thickBot="1" x14ac:dyDescent="0.3">
      <c r="A36" s="119" t="s">
        <v>18</v>
      </c>
      <c r="B36" s="258" t="s">
        <v>153</v>
      </c>
      <c r="C36" s="115">
        <v>1500000</v>
      </c>
      <c r="D36" s="116">
        <v>1500000</v>
      </c>
      <c r="E36" s="117">
        <v>1500000</v>
      </c>
      <c r="F36" s="118">
        <v>1500000</v>
      </c>
      <c r="G36" s="120">
        <v>1500000</v>
      </c>
      <c r="H36" s="279">
        <f>SUM(H4:H21,H23:H35)</f>
        <v>370293475</v>
      </c>
      <c r="I36" s="134">
        <f>SUM(I4:I21,I23:I35)</f>
        <v>74058695</v>
      </c>
    </row>
    <row r="37" spans="1:9" ht="15.75" thickBot="1" x14ac:dyDescent="0.3">
      <c r="A37" s="136"/>
      <c r="B37" s="130" t="s">
        <v>219</v>
      </c>
      <c r="C37" s="134">
        <f>SUM(C4:C21,C24:C36)</f>
        <v>91410119</v>
      </c>
      <c r="D37" s="134">
        <f>SUM(D4:D21,D24:D36)</f>
        <v>89600960</v>
      </c>
      <c r="E37" s="134">
        <f>SUM(E4:E21,E24:E36)</f>
        <v>73515726</v>
      </c>
      <c r="F37" s="134">
        <f>SUM(F4:F21,F24:F36)</f>
        <v>57761343</v>
      </c>
      <c r="G37" s="135">
        <f>SUM(G4:G21,G24:G36)</f>
        <v>58005327</v>
      </c>
    </row>
    <row r="40" spans="1:9" x14ac:dyDescent="0.25">
      <c r="C40" s="173" t="s">
        <v>227</v>
      </c>
      <c r="D40" t="s">
        <v>229</v>
      </c>
    </row>
    <row r="41" spans="1:9" x14ac:dyDescent="0.25">
      <c r="C41" s="174" t="s">
        <v>19</v>
      </c>
      <c r="D41" s="78">
        <v>58833982</v>
      </c>
      <c r="F41" t="s">
        <v>19</v>
      </c>
      <c r="G41" s="78">
        <v>58833982</v>
      </c>
    </row>
    <row r="42" spans="1:9" x14ac:dyDescent="0.25">
      <c r="C42" s="174" t="s">
        <v>17</v>
      </c>
      <c r="D42" s="78">
        <v>2000000</v>
      </c>
      <c r="F42" t="s">
        <v>210</v>
      </c>
      <c r="G42" s="78">
        <v>2000000</v>
      </c>
    </row>
    <row r="43" spans="1:9" x14ac:dyDescent="0.25">
      <c r="C43" s="174" t="s">
        <v>15</v>
      </c>
      <c r="D43" s="78">
        <v>157126893</v>
      </c>
      <c r="F43" t="s">
        <v>15</v>
      </c>
      <c r="G43" s="78">
        <v>157126893</v>
      </c>
    </row>
    <row r="44" spans="1:9" x14ac:dyDescent="0.25">
      <c r="C44" s="174" t="s">
        <v>14</v>
      </c>
      <c r="D44" s="78">
        <v>26795000</v>
      </c>
      <c r="F44" t="s">
        <v>14</v>
      </c>
      <c r="G44" s="78">
        <v>26795000</v>
      </c>
    </row>
    <row r="45" spans="1:9" x14ac:dyDescent="0.25">
      <c r="C45" s="174" t="s">
        <v>16</v>
      </c>
      <c r="D45" s="78">
        <v>4151600</v>
      </c>
      <c r="F45" t="s">
        <v>16</v>
      </c>
      <c r="G45" s="78">
        <v>4151600</v>
      </c>
    </row>
    <row r="46" spans="1:9" x14ac:dyDescent="0.25">
      <c r="C46" s="174" t="s">
        <v>18</v>
      </c>
      <c r="D46" s="78">
        <v>121386000</v>
      </c>
      <c r="F46" t="s">
        <v>211</v>
      </c>
      <c r="G46" s="78">
        <v>121386000</v>
      </c>
    </row>
    <row r="47" spans="1:9" x14ac:dyDescent="0.25">
      <c r="C47" s="174" t="s">
        <v>228</v>
      </c>
      <c r="D47" s="78">
        <v>370293475</v>
      </c>
    </row>
  </sheetData>
  <mergeCells count="2">
    <mergeCell ref="A2:G2"/>
    <mergeCell ref="A22:G22"/>
  </mergeCells>
  <conditionalFormatting sqref="A4:G21 B37 A24:G36">
    <cfRule type="expression" dxfId="34" priority="16">
      <formula>MOD(#REF!,5)=0</formula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36FCA1F-33C1-4B16-A7E5-264890D9AFF6}">
            <xm:f>MOD('Business Case Requests'!$A4,5)=0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L4:M11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G1"/>
    </sheetView>
  </sheetViews>
  <sheetFormatPr defaultRowHeight="15" x14ac:dyDescent="0.25"/>
  <cols>
    <col min="1" max="1" width="13.5703125" customWidth="1"/>
    <col min="2" max="2" width="32.42578125" customWidth="1"/>
    <col min="3" max="3" width="12.42578125" bestFit="1" customWidth="1"/>
    <col min="4" max="4" width="17.140625" customWidth="1"/>
    <col min="5" max="7" width="13.5703125" customWidth="1"/>
    <col min="8" max="10" width="13.140625" customWidth="1"/>
  </cols>
  <sheetData>
    <row r="1" spans="1:9" ht="15.75" thickBot="1" x14ac:dyDescent="0.3">
      <c r="A1" s="298" t="s">
        <v>281</v>
      </c>
      <c r="B1" s="299"/>
      <c r="C1" s="299"/>
      <c r="D1" s="299"/>
      <c r="E1" s="299"/>
      <c r="F1" s="299"/>
      <c r="G1" s="300"/>
    </row>
    <row r="2" spans="1:9" s="79" customFormat="1" ht="15.75" thickBot="1" x14ac:dyDescent="0.3">
      <c r="A2" s="144" t="s">
        <v>21</v>
      </c>
      <c r="B2" s="145" t="s">
        <v>218</v>
      </c>
      <c r="C2" s="146">
        <v>2020</v>
      </c>
      <c r="D2" s="147">
        <v>2021</v>
      </c>
      <c r="E2" s="148">
        <v>2022</v>
      </c>
      <c r="F2" s="149">
        <v>2023</v>
      </c>
      <c r="G2" s="150">
        <v>2024</v>
      </c>
      <c r="H2" s="176" t="s">
        <v>225</v>
      </c>
      <c r="I2" s="177" t="s">
        <v>226</v>
      </c>
    </row>
    <row r="3" spans="1:9" s="79" customFormat="1" x14ac:dyDescent="0.25">
      <c r="A3" s="80" t="s">
        <v>17</v>
      </c>
      <c r="B3" s="39" t="s">
        <v>134</v>
      </c>
      <c r="C3" s="139">
        <v>306200</v>
      </c>
      <c r="D3" s="140">
        <v>618000</v>
      </c>
      <c r="E3" s="141">
        <v>556200</v>
      </c>
      <c r="F3" s="142">
        <v>618000</v>
      </c>
      <c r="G3" s="143">
        <v>618000</v>
      </c>
      <c r="H3" s="175">
        <f>SUM(C3:G3)</f>
        <v>2716400</v>
      </c>
      <c r="I3" s="178">
        <f>AVERAGE(C3:G3)</f>
        <v>543280</v>
      </c>
    </row>
    <row r="4" spans="1:9" s="79" customFormat="1" x14ac:dyDescent="0.25">
      <c r="A4" s="119" t="s">
        <v>15</v>
      </c>
      <c r="B4" s="111" t="s">
        <v>7</v>
      </c>
      <c r="C4" s="115">
        <v>8000000</v>
      </c>
      <c r="D4" s="116">
        <v>8000000</v>
      </c>
      <c r="E4" s="117">
        <v>8000000</v>
      </c>
      <c r="F4" s="118">
        <v>8000000</v>
      </c>
      <c r="G4" s="120">
        <v>8000000</v>
      </c>
      <c r="H4" s="175">
        <f t="shared" ref="H4:H10" si="0">SUM(C4:G4)</f>
        <v>40000000</v>
      </c>
      <c r="I4" s="178">
        <f t="shared" ref="I4:I10" si="1">AVERAGE(C4:G4)</f>
        <v>8000000</v>
      </c>
    </row>
    <row r="5" spans="1:9" s="79" customFormat="1" x14ac:dyDescent="0.25">
      <c r="A5" s="119" t="s">
        <v>14</v>
      </c>
      <c r="B5" s="111" t="s">
        <v>49</v>
      </c>
      <c r="C5" s="115">
        <v>2042280</v>
      </c>
      <c r="D5" s="116">
        <v>2790000</v>
      </c>
      <c r="E5" s="117">
        <v>2790000</v>
      </c>
      <c r="F5" s="118">
        <v>3100000</v>
      </c>
      <c r="G5" s="120">
        <v>3100000</v>
      </c>
      <c r="H5" s="175">
        <f t="shared" si="0"/>
        <v>13822280</v>
      </c>
      <c r="I5" s="178">
        <f t="shared" si="1"/>
        <v>2764456</v>
      </c>
    </row>
    <row r="6" spans="1:9" s="79" customFormat="1" x14ac:dyDescent="0.25">
      <c r="A6" s="119" t="s">
        <v>14</v>
      </c>
      <c r="B6" s="111" t="s">
        <v>140</v>
      </c>
      <c r="C6" s="115">
        <v>7000000</v>
      </c>
      <c r="D6" s="116">
        <v>4000000</v>
      </c>
      <c r="E6" s="117">
        <v>1600000</v>
      </c>
      <c r="F6" s="118">
        <v>0</v>
      </c>
      <c r="G6" s="120">
        <v>0</v>
      </c>
      <c r="H6" s="175">
        <f t="shared" si="0"/>
        <v>12600000</v>
      </c>
      <c r="I6" s="178">
        <f t="shared" si="1"/>
        <v>2520000</v>
      </c>
    </row>
    <row r="7" spans="1:9" s="79" customFormat="1" x14ac:dyDescent="0.25">
      <c r="A7" s="119" t="s">
        <v>14</v>
      </c>
      <c r="B7" s="111" t="s">
        <v>56</v>
      </c>
      <c r="C7" s="115">
        <v>329400</v>
      </c>
      <c r="D7" s="116">
        <v>450000</v>
      </c>
      <c r="E7" s="117">
        <v>450000</v>
      </c>
      <c r="F7" s="118">
        <v>500000</v>
      </c>
      <c r="G7" s="120">
        <v>500000</v>
      </c>
      <c r="H7" s="175">
        <f t="shared" si="0"/>
        <v>2229400</v>
      </c>
      <c r="I7" s="178">
        <f t="shared" si="1"/>
        <v>445880</v>
      </c>
    </row>
    <row r="8" spans="1:9" s="79" customFormat="1" x14ac:dyDescent="0.25">
      <c r="A8" s="119" t="s">
        <v>18</v>
      </c>
      <c r="B8" s="111" t="s">
        <v>71</v>
      </c>
      <c r="C8" s="115">
        <v>3000000</v>
      </c>
      <c r="D8" s="116">
        <f>3090000-750000</f>
        <v>2340000</v>
      </c>
      <c r="E8" s="117">
        <f>3182000-750000</f>
        <v>2432000</v>
      </c>
      <c r="F8" s="118">
        <f>3200000-750000</f>
        <v>2450000</v>
      </c>
      <c r="G8" s="120">
        <f>3200000-750000</f>
        <v>2450000</v>
      </c>
      <c r="H8" s="175">
        <f t="shared" si="0"/>
        <v>12672000</v>
      </c>
      <c r="I8" s="178">
        <f t="shared" si="1"/>
        <v>2534400</v>
      </c>
    </row>
    <row r="9" spans="1:9" s="79" customFormat="1" x14ac:dyDescent="0.25">
      <c r="A9" s="119" t="s">
        <v>18</v>
      </c>
      <c r="B9" s="111" t="s">
        <v>35</v>
      </c>
      <c r="C9" s="115">
        <v>200000</v>
      </c>
      <c r="D9" s="116">
        <v>200000</v>
      </c>
      <c r="E9" s="117">
        <v>200000</v>
      </c>
      <c r="F9" s="118">
        <v>200000</v>
      </c>
      <c r="G9" s="120">
        <v>200000</v>
      </c>
      <c r="H9" s="175">
        <f t="shared" si="0"/>
        <v>1000000</v>
      </c>
      <c r="I9" s="178">
        <f t="shared" si="1"/>
        <v>200000</v>
      </c>
    </row>
    <row r="10" spans="1:9" ht="15.75" thickBot="1" x14ac:dyDescent="0.3">
      <c r="A10" s="136"/>
      <c r="B10" s="171" t="s">
        <v>219</v>
      </c>
      <c r="C10" s="134">
        <f>SUM(C3:C9)</f>
        <v>20877880</v>
      </c>
      <c r="D10" s="134">
        <f t="shared" ref="D10:G10" si="2">SUM(D3:D9)</f>
        <v>18398000</v>
      </c>
      <c r="E10" s="134">
        <f t="shared" si="2"/>
        <v>16028200</v>
      </c>
      <c r="F10" s="134">
        <f t="shared" si="2"/>
        <v>14868000</v>
      </c>
      <c r="G10" s="135">
        <f t="shared" si="2"/>
        <v>14868000</v>
      </c>
      <c r="H10" s="179">
        <f t="shared" si="0"/>
        <v>85040080</v>
      </c>
      <c r="I10" s="180">
        <f t="shared" si="1"/>
        <v>17008016</v>
      </c>
    </row>
    <row r="13" spans="1:9" x14ac:dyDescent="0.25">
      <c r="B13" s="128" t="s">
        <v>224</v>
      </c>
    </row>
    <row r="15" spans="1:9" x14ac:dyDescent="0.25">
      <c r="C15" s="173" t="s">
        <v>227</v>
      </c>
      <c r="D15" t="s">
        <v>229</v>
      </c>
    </row>
    <row r="16" spans="1:9" x14ac:dyDescent="0.25">
      <c r="C16" s="174" t="s">
        <v>17</v>
      </c>
      <c r="D16" s="78">
        <v>2716400</v>
      </c>
      <c r="F16" t="s">
        <v>210</v>
      </c>
      <c r="G16" s="78">
        <v>2716400</v>
      </c>
    </row>
    <row r="17" spans="3:7" x14ac:dyDescent="0.25">
      <c r="C17" s="174" t="s">
        <v>15</v>
      </c>
      <c r="D17" s="78">
        <v>40000000</v>
      </c>
      <c r="F17" t="s">
        <v>231</v>
      </c>
      <c r="G17" s="78">
        <v>40000000</v>
      </c>
    </row>
    <row r="18" spans="3:7" x14ac:dyDescent="0.25">
      <c r="C18" s="174" t="s">
        <v>14</v>
      </c>
      <c r="D18" s="78">
        <v>28651680</v>
      </c>
      <c r="F18" t="s">
        <v>14</v>
      </c>
      <c r="G18" s="78">
        <v>28651680</v>
      </c>
    </row>
    <row r="19" spans="3:7" x14ac:dyDescent="0.25">
      <c r="C19" s="174" t="s">
        <v>18</v>
      </c>
      <c r="D19" s="78">
        <v>13672000</v>
      </c>
      <c r="F19" t="s">
        <v>211</v>
      </c>
      <c r="G19" s="78">
        <v>13672000</v>
      </c>
    </row>
    <row r="20" spans="3:7" x14ac:dyDescent="0.25">
      <c r="C20" s="174" t="s">
        <v>228</v>
      </c>
      <c r="D20" s="78">
        <v>85040080</v>
      </c>
      <c r="G20" s="78"/>
    </row>
  </sheetData>
  <mergeCells count="1">
    <mergeCell ref="A1:G1"/>
  </mergeCells>
  <conditionalFormatting sqref="A4:G9 B10 C3:G3">
    <cfRule type="expression" dxfId="32" priority="9">
      <formula>MOD(#REF!,5)=0</formula>
    </cfRule>
  </conditionalFormatting>
  <conditionalFormatting sqref="B3">
    <cfRule type="expression" dxfId="31" priority="2">
      <formula>MOD($A3,5)=0</formula>
    </cfRule>
  </conditionalFormatting>
  <conditionalFormatting sqref="A3">
    <cfRule type="expression" dxfId="30" priority="1">
      <formula>MOD($A3,5)=0</formula>
    </cfRule>
  </conditionalFormatting>
  <pageMargins left="0.7" right="0.7" top="0.75" bottom="0.75" header="0.3" footer="0.3"/>
  <pageSetup orientation="portrait" r:id="rId2"/>
  <ignoredErrors>
    <ignoredError sqref="C10" formulaRange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34" workbookViewId="0">
      <selection activeCell="A29" sqref="A29:G63"/>
    </sheetView>
  </sheetViews>
  <sheetFormatPr defaultRowHeight="15" x14ac:dyDescent="0.25"/>
  <cols>
    <col min="1" max="1" width="12.140625" style="181" customWidth="1"/>
    <col min="2" max="2" width="40" style="181" customWidth="1"/>
    <col min="3" max="3" width="16.85546875" customWidth="1"/>
    <col min="4" max="4" width="17.140625" customWidth="1"/>
    <col min="5" max="7" width="14.5703125" customWidth="1"/>
    <col min="8" max="8" width="12.5703125" bestFit="1" customWidth="1"/>
    <col min="9" max="9" width="14.42578125" bestFit="1" customWidth="1"/>
  </cols>
  <sheetData>
    <row r="1" spans="1:12" ht="15.75" thickBot="1" x14ac:dyDescent="0.3">
      <c r="A1" s="298" t="s">
        <v>282</v>
      </c>
      <c r="B1" s="299"/>
      <c r="C1" s="299"/>
      <c r="D1" s="299"/>
      <c r="E1" s="299"/>
      <c r="F1" s="299"/>
      <c r="G1" s="300"/>
    </row>
    <row r="2" spans="1:12" ht="15.75" thickBot="1" x14ac:dyDescent="0.3">
      <c r="A2" s="144" t="s">
        <v>21</v>
      </c>
      <c r="B2" s="145" t="s">
        <v>217</v>
      </c>
      <c r="C2" s="146">
        <v>2020</v>
      </c>
      <c r="D2" s="147">
        <v>2021</v>
      </c>
      <c r="E2" s="148">
        <v>2022</v>
      </c>
      <c r="F2" s="149">
        <v>2023</v>
      </c>
      <c r="G2" s="150">
        <v>2024</v>
      </c>
      <c r="H2" s="211" t="s">
        <v>225</v>
      </c>
      <c r="I2" s="177" t="s">
        <v>226</v>
      </c>
    </row>
    <row r="3" spans="1:12" s="79" customFormat="1" x14ac:dyDescent="0.25">
      <c r="A3" s="167" t="s">
        <v>17</v>
      </c>
      <c r="B3" s="166" t="s">
        <v>45</v>
      </c>
      <c r="C3" s="139">
        <v>2100000</v>
      </c>
      <c r="D3" s="140">
        <v>1800000</v>
      </c>
      <c r="E3" s="141">
        <v>1800000</v>
      </c>
      <c r="F3" s="142">
        <v>0</v>
      </c>
      <c r="G3" s="143">
        <v>0</v>
      </c>
      <c r="H3" s="212">
        <f>SUM(C3:G3)</f>
        <v>5700000</v>
      </c>
      <c r="I3" s="178">
        <f>AVERAGE(C3:G3)</f>
        <v>1140000</v>
      </c>
    </row>
    <row r="4" spans="1:12" s="79" customFormat="1" x14ac:dyDescent="0.25">
      <c r="A4" s="165" t="s">
        <v>17</v>
      </c>
      <c r="B4" s="106" t="s">
        <v>93</v>
      </c>
      <c r="C4" s="115">
        <v>450000</v>
      </c>
      <c r="D4" s="116">
        <v>450000</v>
      </c>
      <c r="E4" s="117">
        <v>1225000</v>
      </c>
      <c r="F4" s="118">
        <v>1225000</v>
      </c>
      <c r="G4" s="120">
        <v>1225000</v>
      </c>
      <c r="H4" s="212">
        <f t="shared" ref="H4:H62" si="0">SUM(C4:G4)</f>
        <v>4575000</v>
      </c>
      <c r="I4" s="178">
        <f t="shared" ref="I4:I62" si="1">AVERAGE(C4:G4)</f>
        <v>915000</v>
      </c>
    </row>
    <row r="5" spans="1:12" s="79" customFormat="1" ht="30" x14ac:dyDescent="0.25">
      <c r="A5" s="165" t="s">
        <v>17</v>
      </c>
      <c r="B5" s="106" t="s">
        <v>286</v>
      </c>
      <c r="C5" s="115">
        <v>0</v>
      </c>
      <c r="D5" s="116">
        <v>0</v>
      </c>
      <c r="E5" s="117">
        <v>6500000</v>
      </c>
      <c r="F5" s="118">
        <v>5000000</v>
      </c>
      <c r="G5" s="120">
        <v>5000000</v>
      </c>
      <c r="H5" s="212">
        <f t="shared" si="0"/>
        <v>16500000</v>
      </c>
      <c r="I5" s="178">
        <f t="shared" si="1"/>
        <v>3300000</v>
      </c>
    </row>
    <row r="6" spans="1:12" s="79" customFormat="1" x14ac:dyDescent="0.25">
      <c r="A6" s="165" t="s">
        <v>15</v>
      </c>
      <c r="B6" s="106" t="s">
        <v>287</v>
      </c>
      <c r="C6" s="115">
        <v>1000000</v>
      </c>
      <c r="D6" s="116">
        <v>1000000</v>
      </c>
      <c r="E6" s="117">
        <v>1000000</v>
      </c>
      <c r="F6" s="118">
        <v>1000000</v>
      </c>
      <c r="G6" s="120">
        <v>1000000</v>
      </c>
      <c r="H6" s="212">
        <f t="shared" si="0"/>
        <v>5000000</v>
      </c>
      <c r="I6" s="178">
        <f t="shared" si="1"/>
        <v>1000000</v>
      </c>
    </row>
    <row r="7" spans="1:12" s="79" customFormat="1" x14ac:dyDescent="0.25">
      <c r="A7" s="165" t="s">
        <v>15</v>
      </c>
      <c r="B7" s="106" t="s">
        <v>27</v>
      </c>
      <c r="C7" s="115">
        <v>200000</v>
      </c>
      <c r="D7" s="116">
        <v>200000</v>
      </c>
      <c r="E7" s="117">
        <v>210000</v>
      </c>
      <c r="F7" s="118">
        <v>220000</v>
      </c>
      <c r="G7" s="120">
        <v>230000</v>
      </c>
      <c r="H7" s="212">
        <f t="shared" si="0"/>
        <v>1060000</v>
      </c>
      <c r="I7" s="178">
        <f t="shared" si="1"/>
        <v>212000</v>
      </c>
    </row>
    <row r="8" spans="1:12" s="79" customFormat="1" ht="17.25" customHeight="1" x14ac:dyDescent="0.25">
      <c r="A8" s="165" t="s">
        <v>15</v>
      </c>
      <c r="B8" s="106" t="s">
        <v>48</v>
      </c>
      <c r="C8" s="115">
        <v>800000</v>
      </c>
      <c r="D8" s="116">
        <v>1000000</v>
      </c>
      <c r="E8" s="117">
        <v>1000000</v>
      </c>
      <c r="F8" s="118">
        <v>1000000</v>
      </c>
      <c r="G8" s="120">
        <v>1000000</v>
      </c>
      <c r="H8" s="212">
        <f t="shared" si="0"/>
        <v>4800000</v>
      </c>
      <c r="I8" s="178">
        <f t="shared" si="1"/>
        <v>960000</v>
      </c>
      <c r="L8" s="79" t="s">
        <v>283</v>
      </c>
    </row>
    <row r="9" spans="1:12" s="79" customFormat="1" x14ac:dyDescent="0.25">
      <c r="A9" s="165" t="s">
        <v>14</v>
      </c>
      <c r="B9" s="106" t="s">
        <v>0</v>
      </c>
      <c r="C9" s="115">
        <v>756960</v>
      </c>
      <c r="D9" s="116">
        <v>1034100</v>
      </c>
      <c r="E9" s="117">
        <v>1034100</v>
      </c>
      <c r="F9" s="118">
        <v>1149000</v>
      </c>
      <c r="G9" s="120">
        <v>1149000</v>
      </c>
      <c r="H9" s="212">
        <f t="shared" si="0"/>
        <v>5123160</v>
      </c>
      <c r="I9" s="178">
        <f t="shared" si="1"/>
        <v>1024632</v>
      </c>
    </row>
    <row r="10" spans="1:12" s="79" customFormat="1" x14ac:dyDescent="0.25">
      <c r="A10" s="165" t="s">
        <v>14</v>
      </c>
      <c r="B10" s="106" t="s">
        <v>50</v>
      </c>
      <c r="C10" s="115">
        <v>500000</v>
      </c>
      <c r="D10" s="116">
        <v>0</v>
      </c>
      <c r="E10" s="117">
        <v>0</v>
      </c>
      <c r="F10" s="118">
        <v>0</v>
      </c>
      <c r="G10" s="120">
        <v>0</v>
      </c>
      <c r="H10" s="212">
        <f t="shared" si="0"/>
        <v>500000</v>
      </c>
      <c r="I10" s="178">
        <f t="shared" si="1"/>
        <v>100000</v>
      </c>
    </row>
    <row r="11" spans="1:12" s="79" customFormat="1" x14ac:dyDescent="0.25">
      <c r="A11" s="165" t="s">
        <v>14</v>
      </c>
      <c r="B11" s="106" t="s">
        <v>84</v>
      </c>
      <c r="C11" s="115">
        <v>0</v>
      </c>
      <c r="D11" s="116">
        <v>0</v>
      </c>
      <c r="E11" s="117">
        <v>0</v>
      </c>
      <c r="F11" s="118">
        <v>160000</v>
      </c>
      <c r="G11" s="120">
        <v>1235000</v>
      </c>
      <c r="H11" s="212">
        <f t="shared" si="0"/>
        <v>1395000</v>
      </c>
      <c r="I11" s="178">
        <f t="shared" si="1"/>
        <v>279000</v>
      </c>
    </row>
    <row r="12" spans="1:12" s="79" customFormat="1" ht="30" x14ac:dyDescent="0.25">
      <c r="A12" s="165" t="s">
        <v>14</v>
      </c>
      <c r="B12" s="106" t="s">
        <v>144</v>
      </c>
      <c r="C12" s="115">
        <v>500000</v>
      </c>
      <c r="D12" s="116">
        <v>0</v>
      </c>
      <c r="E12" s="117">
        <v>0</v>
      </c>
      <c r="F12" s="118">
        <v>0</v>
      </c>
      <c r="G12" s="120">
        <v>0</v>
      </c>
      <c r="H12" s="212">
        <f t="shared" si="0"/>
        <v>500000</v>
      </c>
      <c r="I12" s="178">
        <f t="shared" si="1"/>
        <v>100000</v>
      </c>
    </row>
    <row r="13" spans="1:12" s="79" customFormat="1" x14ac:dyDescent="0.25">
      <c r="A13" s="165" t="s">
        <v>14</v>
      </c>
      <c r="B13" s="106" t="s">
        <v>145</v>
      </c>
      <c r="C13" s="115">
        <v>0</v>
      </c>
      <c r="D13" s="116">
        <v>0</v>
      </c>
      <c r="E13" s="117">
        <v>0</v>
      </c>
      <c r="F13" s="118">
        <v>550000</v>
      </c>
      <c r="G13" s="120">
        <v>0</v>
      </c>
      <c r="H13" s="212">
        <f t="shared" si="0"/>
        <v>550000</v>
      </c>
      <c r="I13" s="178">
        <f t="shared" si="1"/>
        <v>110000</v>
      </c>
    </row>
    <row r="14" spans="1:12" s="79" customFormat="1" x14ac:dyDescent="0.25">
      <c r="A14" s="165" t="s">
        <v>14</v>
      </c>
      <c r="B14" s="106" t="s">
        <v>85</v>
      </c>
      <c r="C14" s="115">
        <v>0</v>
      </c>
      <c r="D14" s="116">
        <v>0</v>
      </c>
      <c r="E14" s="117">
        <v>0</v>
      </c>
      <c r="F14" s="118">
        <v>1000000</v>
      </c>
      <c r="G14" s="120">
        <v>2500000</v>
      </c>
      <c r="H14" s="212">
        <f t="shared" si="0"/>
        <v>3500000</v>
      </c>
      <c r="I14" s="178">
        <f t="shared" si="1"/>
        <v>700000</v>
      </c>
    </row>
    <row r="15" spans="1:12" s="79" customFormat="1" x14ac:dyDescent="0.25">
      <c r="A15" s="165" t="s">
        <v>14</v>
      </c>
      <c r="B15" s="106" t="s">
        <v>51</v>
      </c>
      <c r="C15" s="115">
        <v>2800000</v>
      </c>
      <c r="D15" s="116">
        <v>750000</v>
      </c>
      <c r="E15" s="117">
        <v>500000</v>
      </c>
      <c r="F15" s="118">
        <v>0</v>
      </c>
      <c r="G15" s="120">
        <v>0</v>
      </c>
      <c r="H15" s="212">
        <f t="shared" si="0"/>
        <v>4050000</v>
      </c>
      <c r="I15" s="178">
        <f t="shared" si="1"/>
        <v>810000</v>
      </c>
      <c r="L15" s="79" t="e">
        <f>safdakjnadfhlkjahlfjahdflahjdklf</f>
        <v>#NAME?</v>
      </c>
    </row>
    <row r="16" spans="1:12" s="79" customFormat="1" x14ac:dyDescent="0.25">
      <c r="A16" s="165" t="s">
        <v>14</v>
      </c>
      <c r="B16" s="106" t="s">
        <v>143</v>
      </c>
      <c r="C16" s="115">
        <v>0</v>
      </c>
      <c r="D16" s="116">
        <v>1000000</v>
      </c>
      <c r="E16" s="117">
        <v>0</v>
      </c>
      <c r="F16" s="118">
        <v>0</v>
      </c>
      <c r="G16" s="120">
        <v>0</v>
      </c>
      <c r="H16" s="212">
        <f t="shared" si="0"/>
        <v>1000000</v>
      </c>
      <c r="I16" s="178">
        <f t="shared" si="1"/>
        <v>200000</v>
      </c>
    </row>
    <row r="17" spans="1:9" s="79" customFormat="1" x14ac:dyDescent="0.25">
      <c r="A17" s="165" t="s">
        <v>14</v>
      </c>
      <c r="B17" s="106" t="s">
        <v>125</v>
      </c>
      <c r="C17" s="115"/>
      <c r="D17" s="116">
        <v>0</v>
      </c>
      <c r="E17" s="117">
        <v>0</v>
      </c>
      <c r="F17" s="118">
        <v>560000</v>
      </c>
      <c r="G17" s="120">
        <v>0</v>
      </c>
      <c r="H17" s="212">
        <f t="shared" si="0"/>
        <v>560000</v>
      </c>
      <c r="I17" s="178">
        <f t="shared" si="1"/>
        <v>140000</v>
      </c>
    </row>
    <row r="18" spans="1:9" s="79" customFormat="1" x14ac:dyDescent="0.25">
      <c r="A18" s="165" t="s">
        <v>14</v>
      </c>
      <c r="B18" s="106" t="s">
        <v>258</v>
      </c>
      <c r="C18" s="115">
        <v>0</v>
      </c>
      <c r="D18" s="116">
        <v>0</v>
      </c>
      <c r="E18" s="117">
        <v>0</v>
      </c>
      <c r="F18" s="118">
        <v>0</v>
      </c>
      <c r="G18" s="120">
        <v>1500000</v>
      </c>
      <c r="H18" s="212">
        <f t="shared" si="0"/>
        <v>1500000</v>
      </c>
      <c r="I18" s="178">
        <f t="shared" si="1"/>
        <v>300000</v>
      </c>
    </row>
    <row r="19" spans="1:9" s="79" customFormat="1" ht="30" x14ac:dyDescent="0.25">
      <c r="A19" s="165" t="s">
        <v>14</v>
      </c>
      <c r="B19" s="106" t="s">
        <v>127</v>
      </c>
      <c r="C19" s="115">
        <v>1800000</v>
      </c>
      <c r="D19" s="116">
        <v>750000</v>
      </c>
      <c r="E19" s="117">
        <v>0</v>
      </c>
      <c r="F19" s="118">
        <v>0</v>
      </c>
      <c r="G19" s="120">
        <v>0</v>
      </c>
      <c r="H19" s="212">
        <f t="shared" si="0"/>
        <v>2550000</v>
      </c>
      <c r="I19" s="178">
        <f t="shared" si="1"/>
        <v>510000</v>
      </c>
    </row>
    <row r="20" spans="1:9" s="79" customFormat="1" ht="30" x14ac:dyDescent="0.25">
      <c r="A20" s="165" t="s">
        <v>14</v>
      </c>
      <c r="B20" s="106" t="s">
        <v>135</v>
      </c>
      <c r="C20" s="115">
        <v>600000</v>
      </c>
      <c r="D20" s="116">
        <v>2000000</v>
      </c>
      <c r="E20" s="117">
        <v>0</v>
      </c>
      <c r="F20" s="118">
        <v>0</v>
      </c>
      <c r="G20" s="120">
        <v>0</v>
      </c>
      <c r="H20" s="212">
        <f t="shared" si="0"/>
        <v>2600000</v>
      </c>
      <c r="I20" s="178">
        <f t="shared" si="1"/>
        <v>520000</v>
      </c>
    </row>
    <row r="21" spans="1:9" s="79" customFormat="1" x14ac:dyDescent="0.25">
      <c r="A21" s="165" t="s">
        <v>14</v>
      </c>
      <c r="B21" s="106" t="s">
        <v>86</v>
      </c>
      <c r="C21" s="115">
        <v>0</v>
      </c>
      <c r="D21" s="116">
        <v>0</v>
      </c>
      <c r="E21" s="117">
        <v>130000</v>
      </c>
      <c r="F21" s="118">
        <v>2025000</v>
      </c>
      <c r="G21" s="120">
        <v>0</v>
      </c>
      <c r="H21" s="212">
        <f t="shared" si="0"/>
        <v>2155000</v>
      </c>
      <c r="I21" s="178">
        <f t="shared" si="1"/>
        <v>431000</v>
      </c>
    </row>
    <row r="22" spans="1:9" s="79" customFormat="1" x14ac:dyDescent="0.25">
      <c r="A22" s="165" t="s">
        <v>14</v>
      </c>
      <c r="B22" s="106" t="s">
        <v>52</v>
      </c>
      <c r="C22" s="115">
        <v>12500000</v>
      </c>
      <c r="D22" s="116">
        <v>9400000</v>
      </c>
      <c r="E22" s="117">
        <v>3034000</v>
      </c>
      <c r="F22" s="118">
        <v>4000000</v>
      </c>
      <c r="G22" s="120">
        <v>8000000</v>
      </c>
      <c r="H22" s="212">
        <f t="shared" si="0"/>
        <v>36934000</v>
      </c>
      <c r="I22" s="178">
        <f t="shared" si="1"/>
        <v>7386800</v>
      </c>
    </row>
    <row r="23" spans="1:9" s="79" customFormat="1" x14ac:dyDescent="0.25">
      <c r="A23" s="165" t="s">
        <v>14</v>
      </c>
      <c r="B23" s="106" t="s">
        <v>53</v>
      </c>
      <c r="C23" s="115">
        <v>840000</v>
      </c>
      <c r="D23" s="116">
        <v>840000</v>
      </c>
      <c r="E23" s="117">
        <v>900000</v>
      </c>
      <c r="F23" s="118">
        <v>840000</v>
      </c>
      <c r="G23" s="120">
        <v>900000</v>
      </c>
      <c r="H23" s="212">
        <f t="shared" si="0"/>
        <v>4320000</v>
      </c>
      <c r="I23" s="178">
        <f t="shared" si="1"/>
        <v>864000</v>
      </c>
    </row>
    <row r="24" spans="1:9" s="79" customFormat="1" ht="18.75" customHeight="1" x14ac:dyDescent="0.25">
      <c r="A24" s="165" t="s">
        <v>14</v>
      </c>
      <c r="B24" s="106" t="s">
        <v>137</v>
      </c>
      <c r="C24" s="115">
        <v>0</v>
      </c>
      <c r="D24" s="116">
        <v>1000000</v>
      </c>
      <c r="E24" s="117">
        <v>1000000</v>
      </c>
      <c r="F24" s="118">
        <v>1000000</v>
      </c>
      <c r="G24" s="120">
        <v>1000000</v>
      </c>
      <c r="H24" s="212">
        <f t="shared" si="0"/>
        <v>4000000</v>
      </c>
      <c r="I24" s="178">
        <f t="shared" si="1"/>
        <v>800000</v>
      </c>
    </row>
    <row r="25" spans="1:9" s="79" customFormat="1" x14ac:dyDescent="0.25">
      <c r="A25" s="165" t="s">
        <v>14</v>
      </c>
      <c r="B25" s="106" t="s">
        <v>112</v>
      </c>
      <c r="C25" s="115">
        <v>2230625</v>
      </c>
      <c r="D25" s="116">
        <v>1961875</v>
      </c>
      <c r="E25" s="117">
        <v>1195938</v>
      </c>
      <c r="F25" s="118">
        <v>0</v>
      </c>
      <c r="G25" s="120">
        <v>0</v>
      </c>
      <c r="H25" s="212">
        <f t="shared" si="0"/>
        <v>5388438</v>
      </c>
      <c r="I25" s="178">
        <f t="shared" si="1"/>
        <v>1077687.6000000001</v>
      </c>
    </row>
    <row r="26" spans="1:9" s="79" customFormat="1" x14ac:dyDescent="0.25">
      <c r="A26" s="165" t="s">
        <v>14</v>
      </c>
      <c r="B26" s="106" t="s">
        <v>260</v>
      </c>
      <c r="C26" s="115">
        <v>9000000</v>
      </c>
      <c r="D26" s="116">
        <v>7000000</v>
      </c>
      <c r="E26" s="117">
        <v>2400000</v>
      </c>
      <c r="F26" s="118">
        <v>0</v>
      </c>
      <c r="G26" s="120">
        <v>0</v>
      </c>
      <c r="H26" s="212">
        <f t="shared" si="0"/>
        <v>18400000</v>
      </c>
      <c r="I26" s="178">
        <f t="shared" si="1"/>
        <v>3680000</v>
      </c>
    </row>
    <row r="27" spans="1:9" s="79" customFormat="1" x14ac:dyDescent="0.25">
      <c r="A27" s="165" t="s">
        <v>14</v>
      </c>
      <c r="B27" s="106" t="s">
        <v>124</v>
      </c>
      <c r="C27" s="115">
        <v>0</v>
      </c>
      <c r="D27" s="116">
        <v>300000</v>
      </c>
      <c r="E27" s="117">
        <v>2200000</v>
      </c>
      <c r="F27" s="118">
        <v>2000000</v>
      </c>
      <c r="G27" s="120">
        <v>0</v>
      </c>
      <c r="H27" s="212">
        <f t="shared" si="0"/>
        <v>4500000</v>
      </c>
      <c r="I27" s="178">
        <f t="shared" si="1"/>
        <v>900000</v>
      </c>
    </row>
    <row r="28" spans="1:9" s="79" customFormat="1" ht="15.75" thickBot="1" x14ac:dyDescent="0.3">
      <c r="A28" s="287" t="s">
        <v>14</v>
      </c>
      <c r="B28" s="288" t="s">
        <v>9</v>
      </c>
      <c r="C28" s="282">
        <v>2100000</v>
      </c>
      <c r="D28" s="283">
        <v>0</v>
      </c>
      <c r="E28" s="284">
        <v>0</v>
      </c>
      <c r="F28" s="285">
        <v>0</v>
      </c>
      <c r="G28" s="286">
        <v>0</v>
      </c>
      <c r="H28" s="212">
        <f t="shared" si="0"/>
        <v>2100000</v>
      </c>
      <c r="I28" s="178">
        <f t="shared" si="1"/>
        <v>420000</v>
      </c>
    </row>
    <row r="29" spans="1:9" s="79" customFormat="1" ht="15.75" thickBot="1" x14ac:dyDescent="0.3">
      <c r="A29" s="298" t="s">
        <v>284</v>
      </c>
      <c r="B29" s="299"/>
      <c r="C29" s="299"/>
      <c r="D29" s="299"/>
      <c r="E29" s="299"/>
      <c r="F29" s="299"/>
      <c r="G29" s="300"/>
      <c r="H29" s="212"/>
      <c r="I29" s="178"/>
    </row>
    <row r="30" spans="1:9" s="79" customFormat="1" ht="15.75" thickBot="1" x14ac:dyDescent="0.3">
      <c r="A30" s="144" t="s">
        <v>21</v>
      </c>
      <c r="B30" s="145" t="s">
        <v>217</v>
      </c>
      <c r="C30" s="146">
        <v>2020</v>
      </c>
      <c r="D30" s="147">
        <v>2021</v>
      </c>
      <c r="E30" s="148">
        <v>2022</v>
      </c>
      <c r="F30" s="149">
        <v>2023</v>
      </c>
      <c r="G30" s="150">
        <v>2024</v>
      </c>
      <c r="H30" s="212"/>
      <c r="I30" s="178"/>
    </row>
    <row r="31" spans="1:9" s="79" customFormat="1" ht="17.25" customHeight="1" x14ac:dyDescent="0.25">
      <c r="A31" s="165" t="s">
        <v>14</v>
      </c>
      <c r="B31" s="106" t="s">
        <v>54</v>
      </c>
      <c r="C31" s="115">
        <v>0</v>
      </c>
      <c r="D31" s="116">
        <v>0</v>
      </c>
      <c r="E31" s="117">
        <v>0</v>
      </c>
      <c r="F31" s="118">
        <v>0</v>
      </c>
      <c r="G31" s="120">
        <v>1000000</v>
      </c>
      <c r="H31" s="212">
        <f t="shared" si="0"/>
        <v>1000000</v>
      </c>
      <c r="I31" s="178">
        <f t="shared" si="1"/>
        <v>200000</v>
      </c>
    </row>
    <row r="32" spans="1:9" s="79" customFormat="1" x14ac:dyDescent="0.25">
      <c r="A32" s="165" t="s">
        <v>14</v>
      </c>
      <c r="B32" s="106" t="s">
        <v>55</v>
      </c>
      <c r="C32" s="115">
        <v>1500000</v>
      </c>
      <c r="D32" s="116">
        <v>4500000</v>
      </c>
      <c r="E32" s="117">
        <v>11500000</v>
      </c>
      <c r="F32" s="118">
        <v>11500000</v>
      </c>
      <c r="G32" s="120">
        <v>11500000</v>
      </c>
      <c r="H32" s="212">
        <f t="shared" si="0"/>
        <v>40500000</v>
      </c>
      <c r="I32" s="178">
        <f t="shared" si="1"/>
        <v>8100000</v>
      </c>
    </row>
    <row r="33" spans="1:9" s="79" customFormat="1" x14ac:dyDescent="0.25">
      <c r="A33" s="165" t="s">
        <v>14</v>
      </c>
      <c r="B33" s="106" t="s">
        <v>259</v>
      </c>
      <c r="C33" s="115">
        <v>0</v>
      </c>
      <c r="D33" s="116">
        <v>75000</v>
      </c>
      <c r="E33" s="117">
        <v>650000</v>
      </c>
      <c r="F33" s="118">
        <v>0</v>
      </c>
      <c r="G33" s="120">
        <v>0</v>
      </c>
      <c r="H33" s="212">
        <f t="shared" si="0"/>
        <v>725000</v>
      </c>
      <c r="I33" s="178">
        <f t="shared" si="1"/>
        <v>145000</v>
      </c>
    </row>
    <row r="34" spans="1:9" s="79" customFormat="1" ht="30" x14ac:dyDescent="0.25">
      <c r="A34" s="165" t="s">
        <v>14</v>
      </c>
      <c r="B34" s="106" t="s">
        <v>104</v>
      </c>
      <c r="C34" s="115">
        <v>0</v>
      </c>
      <c r="D34" s="116">
        <v>93000</v>
      </c>
      <c r="E34" s="117">
        <v>650000</v>
      </c>
      <c r="F34" s="118">
        <v>182000</v>
      </c>
      <c r="G34" s="120">
        <v>0</v>
      </c>
      <c r="H34" s="212">
        <f t="shared" si="0"/>
        <v>925000</v>
      </c>
      <c r="I34" s="178">
        <f t="shared" si="1"/>
        <v>185000</v>
      </c>
    </row>
    <row r="35" spans="1:9" s="79" customFormat="1" x14ac:dyDescent="0.25">
      <c r="A35" s="165" t="s">
        <v>14</v>
      </c>
      <c r="B35" s="106" t="s">
        <v>148</v>
      </c>
      <c r="C35" s="115">
        <v>0</v>
      </c>
      <c r="D35" s="116">
        <v>0</v>
      </c>
      <c r="E35" s="117">
        <v>0</v>
      </c>
      <c r="F35" s="118">
        <v>750000</v>
      </c>
      <c r="G35" s="120">
        <v>750000</v>
      </c>
      <c r="H35" s="212">
        <f t="shared" si="0"/>
        <v>1500000</v>
      </c>
      <c r="I35" s="178">
        <f t="shared" si="1"/>
        <v>300000</v>
      </c>
    </row>
    <row r="36" spans="1:9" s="79" customFormat="1" x14ac:dyDescent="0.25">
      <c r="A36" s="165" t="s">
        <v>14</v>
      </c>
      <c r="B36" s="106" t="s">
        <v>149</v>
      </c>
      <c r="C36" s="115">
        <v>0</v>
      </c>
      <c r="D36" s="116">
        <v>0</v>
      </c>
      <c r="E36" s="117">
        <v>0</v>
      </c>
      <c r="F36" s="118">
        <v>0</v>
      </c>
      <c r="G36" s="120">
        <v>2000000</v>
      </c>
      <c r="H36" s="212">
        <f t="shared" si="0"/>
        <v>2000000</v>
      </c>
      <c r="I36" s="178">
        <f t="shared" si="1"/>
        <v>400000</v>
      </c>
    </row>
    <row r="37" spans="1:9" s="79" customFormat="1" x14ac:dyDescent="0.25">
      <c r="A37" s="165" t="s">
        <v>14</v>
      </c>
      <c r="B37" s="106" t="s">
        <v>136</v>
      </c>
      <c r="C37" s="115">
        <v>0</v>
      </c>
      <c r="D37" s="116">
        <v>0</v>
      </c>
      <c r="E37" s="117">
        <v>0</v>
      </c>
      <c r="F37" s="118">
        <v>0</v>
      </c>
      <c r="G37" s="120">
        <v>1000000</v>
      </c>
      <c r="H37" s="212">
        <f t="shared" si="0"/>
        <v>1000000</v>
      </c>
      <c r="I37" s="178">
        <f t="shared" si="1"/>
        <v>200000</v>
      </c>
    </row>
    <row r="38" spans="1:9" s="79" customFormat="1" ht="30" x14ac:dyDescent="0.25">
      <c r="A38" s="165" t="s">
        <v>14</v>
      </c>
      <c r="B38" s="106" t="s">
        <v>106</v>
      </c>
      <c r="C38" s="115">
        <v>0</v>
      </c>
      <c r="D38" s="116">
        <v>0</v>
      </c>
      <c r="E38" s="117">
        <v>0</v>
      </c>
      <c r="F38" s="118">
        <v>1005000</v>
      </c>
      <c r="G38" s="120">
        <v>2406000</v>
      </c>
      <c r="H38" s="212">
        <f t="shared" si="0"/>
        <v>3411000</v>
      </c>
      <c r="I38" s="178">
        <f t="shared" si="1"/>
        <v>682200</v>
      </c>
    </row>
    <row r="39" spans="1:9" s="79" customFormat="1" x14ac:dyDescent="0.25">
      <c r="A39" s="165" t="s">
        <v>14</v>
      </c>
      <c r="B39" s="106" t="s">
        <v>107</v>
      </c>
      <c r="C39" s="115">
        <v>500000</v>
      </c>
      <c r="D39" s="116">
        <v>6430000</v>
      </c>
      <c r="E39" s="117">
        <v>5930000</v>
      </c>
      <c r="F39" s="118">
        <v>5930000</v>
      </c>
      <c r="G39" s="120">
        <v>4759000</v>
      </c>
      <c r="H39" s="212">
        <f t="shared" si="0"/>
        <v>23549000</v>
      </c>
      <c r="I39" s="178">
        <f t="shared" si="1"/>
        <v>4709800</v>
      </c>
    </row>
    <row r="40" spans="1:9" s="79" customFormat="1" x14ac:dyDescent="0.25">
      <c r="A40" s="165" t="s">
        <v>14</v>
      </c>
      <c r="B40" s="106" t="s">
        <v>57</v>
      </c>
      <c r="C40" s="115">
        <v>0</v>
      </c>
      <c r="D40" s="116">
        <v>0</v>
      </c>
      <c r="E40" s="117">
        <v>0</v>
      </c>
      <c r="F40" s="118">
        <v>0</v>
      </c>
      <c r="G40" s="120">
        <v>2000000</v>
      </c>
      <c r="H40" s="212">
        <f t="shared" si="0"/>
        <v>2000000</v>
      </c>
      <c r="I40" s="178">
        <f t="shared" si="1"/>
        <v>400000</v>
      </c>
    </row>
    <row r="41" spans="1:9" s="79" customFormat="1" ht="14.1" customHeight="1" x14ac:dyDescent="0.25">
      <c r="A41" s="165" t="s">
        <v>14</v>
      </c>
      <c r="B41" s="106" t="s">
        <v>139</v>
      </c>
      <c r="C41" s="115">
        <v>190000</v>
      </c>
      <c r="D41" s="116">
        <v>3110000</v>
      </c>
      <c r="E41" s="117">
        <v>0</v>
      </c>
      <c r="F41" s="118">
        <v>0</v>
      </c>
      <c r="G41" s="120">
        <v>0</v>
      </c>
      <c r="H41" s="212">
        <f t="shared" si="0"/>
        <v>3300000</v>
      </c>
      <c r="I41" s="178">
        <f t="shared" si="1"/>
        <v>660000</v>
      </c>
    </row>
    <row r="42" spans="1:9" s="79" customFormat="1" ht="14.45" customHeight="1" x14ac:dyDescent="0.25">
      <c r="A42" s="165" t="s">
        <v>14</v>
      </c>
      <c r="B42" s="106" t="s">
        <v>146</v>
      </c>
      <c r="C42" s="115">
        <v>500000</v>
      </c>
      <c r="D42" s="116">
        <v>0</v>
      </c>
      <c r="E42" s="117">
        <v>1500000</v>
      </c>
      <c r="F42" s="118">
        <v>9500000</v>
      </c>
      <c r="G42" s="120">
        <v>10000000</v>
      </c>
      <c r="H42" s="212">
        <f t="shared" si="0"/>
        <v>21500000</v>
      </c>
      <c r="I42" s="178">
        <f t="shared" si="1"/>
        <v>4300000</v>
      </c>
    </row>
    <row r="43" spans="1:9" s="79" customFormat="1" x14ac:dyDescent="0.25">
      <c r="A43" s="165" t="s">
        <v>14</v>
      </c>
      <c r="B43" s="106" t="s">
        <v>1</v>
      </c>
      <c r="C43" s="115">
        <v>2137540</v>
      </c>
      <c r="D43" s="116">
        <v>3179700</v>
      </c>
      <c r="E43" s="117">
        <v>3179700</v>
      </c>
      <c r="F43" s="118">
        <v>3500000</v>
      </c>
      <c r="G43" s="120">
        <v>3500000</v>
      </c>
      <c r="H43" s="212">
        <f t="shared" si="0"/>
        <v>15496940</v>
      </c>
      <c r="I43" s="178">
        <f t="shared" si="1"/>
        <v>3099388</v>
      </c>
    </row>
    <row r="44" spans="1:9" s="79" customFormat="1" x14ac:dyDescent="0.25">
      <c r="A44" s="165" t="s">
        <v>14</v>
      </c>
      <c r="B44" s="106" t="s">
        <v>147</v>
      </c>
      <c r="C44" s="115">
        <v>0</v>
      </c>
      <c r="D44" s="116">
        <v>0</v>
      </c>
      <c r="E44" s="117">
        <v>0</v>
      </c>
      <c r="F44" s="118">
        <v>0</v>
      </c>
      <c r="G44" s="120">
        <v>450000</v>
      </c>
      <c r="H44" s="212">
        <f t="shared" si="0"/>
        <v>450000</v>
      </c>
      <c r="I44" s="178">
        <f t="shared" si="1"/>
        <v>90000</v>
      </c>
    </row>
    <row r="45" spans="1:9" s="79" customFormat="1" x14ac:dyDescent="0.25">
      <c r="A45" s="165" t="s">
        <v>16</v>
      </c>
      <c r="B45" s="106" t="s">
        <v>24</v>
      </c>
      <c r="C45" s="115">
        <v>0</v>
      </c>
      <c r="D45" s="116">
        <v>0</v>
      </c>
      <c r="E45" s="117">
        <v>5000000</v>
      </c>
      <c r="F45" s="118">
        <v>7000000</v>
      </c>
      <c r="G45" s="120">
        <v>0</v>
      </c>
      <c r="H45" s="212">
        <f t="shared" si="0"/>
        <v>12000000</v>
      </c>
      <c r="I45" s="178">
        <f t="shared" si="1"/>
        <v>2400000</v>
      </c>
    </row>
    <row r="46" spans="1:9" s="79" customFormat="1" x14ac:dyDescent="0.25">
      <c r="A46" s="165" t="s">
        <v>16</v>
      </c>
      <c r="B46" s="106" t="s">
        <v>151</v>
      </c>
      <c r="C46" s="115">
        <v>3000000</v>
      </c>
      <c r="D46" s="116">
        <v>0</v>
      </c>
      <c r="E46" s="117">
        <v>0</v>
      </c>
      <c r="F46" s="118">
        <v>0</v>
      </c>
      <c r="G46" s="120">
        <v>0</v>
      </c>
      <c r="H46" s="212">
        <f t="shared" si="0"/>
        <v>3000000</v>
      </c>
      <c r="I46" s="178">
        <f t="shared" si="1"/>
        <v>600000</v>
      </c>
    </row>
    <row r="47" spans="1:9" s="79" customFormat="1" x14ac:dyDescent="0.25">
      <c r="A47" s="165" t="s">
        <v>16</v>
      </c>
      <c r="B47" s="106" t="s">
        <v>13</v>
      </c>
      <c r="C47" s="115">
        <v>2000000</v>
      </c>
      <c r="D47" s="116">
        <v>2200000</v>
      </c>
      <c r="E47" s="117">
        <v>2500000</v>
      </c>
      <c r="F47" s="118">
        <v>2750000</v>
      </c>
      <c r="G47" s="120">
        <v>2750000</v>
      </c>
      <c r="H47" s="212">
        <f t="shared" si="0"/>
        <v>12200000</v>
      </c>
      <c r="I47" s="178">
        <f t="shared" si="1"/>
        <v>2440000</v>
      </c>
    </row>
    <row r="48" spans="1:9" s="79" customFormat="1" x14ac:dyDescent="0.25">
      <c r="A48" s="165" t="s">
        <v>16</v>
      </c>
      <c r="B48" s="106" t="s">
        <v>59</v>
      </c>
      <c r="C48" s="115">
        <v>1782000</v>
      </c>
      <c r="D48" s="116">
        <v>1980000</v>
      </c>
      <c r="E48" s="117">
        <v>1980000</v>
      </c>
      <c r="F48" s="118">
        <v>2000000</v>
      </c>
      <c r="G48" s="120">
        <v>2000000</v>
      </c>
      <c r="H48" s="212">
        <f t="shared" si="0"/>
        <v>9742000</v>
      </c>
      <c r="I48" s="178">
        <f t="shared" si="1"/>
        <v>1948400</v>
      </c>
    </row>
    <row r="49" spans="1:9" s="79" customFormat="1" x14ac:dyDescent="0.25">
      <c r="A49" s="165" t="s">
        <v>16</v>
      </c>
      <c r="B49" s="106" t="s">
        <v>46</v>
      </c>
      <c r="C49" s="115">
        <v>6237000</v>
      </c>
      <c r="D49" s="116">
        <v>6237000</v>
      </c>
      <c r="E49" s="117">
        <v>6237000</v>
      </c>
      <c r="F49" s="118">
        <v>6237000</v>
      </c>
      <c r="G49" s="120">
        <v>6237000</v>
      </c>
      <c r="H49" s="212">
        <f t="shared" si="0"/>
        <v>31185000</v>
      </c>
      <c r="I49" s="178">
        <f t="shared" si="1"/>
        <v>6237000</v>
      </c>
    </row>
    <row r="50" spans="1:9" s="79" customFormat="1" x14ac:dyDescent="0.25">
      <c r="A50" s="185" t="s">
        <v>16</v>
      </c>
      <c r="B50" s="182" t="s">
        <v>154</v>
      </c>
      <c r="C50" s="115">
        <v>0</v>
      </c>
      <c r="D50" s="116">
        <v>1100000</v>
      </c>
      <c r="E50" s="117">
        <v>675000</v>
      </c>
      <c r="F50" s="118">
        <v>612500</v>
      </c>
      <c r="G50" s="120">
        <v>0</v>
      </c>
      <c r="H50" s="212">
        <f t="shared" si="0"/>
        <v>2387500</v>
      </c>
      <c r="I50" s="178">
        <f t="shared" si="1"/>
        <v>477500</v>
      </c>
    </row>
    <row r="51" spans="1:9" s="79" customFormat="1" x14ac:dyDescent="0.25">
      <c r="A51" s="186" t="s">
        <v>16</v>
      </c>
      <c r="B51" s="183" t="s">
        <v>157</v>
      </c>
      <c r="C51" s="121">
        <v>-329588</v>
      </c>
      <c r="D51" s="122">
        <f>-1483487+1080000</f>
        <v>-403487</v>
      </c>
      <c r="E51" s="123">
        <f>3855843+1036800</f>
        <v>4892643</v>
      </c>
      <c r="F51" s="124">
        <v>1680758</v>
      </c>
      <c r="G51" s="214">
        <v>16192512</v>
      </c>
      <c r="H51" s="212">
        <f t="shared" si="0"/>
        <v>22032838</v>
      </c>
      <c r="I51" s="178">
        <f t="shared" si="1"/>
        <v>4406567.5999999996</v>
      </c>
    </row>
    <row r="52" spans="1:9" s="79" customFormat="1" x14ac:dyDescent="0.25">
      <c r="A52" s="165" t="s">
        <v>18</v>
      </c>
      <c r="B52" s="106" t="s">
        <v>68</v>
      </c>
      <c r="C52" s="115">
        <v>2100000</v>
      </c>
      <c r="D52" s="116">
        <v>920000</v>
      </c>
      <c r="E52" s="117">
        <v>700000</v>
      </c>
      <c r="F52" s="118">
        <v>700000</v>
      </c>
      <c r="G52" s="120">
        <v>700000</v>
      </c>
      <c r="H52" s="212">
        <f t="shared" si="0"/>
        <v>5120000</v>
      </c>
      <c r="I52" s="178">
        <f t="shared" si="1"/>
        <v>1024000</v>
      </c>
    </row>
    <row r="53" spans="1:9" s="79" customFormat="1" x14ac:dyDescent="0.25">
      <c r="A53" s="165" t="s">
        <v>18</v>
      </c>
      <c r="B53" s="106" t="s">
        <v>73</v>
      </c>
      <c r="C53" s="115">
        <v>18750000</v>
      </c>
      <c r="D53" s="116">
        <v>18250000</v>
      </c>
      <c r="E53" s="117">
        <v>24950000</v>
      </c>
      <c r="F53" s="118">
        <v>25050000</v>
      </c>
      <c r="G53" s="120">
        <v>25125000</v>
      </c>
      <c r="H53" s="212">
        <f t="shared" si="0"/>
        <v>112125000</v>
      </c>
      <c r="I53" s="178">
        <f t="shared" si="1"/>
        <v>22425000</v>
      </c>
    </row>
    <row r="54" spans="1:9" s="79" customFormat="1" x14ac:dyDescent="0.25">
      <c r="A54" s="165" t="s">
        <v>18</v>
      </c>
      <c r="B54" s="106" t="s">
        <v>74</v>
      </c>
      <c r="C54" s="115">
        <v>1659120</v>
      </c>
      <c r="D54" s="116">
        <f>1659120+750000</f>
        <v>2409120</v>
      </c>
      <c r="E54" s="117">
        <f>1659120+750000</f>
        <v>2409120</v>
      </c>
      <c r="F54" s="118">
        <f>1843420+750000</f>
        <v>2593420</v>
      </c>
      <c r="G54" s="120">
        <f>1843420+750000</f>
        <v>2593420</v>
      </c>
      <c r="H54" s="212">
        <f t="shared" si="0"/>
        <v>11664200</v>
      </c>
      <c r="I54" s="178">
        <f t="shared" si="1"/>
        <v>2332840</v>
      </c>
    </row>
    <row r="55" spans="1:9" s="79" customFormat="1" x14ac:dyDescent="0.25">
      <c r="A55" s="165" t="s">
        <v>18</v>
      </c>
      <c r="B55" s="106" t="s">
        <v>288</v>
      </c>
      <c r="C55" s="115">
        <v>7550000</v>
      </c>
      <c r="D55" s="116">
        <v>7500000</v>
      </c>
      <c r="E55" s="117">
        <v>14000000</v>
      </c>
      <c r="F55" s="118">
        <v>10000000</v>
      </c>
      <c r="G55" s="120">
        <v>10000000</v>
      </c>
      <c r="H55" s="212">
        <f t="shared" si="0"/>
        <v>49050000</v>
      </c>
      <c r="I55" s="178">
        <f t="shared" si="1"/>
        <v>9810000</v>
      </c>
    </row>
    <row r="56" spans="1:9" s="79" customFormat="1" x14ac:dyDescent="0.25">
      <c r="A56" s="165" t="s">
        <v>18</v>
      </c>
      <c r="B56" s="106" t="s">
        <v>62</v>
      </c>
      <c r="C56" s="115">
        <v>8000000</v>
      </c>
      <c r="D56" s="116">
        <v>10000000</v>
      </c>
      <c r="E56" s="117">
        <v>12000000</v>
      </c>
      <c r="F56" s="118">
        <v>12200000</v>
      </c>
      <c r="G56" s="120">
        <v>13000000</v>
      </c>
      <c r="H56" s="212">
        <f t="shared" si="0"/>
        <v>55200000</v>
      </c>
      <c r="I56" s="178">
        <f t="shared" si="1"/>
        <v>11040000</v>
      </c>
    </row>
    <row r="57" spans="1:9" s="79" customFormat="1" x14ac:dyDescent="0.25">
      <c r="A57" s="165" t="s">
        <v>18</v>
      </c>
      <c r="B57" s="106" t="s">
        <v>4</v>
      </c>
      <c r="C57" s="115">
        <v>8768500</v>
      </c>
      <c r="D57" s="116">
        <v>10000000</v>
      </c>
      <c r="E57" s="117">
        <v>10000000</v>
      </c>
      <c r="F57" s="118">
        <v>10000000</v>
      </c>
      <c r="G57" s="120">
        <v>10000000</v>
      </c>
      <c r="H57" s="212">
        <f t="shared" si="0"/>
        <v>48768500</v>
      </c>
      <c r="I57" s="178">
        <f t="shared" si="1"/>
        <v>9753700</v>
      </c>
    </row>
    <row r="58" spans="1:9" s="79" customFormat="1" x14ac:dyDescent="0.25">
      <c r="A58" s="165" t="s">
        <v>18</v>
      </c>
      <c r="B58" s="106" t="s">
        <v>289</v>
      </c>
      <c r="C58" s="115">
        <v>541000</v>
      </c>
      <c r="D58" s="116">
        <v>600000</v>
      </c>
      <c r="E58" s="117">
        <v>0</v>
      </c>
      <c r="F58" s="118">
        <v>0</v>
      </c>
      <c r="G58" s="120">
        <v>0</v>
      </c>
      <c r="H58" s="212">
        <f t="shared" si="0"/>
        <v>1141000</v>
      </c>
      <c r="I58" s="178">
        <f t="shared" si="1"/>
        <v>228200</v>
      </c>
    </row>
    <row r="59" spans="1:9" s="79" customFormat="1" x14ac:dyDescent="0.25">
      <c r="A59" s="165" t="s">
        <v>18</v>
      </c>
      <c r="B59" s="106" t="s">
        <v>114</v>
      </c>
      <c r="C59" s="115">
        <v>1539000</v>
      </c>
      <c r="D59" s="116">
        <v>1600000</v>
      </c>
      <c r="E59" s="117">
        <v>2800000</v>
      </c>
      <c r="F59" s="118">
        <v>2800000</v>
      </c>
      <c r="G59" s="120">
        <v>2800000</v>
      </c>
      <c r="H59" s="212">
        <f t="shared" si="0"/>
        <v>11539000</v>
      </c>
      <c r="I59" s="178">
        <f t="shared" si="1"/>
        <v>2307800</v>
      </c>
    </row>
    <row r="60" spans="1:9" s="79" customFormat="1" x14ac:dyDescent="0.25">
      <c r="A60" s="165" t="s">
        <v>18</v>
      </c>
      <c r="B60" s="106" t="s">
        <v>66</v>
      </c>
      <c r="C60" s="115">
        <v>500000</v>
      </c>
      <c r="D60" s="116">
        <v>585000</v>
      </c>
      <c r="E60" s="117">
        <v>500000</v>
      </c>
      <c r="F60" s="118">
        <v>500000</v>
      </c>
      <c r="G60" s="120">
        <v>500000</v>
      </c>
      <c r="H60" s="212">
        <f t="shared" si="0"/>
        <v>2585000</v>
      </c>
      <c r="I60" s="178">
        <f t="shared" si="1"/>
        <v>517000</v>
      </c>
    </row>
    <row r="61" spans="1:9" s="79" customFormat="1" x14ac:dyDescent="0.25">
      <c r="A61" s="165" t="s">
        <v>18</v>
      </c>
      <c r="B61" s="106" t="s">
        <v>11</v>
      </c>
      <c r="C61" s="115">
        <v>0</v>
      </c>
      <c r="D61" s="116">
        <v>750000</v>
      </c>
      <c r="E61" s="117">
        <v>750000</v>
      </c>
      <c r="F61" s="118">
        <v>750000</v>
      </c>
      <c r="G61" s="120">
        <v>750000</v>
      </c>
      <c r="H61" s="212">
        <f t="shared" si="0"/>
        <v>3000000</v>
      </c>
      <c r="I61" s="178">
        <f t="shared" si="1"/>
        <v>600000</v>
      </c>
    </row>
    <row r="62" spans="1:9" s="79" customFormat="1" x14ac:dyDescent="0.25">
      <c r="A62" s="165" t="s">
        <v>18</v>
      </c>
      <c r="B62" s="106" t="s">
        <v>64</v>
      </c>
      <c r="C62" s="115">
        <v>10500000</v>
      </c>
      <c r="D62" s="116">
        <v>11000000</v>
      </c>
      <c r="E62" s="117">
        <v>11500000</v>
      </c>
      <c r="F62" s="118">
        <v>12730000</v>
      </c>
      <c r="G62" s="120">
        <v>13111900</v>
      </c>
      <c r="H62" s="212">
        <f t="shared" si="0"/>
        <v>58841900</v>
      </c>
      <c r="I62" s="178">
        <f t="shared" si="1"/>
        <v>11768380</v>
      </c>
    </row>
    <row r="63" spans="1:9" ht="15.75" thickBot="1" x14ac:dyDescent="0.3">
      <c r="A63" s="168"/>
      <c r="B63" s="169" t="s">
        <v>219</v>
      </c>
      <c r="C63" s="134">
        <f>SUM(C3:C28,C31:C62)</f>
        <v>115602157</v>
      </c>
      <c r="D63" s="134">
        <f t="shared" ref="D63:I63" si="2">SUM(D3:D28,D31:D62)</f>
        <v>122601308</v>
      </c>
      <c r="E63" s="134">
        <f t="shared" si="2"/>
        <v>148432501</v>
      </c>
      <c r="F63" s="134">
        <f t="shared" si="2"/>
        <v>151699678</v>
      </c>
      <c r="G63" s="135">
        <f t="shared" si="2"/>
        <v>169863832</v>
      </c>
      <c r="H63" s="279">
        <f t="shared" si="2"/>
        <v>708199476</v>
      </c>
      <c r="I63" s="134">
        <f t="shared" si="2"/>
        <v>141667895.19999999</v>
      </c>
    </row>
    <row r="66" spans="2:7" x14ac:dyDescent="0.25">
      <c r="B66" s="184" t="s">
        <v>223</v>
      </c>
    </row>
    <row r="67" spans="2:7" x14ac:dyDescent="0.25">
      <c r="B67" s="184" t="s">
        <v>221</v>
      </c>
    </row>
    <row r="68" spans="2:7" x14ac:dyDescent="0.25">
      <c r="B68" s="184" t="s">
        <v>222</v>
      </c>
    </row>
    <row r="70" spans="2:7" x14ac:dyDescent="0.25">
      <c r="C70" s="173" t="s">
        <v>227</v>
      </c>
      <c r="D70" t="s">
        <v>229</v>
      </c>
    </row>
    <row r="71" spans="2:7" x14ac:dyDescent="0.25">
      <c r="C71" s="174" t="s">
        <v>17</v>
      </c>
      <c r="D71" s="78">
        <v>26775000</v>
      </c>
      <c r="F71" t="s">
        <v>210</v>
      </c>
      <c r="G71" s="78">
        <v>26775000</v>
      </c>
    </row>
    <row r="72" spans="2:7" x14ac:dyDescent="0.25">
      <c r="C72" s="174" t="s">
        <v>15</v>
      </c>
      <c r="D72" s="78">
        <v>10860000</v>
      </c>
      <c r="F72" t="s">
        <v>231</v>
      </c>
      <c r="G72" s="78">
        <v>10860000</v>
      </c>
    </row>
    <row r="73" spans="2:7" x14ac:dyDescent="0.25">
      <c r="C73" s="174" t="s">
        <v>14</v>
      </c>
      <c r="D73" s="78">
        <v>218982538</v>
      </c>
      <c r="F73" t="s">
        <v>14</v>
      </c>
      <c r="G73" s="78">
        <v>218982538</v>
      </c>
    </row>
    <row r="74" spans="2:7" x14ac:dyDescent="0.25">
      <c r="C74" s="174" t="s">
        <v>16</v>
      </c>
      <c r="D74" s="78">
        <v>92547338</v>
      </c>
      <c r="F74" t="s">
        <v>16</v>
      </c>
      <c r="G74" s="78">
        <v>92547338</v>
      </c>
    </row>
    <row r="75" spans="2:7" x14ac:dyDescent="0.25">
      <c r="C75" s="174" t="s">
        <v>18</v>
      </c>
      <c r="D75" s="78">
        <v>359034600</v>
      </c>
      <c r="F75" t="s">
        <v>211</v>
      </c>
      <c r="G75" s="78">
        <v>359034600</v>
      </c>
    </row>
    <row r="76" spans="2:7" x14ac:dyDescent="0.25">
      <c r="C76" s="174" t="s">
        <v>228</v>
      </c>
      <c r="D76" s="78">
        <v>708199476</v>
      </c>
    </row>
  </sheetData>
  <mergeCells count="2">
    <mergeCell ref="A1:G1"/>
    <mergeCell ref="A29:G29"/>
  </mergeCells>
  <conditionalFormatting sqref="A4:G9 A40:G43">
    <cfRule type="expression" dxfId="29" priority="22">
      <formula>MOD(#REF!,5)=0</formula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92C705E2-614B-40ED-9EBA-3A142C0732CE}">
            <xm:f>MOD('Business Case Requests'!$A29,5)=0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A44:G62 A31:G39 B63</xm:sqref>
        </x14:conditionalFormatting>
        <x14:conditionalFormatting xmlns:xm="http://schemas.microsoft.com/office/excel/2006/main">
          <x14:cfRule type="expression" priority="31" id="{92C705E2-614B-40ED-9EBA-3A142C0732CE}">
            <xm:f>MOD('Business Case Requests'!$A3,5)=0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A3:G3 A10:G28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G1"/>
    </sheetView>
  </sheetViews>
  <sheetFormatPr defaultRowHeight="15" x14ac:dyDescent="0.25"/>
  <cols>
    <col min="1" max="1" width="11.28515625" customWidth="1"/>
    <col min="2" max="2" width="48.85546875" customWidth="1"/>
    <col min="3" max="3" width="13.140625" customWidth="1"/>
    <col min="4" max="4" width="18.140625" customWidth="1"/>
    <col min="5" max="6" width="12.85546875" customWidth="1"/>
    <col min="7" max="7" width="12" customWidth="1"/>
    <col min="8" max="9" width="13.42578125" customWidth="1"/>
  </cols>
  <sheetData>
    <row r="1" spans="1:9" ht="15.75" thickBot="1" x14ac:dyDescent="0.3">
      <c r="A1" s="298" t="s">
        <v>285</v>
      </c>
      <c r="B1" s="299"/>
      <c r="C1" s="299"/>
      <c r="D1" s="299"/>
      <c r="E1" s="299"/>
      <c r="F1" s="299"/>
      <c r="G1" s="300"/>
    </row>
    <row r="2" spans="1:9" s="79" customFormat="1" ht="15.75" thickBot="1" x14ac:dyDescent="0.3">
      <c r="A2" s="144" t="s">
        <v>21</v>
      </c>
      <c r="B2" s="145" t="s">
        <v>214</v>
      </c>
      <c r="C2" s="146">
        <v>2020</v>
      </c>
      <c r="D2" s="147">
        <v>2021</v>
      </c>
      <c r="E2" s="148">
        <v>2022</v>
      </c>
      <c r="F2" s="149">
        <v>2023</v>
      </c>
      <c r="G2" s="150">
        <v>2024</v>
      </c>
      <c r="H2" s="211" t="s">
        <v>225</v>
      </c>
      <c r="I2" s="177" t="s">
        <v>226</v>
      </c>
    </row>
    <row r="3" spans="1:9" s="79" customFormat="1" x14ac:dyDescent="0.25">
      <c r="A3" s="137" t="s">
        <v>14</v>
      </c>
      <c r="B3" s="138" t="s">
        <v>41</v>
      </c>
      <c r="C3" s="139">
        <v>585000</v>
      </c>
      <c r="D3" s="140">
        <v>585000</v>
      </c>
      <c r="E3" s="141">
        <v>585000</v>
      </c>
      <c r="F3" s="142">
        <v>650000</v>
      </c>
      <c r="G3" s="143">
        <v>650000</v>
      </c>
      <c r="H3" s="212">
        <f>SUM(C3:G3)</f>
        <v>3055000</v>
      </c>
      <c r="I3" s="178">
        <f>AVERAGE(C3:G3)</f>
        <v>611000</v>
      </c>
    </row>
    <row r="4" spans="1:9" s="79" customFormat="1" x14ac:dyDescent="0.25">
      <c r="A4" s="119" t="s">
        <v>16</v>
      </c>
      <c r="B4" s="111" t="s">
        <v>43</v>
      </c>
      <c r="C4" s="115">
        <v>345000</v>
      </c>
      <c r="D4" s="116">
        <v>405000</v>
      </c>
      <c r="E4" s="117">
        <v>405000</v>
      </c>
      <c r="F4" s="118">
        <v>450000</v>
      </c>
      <c r="G4" s="120">
        <v>450000</v>
      </c>
      <c r="H4" s="212">
        <f t="shared" ref="H4:H13" si="0">SUM(C4:G4)</f>
        <v>2055000</v>
      </c>
      <c r="I4" s="178">
        <f t="shared" ref="I4:I13" si="1">AVERAGE(C4:G4)</f>
        <v>411000</v>
      </c>
    </row>
    <row r="5" spans="1:9" s="79" customFormat="1" x14ac:dyDescent="0.25">
      <c r="A5" s="119" t="s">
        <v>16</v>
      </c>
      <c r="B5" s="111" t="s">
        <v>5</v>
      </c>
      <c r="C5" s="115">
        <v>2160000</v>
      </c>
      <c r="D5" s="116">
        <v>2160000</v>
      </c>
      <c r="E5" s="117">
        <v>2160000</v>
      </c>
      <c r="F5" s="118">
        <v>2700000</v>
      </c>
      <c r="G5" s="120">
        <v>2700000</v>
      </c>
      <c r="H5" s="212">
        <f t="shared" si="0"/>
        <v>11880000</v>
      </c>
      <c r="I5" s="178">
        <f t="shared" si="1"/>
        <v>2376000</v>
      </c>
    </row>
    <row r="6" spans="1:9" s="79" customFormat="1" x14ac:dyDescent="0.25">
      <c r="A6" s="119" t="s">
        <v>16</v>
      </c>
      <c r="B6" s="111" t="s">
        <v>128</v>
      </c>
      <c r="C6" s="115">
        <v>280000</v>
      </c>
      <c r="D6" s="116">
        <v>340000</v>
      </c>
      <c r="E6" s="117">
        <v>340000</v>
      </c>
      <c r="F6" s="118">
        <v>340000</v>
      </c>
      <c r="G6" s="120">
        <v>500000</v>
      </c>
      <c r="H6" s="212">
        <f t="shared" si="0"/>
        <v>1800000</v>
      </c>
      <c r="I6" s="178">
        <f t="shared" si="1"/>
        <v>360000</v>
      </c>
    </row>
    <row r="7" spans="1:9" s="79" customFormat="1" x14ac:dyDescent="0.25">
      <c r="A7" s="119" t="s">
        <v>16</v>
      </c>
      <c r="B7" s="111" t="s">
        <v>129</v>
      </c>
      <c r="C7" s="115">
        <v>330000</v>
      </c>
      <c r="D7" s="116">
        <v>330000</v>
      </c>
      <c r="E7" s="117">
        <v>330000</v>
      </c>
      <c r="F7" s="118">
        <v>500000</v>
      </c>
      <c r="G7" s="120">
        <v>500000</v>
      </c>
      <c r="H7" s="212">
        <f t="shared" si="0"/>
        <v>1990000</v>
      </c>
      <c r="I7" s="178">
        <f t="shared" si="1"/>
        <v>398000</v>
      </c>
    </row>
    <row r="8" spans="1:9" s="79" customFormat="1" ht="30" x14ac:dyDescent="0.25">
      <c r="A8" s="119" t="s">
        <v>16</v>
      </c>
      <c r="B8" s="111" t="s">
        <v>230</v>
      </c>
      <c r="C8" s="115">
        <v>75000</v>
      </c>
      <c r="D8" s="116">
        <v>112500</v>
      </c>
      <c r="E8" s="117">
        <v>112500</v>
      </c>
      <c r="F8" s="118">
        <v>250000</v>
      </c>
      <c r="G8" s="120">
        <v>250000</v>
      </c>
      <c r="H8" s="212">
        <f t="shared" si="0"/>
        <v>800000</v>
      </c>
      <c r="I8" s="178">
        <f t="shared" si="1"/>
        <v>160000</v>
      </c>
    </row>
    <row r="9" spans="1:9" s="79" customFormat="1" x14ac:dyDescent="0.25">
      <c r="A9" s="119" t="s">
        <v>17</v>
      </c>
      <c r="B9" s="111" t="s">
        <v>252</v>
      </c>
      <c r="C9" s="115">
        <v>7245000</v>
      </c>
      <c r="D9" s="116">
        <v>9050000</v>
      </c>
      <c r="E9" s="117">
        <v>9050000</v>
      </c>
      <c r="F9" s="118">
        <v>9050000</v>
      </c>
      <c r="G9" s="120">
        <v>8800000</v>
      </c>
      <c r="H9" s="212">
        <v>8800000</v>
      </c>
      <c r="I9" s="178">
        <f t="shared" si="1"/>
        <v>8639000</v>
      </c>
    </row>
    <row r="10" spans="1:9" s="79" customFormat="1" x14ac:dyDescent="0.25">
      <c r="A10" s="119" t="s">
        <v>17</v>
      </c>
      <c r="B10" s="111" t="s">
        <v>253</v>
      </c>
      <c r="C10" s="115">
        <v>2300000</v>
      </c>
      <c r="D10" s="116">
        <v>2000000</v>
      </c>
      <c r="E10" s="117">
        <v>2000000</v>
      </c>
      <c r="F10" s="118">
        <v>2000000</v>
      </c>
      <c r="G10" s="120">
        <v>2000000</v>
      </c>
      <c r="H10" s="212">
        <v>2000000</v>
      </c>
      <c r="I10" s="178">
        <f t="shared" si="1"/>
        <v>2060000</v>
      </c>
    </row>
    <row r="11" spans="1:9" s="79" customFormat="1" x14ac:dyDescent="0.25">
      <c r="A11" s="119" t="s">
        <v>18</v>
      </c>
      <c r="B11" s="111" t="s">
        <v>37</v>
      </c>
      <c r="C11" s="115">
        <v>2500000</v>
      </c>
      <c r="D11" s="116">
        <v>26700000</v>
      </c>
      <c r="E11" s="117">
        <v>26700000</v>
      </c>
      <c r="F11" s="118">
        <v>26600000</v>
      </c>
      <c r="G11" s="120">
        <v>0</v>
      </c>
      <c r="H11" s="212">
        <f t="shared" si="0"/>
        <v>82500000</v>
      </c>
      <c r="I11" s="178">
        <f t="shared" si="1"/>
        <v>16500000</v>
      </c>
    </row>
    <row r="12" spans="1:9" s="79" customFormat="1" ht="15.75" customHeight="1" x14ac:dyDescent="0.25">
      <c r="A12" s="119" t="s">
        <v>18</v>
      </c>
      <c r="B12" s="111" t="s">
        <v>79</v>
      </c>
      <c r="C12" s="115">
        <v>37292537</v>
      </c>
      <c r="D12" s="116">
        <v>1357245</v>
      </c>
      <c r="E12" s="117">
        <v>0</v>
      </c>
      <c r="F12" s="118">
        <v>0</v>
      </c>
      <c r="G12" s="120">
        <v>0</v>
      </c>
      <c r="H12" s="212">
        <f t="shared" si="0"/>
        <v>38649782</v>
      </c>
      <c r="I12" s="178">
        <f t="shared" si="1"/>
        <v>7729956.4000000004</v>
      </c>
    </row>
    <row r="13" spans="1:9" ht="15.75" thickBot="1" x14ac:dyDescent="0.3">
      <c r="A13" s="129"/>
      <c r="B13" s="130" t="s">
        <v>219</v>
      </c>
      <c r="C13" s="131">
        <f>SUM(C3:C12)</f>
        <v>53112537</v>
      </c>
      <c r="D13" s="131">
        <f t="shared" ref="D13:G13" si="2">SUM(D3:D12)</f>
        <v>43039745</v>
      </c>
      <c r="E13" s="131">
        <f t="shared" si="2"/>
        <v>41682500</v>
      </c>
      <c r="F13" s="131">
        <f t="shared" si="2"/>
        <v>42540000</v>
      </c>
      <c r="G13" s="289">
        <f t="shared" si="2"/>
        <v>15850000</v>
      </c>
      <c r="H13" s="213">
        <f t="shared" si="0"/>
        <v>196224782</v>
      </c>
      <c r="I13" s="180">
        <f t="shared" si="1"/>
        <v>39244956.399999999</v>
      </c>
    </row>
    <row r="16" spans="1:9" x14ac:dyDescent="0.25">
      <c r="C16" s="173" t="s">
        <v>227</v>
      </c>
      <c r="D16" t="s">
        <v>229</v>
      </c>
    </row>
    <row r="17" spans="1:7" x14ac:dyDescent="0.25">
      <c r="C17" s="174" t="s">
        <v>14</v>
      </c>
      <c r="D17" s="78">
        <v>3055000</v>
      </c>
      <c r="F17" t="str">
        <f>C17</f>
        <v>Generation</v>
      </c>
      <c r="G17" s="78">
        <f>D17</f>
        <v>3055000</v>
      </c>
    </row>
    <row r="18" spans="1:7" x14ac:dyDescent="0.25">
      <c r="C18" s="174" t="s">
        <v>16</v>
      </c>
      <c r="D18" s="78">
        <v>18525000</v>
      </c>
      <c r="F18" s="76" t="str">
        <f t="shared" ref="F18:F20" si="3">C18</f>
        <v>Other</v>
      </c>
      <c r="G18" s="78">
        <f t="shared" ref="G18:G20" si="4">D18</f>
        <v>18525000</v>
      </c>
    </row>
    <row r="19" spans="1:7" x14ac:dyDescent="0.25">
      <c r="C19" s="174" t="s">
        <v>18</v>
      </c>
      <c r="D19" s="78">
        <v>121149782</v>
      </c>
      <c r="F19" s="76" t="s">
        <v>211</v>
      </c>
      <c r="G19" s="78">
        <f t="shared" si="4"/>
        <v>121149782</v>
      </c>
    </row>
    <row r="20" spans="1:7" x14ac:dyDescent="0.25">
      <c r="C20" s="174" t="s">
        <v>17</v>
      </c>
      <c r="D20" s="78">
        <v>10800000</v>
      </c>
      <c r="F20" s="76" t="str">
        <f t="shared" si="3"/>
        <v>ET</v>
      </c>
      <c r="G20" s="78">
        <f t="shared" si="4"/>
        <v>10800000</v>
      </c>
    </row>
    <row r="21" spans="1:7" x14ac:dyDescent="0.25">
      <c r="C21" s="174" t="s">
        <v>228</v>
      </c>
      <c r="D21" s="78">
        <v>153529782</v>
      </c>
    </row>
    <row r="22" spans="1:7" ht="15.75" thickBot="1" x14ac:dyDescent="0.3"/>
    <row r="23" spans="1:7" ht="15.75" thickBot="1" x14ac:dyDescent="0.3">
      <c r="A23" s="201" t="s">
        <v>21</v>
      </c>
      <c r="B23" s="202" t="s">
        <v>251</v>
      </c>
      <c r="C23" s="203" t="s">
        <v>225</v>
      </c>
      <c r="D23" s="204" t="s">
        <v>226</v>
      </c>
    </row>
    <row r="24" spans="1:7" x14ac:dyDescent="0.25">
      <c r="A24" s="205" t="s">
        <v>14</v>
      </c>
      <c r="B24" s="207" t="s">
        <v>41</v>
      </c>
      <c r="C24" s="208">
        <v>3055000</v>
      </c>
      <c r="D24" s="209">
        <v>611000</v>
      </c>
    </row>
    <row r="25" spans="1:7" x14ac:dyDescent="0.25">
      <c r="A25" s="206" t="s">
        <v>16</v>
      </c>
      <c r="B25" s="210" t="s">
        <v>43</v>
      </c>
      <c r="C25" s="208">
        <v>2055000</v>
      </c>
      <c r="D25" s="209">
        <v>411000</v>
      </c>
    </row>
    <row r="26" spans="1:7" x14ac:dyDescent="0.25">
      <c r="A26" s="206" t="s">
        <v>16</v>
      </c>
      <c r="B26" s="210" t="s">
        <v>5</v>
      </c>
      <c r="C26" s="208">
        <v>11880000</v>
      </c>
      <c r="D26" s="209">
        <v>2376000</v>
      </c>
    </row>
    <row r="27" spans="1:7" x14ac:dyDescent="0.25">
      <c r="A27" s="206" t="s">
        <v>16</v>
      </c>
      <c r="B27" s="210" t="s">
        <v>128</v>
      </c>
      <c r="C27" s="208">
        <v>1800000</v>
      </c>
      <c r="D27" s="209">
        <v>360000</v>
      </c>
    </row>
    <row r="28" spans="1:7" x14ac:dyDescent="0.25">
      <c r="A28" s="206" t="s">
        <v>16</v>
      </c>
      <c r="B28" s="210" t="s">
        <v>129</v>
      </c>
      <c r="C28" s="208">
        <v>1990000</v>
      </c>
      <c r="D28" s="209">
        <v>398000</v>
      </c>
    </row>
    <row r="29" spans="1:7" ht="30" x14ac:dyDescent="0.25">
      <c r="A29" s="206" t="s">
        <v>16</v>
      </c>
      <c r="B29" s="210" t="s">
        <v>230</v>
      </c>
      <c r="C29" s="208">
        <v>800000</v>
      </c>
      <c r="D29" s="209">
        <v>160000</v>
      </c>
    </row>
    <row r="30" spans="1:7" x14ac:dyDescent="0.25">
      <c r="A30" s="206" t="s">
        <v>18</v>
      </c>
      <c r="B30" s="210" t="s">
        <v>37</v>
      </c>
      <c r="C30" s="208">
        <v>82500000</v>
      </c>
      <c r="D30" s="209">
        <v>16500000</v>
      </c>
    </row>
    <row r="31" spans="1:7" ht="30" x14ac:dyDescent="0.25">
      <c r="A31" s="206" t="s">
        <v>18</v>
      </c>
      <c r="B31" s="210" t="s">
        <v>79</v>
      </c>
      <c r="C31" s="208">
        <v>38649782</v>
      </c>
      <c r="D31" s="209">
        <v>7729956.4000000004</v>
      </c>
    </row>
    <row r="32" spans="1:7" ht="15.75" thickBot="1" x14ac:dyDescent="0.3">
      <c r="A32" s="129"/>
      <c r="B32" s="130" t="s">
        <v>219</v>
      </c>
      <c r="C32" s="179">
        <v>142729782</v>
      </c>
      <c r="D32" s="180">
        <v>28545956.399999999</v>
      </c>
    </row>
  </sheetData>
  <mergeCells count="1">
    <mergeCell ref="A1:G1"/>
  </mergeCells>
  <conditionalFormatting sqref="C9:G10">
    <cfRule type="expression" dxfId="26" priority="1">
      <formula>MOD($A9,5)=0</formula>
    </cfRule>
  </conditionalFormatting>
  <pageMargins left="0.7" right="0.7" top="0.75" bottom="0.75" header="0.3" footer="0.3"/>
  <pageSetup orientation="portrait" r:id="rId2"/>
  <ignoredErrors>
    <ignoredError sqref="C13 D13:G13" formulaRange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053DF8E-752B-42F9-92E3-211C11BFE142}">
            <xm:f>MOD('Business Case Requests'!$A9,5)=0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B13 A11:G12 B32 A24:B31</xm:sqref>
        </x14:conditionalFormatting>
        <x14:conditionalFormatting xmlns:xm="http://schemas.microsoft.com/office/excel/2006/main">
          <x14:cfRule type="expression" priority="25" id="{6053DF8E-752B-42F9-92E3-211C11BFE142}">
            <xm:f>MOD('Business Case Requests'!$A3,5)=0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A3:G8 A9:B9</xm:sqref>
        </x14:conditionalFormatting>
        <x14:conditionalFormatting xmlns:xm="http://schemas.microsoft.com/office/excel/2006/main">
          <x14:cfRule type="expression" priority="29" id="{6053DF8E-752B-42F9-92E3-211C11BFE142}">
            <xm:f>MOD('Business Case Requests'!$A9,5)=0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A10:B10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6"/>
  <sheetViews>
    <sheetView topLeftCell="A19" workbookViewId="0">
      <selection activeCell="A4" sqref="A4:G46"/>
    </sheetView>
  </sheetViews>
  <sheetFormatPr defaultRowHeight="15" x14ac:dyDescent="0.25"/>
  <cols>
    <col min="1" max="1" width="11.5703125" customWidth="1"/>
    <col min="2" max="2" width="36.140625" bestFit="1" customWidth="1"/>
    <col min="3" max="3" width="12.42578125" customWidth="1"/>
    <col min="4" max="4" width="17.140625" customWidth="1"/>
    <col min="5" max="7" width="12.85546875" customWidth="1"/>
    <col min="8" max="8" width="13.140625" customWidth="1"/>
    <col min="9" max="9" width="14.42578125" bestFit="1" customWidth="1"/>
  </cols>
  <sheetData>
    <row r="2" spans="1:9" ht="15.75" thickBot="1" x14ac:dyDescent="0.3">
      <c r="A2" s="76"/>
      <c r="B2" s="76"/>
      <c r="C2" s="76"/>
      <c r="D2" s="76"/>
      <c r="E2" s="76"/>
      <c r="F2" s="76"/>
      <c r="G2" s="76"/>
    </row>
    <row r="3" spans="1:9" s="79" customFormat="1" ht="15.75" thickBot="1" x14ac:dyDescent="0.3">
      <c r="A3" s="76"/>
      <c r="B3" s="76"/>
      <c r="C3" s="76"/>
      <c r="D3" s="76"/>
      <c r="E3" s="76"/>
      <c r="F3" s="76"/>
      <c r="G3" s="76"/>
      <c r="H3" s="176" t="s">
        <v>225</v>
      </c>
      <c r="I3" s="177" t="s">
        <v>226</v>
      </c>
    </row>
    <row r="4" spans="1:9" s="79" customFormat="1" ht="15.75" thickBot="1" x14ac:dyDescent="0.3">
      <c r="A4" s="298" t="s">
        <v>290</v>
      </c>
      <c r="B4" s="299"/>
      <c r="C4" s="299"/>
      <c r="D4" s="299"/>
      <c r="E4" s="299"/>
      <c r="F4" s="299"/>
      <c r="G4" s="300"/>
      <c r="H4" s="212">
        <f>SUM(C6:G6)</f>
        <v>2200000</v>
      </c>
      <c r="I4" s="178">
        <f>AVERAGE(C6:G6)</f>
        <v>440000</v>
      </c>
    </row>
    <row r="5" spans="1:9" s="79" customFormat="1" ht="14.45" customHeight="1" thickBot="1" x14ac:dyDescent="0.3">
      <c r="A5" s="144" t="s">
        <v>21</v>
      </c>
      <c r="B5" s="145" t="s">
        <v>216</v>
      </c>
      <c r="C5" s="146">
        <v>2020</v>
      </c>
      <c r="D5" s="147">
        <v>2021</v>
      </c>
      <c r="E5" s="148">
        <v>2022</v>
      </c>
      <c r="F5" s="149">
        <v>2023</v>
      </c>
      <c r="G5" s="150">
        <v>2024</v>
      </c>
      <c r="H5" s="212">
        <f t="shared" ref="H5:H20" si="0">SUM(C7:G7)</f>
        <v>8960000</v>
      </c>
      <c r="I5" s="178">
        <f t="shared" ref="I5:I20" si="1">AVERAGE(C7:G7)</f>
        <v>1792000</v>
      </c>
    </row>
    <row r="6" spans="1:9" s="79" customFormat="1" x14ac:dyDescent="0.25">
      <c r="A6" s="167" t="s">
        <v>17</v>
      </c>
      <c r="B6" s="166" t="s">
        <v>155</v>
      </c>
      <c r="C6" s="153">
        <v>440000</v>
      </c>
      <c r="D6" s="154">
        <v>440000</v>
      </c>
      <c r="E6" s="155">
        <v>440000</v>
      </c>
      <c r="F6" s="156">
        <v>440000</v>
      </c>
      <c r="G6" s="157">
        <v>440000</v>
      </c>
      <c r="H6" s="212">
        <f t="shared" si="0"/>
        <v>12288971</v>
      </c>
      <c r="I6" s="178">
        <f t="shared" si="1"/>
        <v>2457794.2000000002</v>
      </c>
    </row>
    <row r="7" spans="1:9" s="79" customFormat="1" ht="30" x14ac:dyDescent="0.25">
      <c r="A7" s="165" t="s">
        <v>17</v>
      </c>
      <c r="B7" s="106" t="s">
        <v>99</v>
      </c>
      <c r="C7" s="107">
        <v>1692000</v>
      </c>
      <c r="D7" s="108">
        <v>2192000</v>
      </c>
      <c r="E7" s="109">
        <v>1692000</v>
      </c>
      <c r="F7" s="110">
        <v>1692000</v>
      </c>
      <c r="G7" s="112">
        <v>1692000</v>
      </c>
      <c r="H7" s="212">
        <f t="shared" si="0"/>
        <v>21700000</v>
      </c>
      <c r="I7" s="178">
        <f t="shared" si="1"/>
        <v>4340000</v>
      </c>
    </row>
    <row r="8" spans="1:9" s="79" customFormat="1" x14ac:dyDescent="0.25">
      <c r="A8" s="165" t="s">
        <v>17</v>
      </c>
      <c r="B8" s="106" t="s">
        <v>96</v>
      </c>
      <c r="C8" s="107">
        <v>2053302</v>
      </c>
      <c r="D8" s="108">
        <v>2296379</v>
      </c>
      <c r="E8" s="109">
        <v>2772216</v>
      </c>
      <c r="F8" s="110">
        <v>2583537</v>
      </c>
      <c r="G8" s="112">
        <v>2583537</v>
      </c>
      <c r="H8" s="212">
        <f t="shared" si="0"/>
        <v>12500000</v>
      </c>
      <c r="I8" s="178">
        <f t="shared" si="1"/>
        <v>2500000</v>
      </c>
    </row>
    <row r="9" spans="1:9" s="79" customFormat="1" x14ac:dyDescent="0.25">
      <c r="A9" s="165" t="s">
        <v>17</v>
      </c>
      <c r="B9" s="106" t="s">
        <v>272</v>
      </c>
      <c r="C9" s="107">
        <v>3780000</v>
      </c>
      <c r="D9" s="108">
        <v>4480000</v>
      </c>
      <c r="E9" s="109">
        <v>4480000</v>
      </c>
      <c r="F9" s="110">
        <v>4480000</v>
      </c>
      <c r="G9" s="112">
        <v>4480000</v>
      </c>
      <c r="H9" s="212">
        <f t="shared" si="0"/>
        <v>7968000</v>
      </c>
      <c r="I9" s="178">
        <f t="shared" si="1"/>
        <v>1593600</v>
      </c>
    </row>
    <row r="10" spans="1:9" s="79" customFormat="1" ht="30" x14ac:dyDescent="0.25">
      <c r="A10" s="165" t="s">
        <v>17</v>
      </c>
      <c r="B10" s="106" t="s">
        <v>92</v>
      </c>
      <c r="C10" s="107">
        <v>2575000</v>
      </c>
      <c r="D10" s="108">
        <v>2575000</v>
      </c>
      <c r="E10" s="109">
        <v>2450000</v>
      </c>
      <c r="F10" s="110">
        <v>2450000</v>
      </c>
      <c r="G10" s="112">
        <v>2450000</v>
      </c>
      <c r="H10" s="212">
        <f t="shared" si="0"/>
        <v>34887353</v>
      </c>
      <c r="I10" s="178">
        <f t="shared" si="1"/>
        <v>6977470.5999999996</v>
      </c>
    </row>
    <row r="11" spans="1:9" s="79" customFormat="1" ht="30" x14ac:dyDescent="0.25">
      <c r="A11" s="165" t="s">
        <v>17</v>
      </c>
      <c r="B11" s="106" t="s">
        <v>89</v>
      </c>
      <c r="C11" s="107">
        <v>1100000</v>
      </c>
      <c r="D11" s="108">
        <v>1634000</v>
      </c>
      <c r="E11" s="109">
        <v>1634000</v>
      </c>
      <c r="F11" s="110">
        <v>1800000</v>
      </c>
      <c r="G11" s="112">
        <v>1800000</v>
      </c>
      <c r="H11" s="212">
        <f t="shared" si="0"/>
        <v>12256082</v>
      </c>
      <c r="I11" s="178">
        <f t="shared" si="1"/>
        <v>2451216.4</v>
      </c>
    </row>
    <row r="12" spans="1:9" s="79" customFormat="1" x14ac:dyDescent="0.25">
      <c r="A12" s="165" t="s">
        <v>17</v>
      </c>
      <c r="B12" s="106" t="s">
        <v>273</v>
      </c>
      <c r="C12" s="107">
        <v>6521561</v>
      </c>
      <c r="D12" s="108">
        <v>7432896</v>
      </c>
      <c r="E12" s="109">
        <v>6932896</v>
      </c>
      <c r="F12" s="110">
        <v>7000000</v>
      </c>
      <c r="G12" s="112">
        <v>7000000</v>
      </c>
      <c r="H12" s="212">
        <f t="shared" si="0"/>
        <v>8348000</v>
      </c>
      <c r="I12" s="178">
        <f t="shared" si="1"/>
        <v>1669600</v>
      </c>
    </row>
    <row r="13" spans="1:9" s="79" customFormat="1" x14ac:dyDescent="0.25">
      <c r="A13" s="165" t="s">
        <v>17</v>
      </c>
      <c r="B13" s="106" t="s">
        <v>102</v>
      </c>
      <c r="C13" s="107">
        <v>2020000</v>
      </c>
      <c r="D13" s="108">
        <v>2520000</v>
      </c>
      <c r="E13" s="109">
        <v>2020000</v>
      </c>
      <c r="F13" s="110">
        <v>2848041</v>
      </c>
      <c r="G13" s="112">
        <v>2848041</v>
      </c>
      <c r="H13" s="212">
        <f t="shared" si="0"/>
        <v>4700000</v>
      </c>
      <c r="I13" s="178">
        <f t="shared" si="1"/>
        <v>940000</v>
      </c>
    </row>
    <row r="14" spans="1:9" s="79" customFormat="1" x14ac:dyDescent="0.25">
      <c r="A14" s="165" t="s">
        <v>17</v>
      </c>
      <c r="B14" s="106" t="s">
        <v>118</v>
      </c>
      <c r="C14" s="107">
        <v>1368000</v>
      </c>
      <c r="D14" s="108">
        <v>1820000</v>
      </c>
      <c r="E14" s="109">
        <v>1520000</v>
      </c>
      <c r="F14" s="110">
        <v>1820000</v>
      </c>
      <c r="G14" s="112">
        <v>1820000</v>
      </c>
      <c r="H14" s="212">
        <f t="shared" si="0"/>
        <v>9968400</v>
      </c>
      <c r="I14" s="178">
        <f t="shared" si="1"/>
        <v>1993680</v>
      </c>
    </row>
    <row r="15" spans="1:9" s="79" customFormat="1" x14ac:dyDescent="0.25">
      <c r="A15" s="165" t="s">
        <v>17</v>
      </c>
      <c r="B15" s="106" t="s">
        <v>269</v>
      </c>
      <c r="C15" s="107">
        <v>900000</v>
      </c>
      <c r="D15" s="108">
        <v>900000</v>
      </c>
      <c r="E15" s="109">
        <v>900000</v>
      </c>
      <c r="F15" s="110">
        <v>1000000</v>
      </c>
      <c r="G15" s="112">
        <v>1000000</v>
      </c>
      <c r="H15" s="212">
        <f t="shared" si="0"/>
        <v>1290000</v>
      </c>
      <c r="I15" s="178">
        <f t="shared" si="1"/>
        <v>258000</v>
      </c>
    </row>
    <row r="16" spans="1:9" s="79" customFormat="1" ht="30" x14ac:dyDescent="0.25">
      <c r="A16" s="165" t="s">
        <v>17</v>
      </c>
      <c r="B16" s="106" t="s">
        <v>91</v>
      </c>
      <c r="C16" s="107">
        <v>1664400</v>
      </c>
      <c r="D16" s="108">
        <v>1752000</v>
      </c>
      <c r="E16" s="109">
        <v>1752000</v>
      </c>
      <c r="F16" s="110">
        <v>2400000</v>
      </c>
      <c r="G16" s="112">
        <v>2400000</v>
      </c>
      <c r="H16" s="212">
        <f t="shared" si="0"/>
        <v>9500000</v>
      </c>
      <c r="I16" s="178">
        <f t="shared" si="1"/>
        <v>1900000</v>
      </c>
    </row>
    <row r="17" spans="1:11" s="79" customFormat="1" x14ac:dyDescent="0.25">
      <c r="A17" s="165" t="s">
        <v>17</v>
      </c>
      <c r="B17" s="106" t="s">
        <v>270</v>
      </c>
      <c r="C17" s="107">
        <v>150000</v>
      </c>
      <c r="D17" s="108">
        <v>270000</v>
      </c>
      <c r="E17" s="109">
        <v>270000</v>
      </c>
      <c r="F17" s="110">
        <v>300000</v>
      </c>
      <c r="G17" s="112">
        <v>300000</v>
      </c>
      <c r="H17" s="212">
        <f t="shared" si="0"/>
        <v>6250000</v>
      </c>
      <c r="I17" s="178">
        <f t="shared" si="1"/>
        <v>1250000</v>
      </c>
    </row>
    <row r="18" spans="1:11" s="79" customFormat="1" x14ac:dyDescent="0.25">
      <c r="A18" s="165" t="s">
        <v>17</v>
      </c>
      <c r="B18" s="106" t="s">
        <v>271</v>
      </c>
      <c r="C18" s="107">
        <v>1000000</v>
      </c>
      <c r="D18" s="108">
        <v>3000000</v>
      </c>
      <c r="E18" s="109">
        <v>3000000</v>
      </c>
      <c r="F18" s="110">
        <v>2500000</v>
      </c>
      <c r="G18" s="112">
        <v>0</v>
      </c>
      <c r="H18" s="212">
        <f t="shared" si="0"/>
        <v>6066000</v>
      </c>
      <c r="I18" s="178">
        <f t="shared" si="1"/>
        <v>1213200</v>
      </c>
    </row>
    <row r="19" spans="1:11" s="79" customFormat="1" x14ac:dyDescent="0.25">
      <c r="A19" s="165" t="s">
        <v>17</v>
      </c>
      <c r="B19" s="106" t="s">
        <v>87</v>
      </c>
      <c r="C19" s="107">
        <v>750000</v>
      </c>
      <c r="D19" s="108">
        <v>1450000</v>
      </c>
      <c r="E19" s="109">
        <v>1350000</v>
      </c>
      <c r="F19" s="110">
        <v>1350000</v>
      </c>
      <c r="G19" s="112">
        <v>1350000</v>
      </c>
      <c r="H19" s="212">
        <f t="shared" si="0"/>
        <v>21759809</v>
      </c>
      <c r="I19" s="178">
        <f t="shared" si="1"/>
        <v>4351961.8</v>
      </c>
    </row>
    <row r="20" spans="1:11" s="79" customFormat="1" x14ac:dyDescent="0.25">
      <c r="A20" s="165" t="s">
        <v>17</v>
      </c>
      <c r="B20" s="106" t="s">
        <v>90</v>
      </c>
      <c r="C20" s="107">
        <v>600000</v>
      </c>
      <c r="D20" s="108">
        <v>1425000</v>
      </c>
      <c r="E20" s="109">
        <v>1493000</v>
      </c>
      <c r="F20" s="110">
        <v>1218000</v>
      </c>
      <c r="G20" s="112">
        <v>1330000</v>
      </c>
      <c r="H20" s="212">
        <f t="shared" si="0"/>
        <v>1979000</v>
      </c>
      <c r="I20" s="178">
        <f t="shared" si="1"/>
        <v>395800</v>
      </c>
    </row>
    <row r="21" spans="1:11" s="79" customFormat="1" ht="30" x14ac:dyDescent="0.25">
      <c r="A21" s="165" t="s">
        <v>17</v>
      </c>
      <c r="B21" s="106" t="s">
        <v>101</v>
      </c>
      <c r="C21" s="107">
        <v>2500000</v>
      </c>
      <c r="D21" s="108">
        <v>3500000</v>
      </c>
      <c r="E21" s="109">
        <v>5249809</v>
      </c>
      <c r="F21" s="110">
        <v>5260000</v>
      </c>
      <c r="G21" s="112">
        <v>5250000</v>
      </c>
      <c r="H21" s="212"/>
      <c r="I21" s="178"/>
    </row>
    <row r="22" spans="1:11" s="79" customFormat="1" ht="15.75" thickBot="1" x14ac:dyDescent="0.3">
      <c r="A22" s="287" t="s">
        <v>17</v>
      </c>
      <c r="B22" s="288" t="s">
        <v>88</v>
      </c>
      <c r="C22" s="290">
        <v>279000</v>
      </c>
      <c r="D22" s="291">
        <v>500000</v>
      </c>
      <c r="E22" s="292">
        <v>400000</v>
      </c>
      <c r="F22" s="293">
        <v>350000</v>
      </c>
      <c r="G22" s="294">
        <v>450000</v>
      </c>
      <c r="H22" s="212"/>
      <c r="I22" s="178"/>
    </row>
    <row r="23" spans="1:11" s="79" customFormat="1" x14ac:dyDescent="0.25">
      <c r="A23" s="165" t="s">
        <v>15</v>
      </c>
      <c r="B23" s="106" t="s">
        <v>268</v>
      </c>
      <c r="C23" s="107">
        <v>50000</v>
      </c>
      <c r="D23" s="108">
        <v>1950000</v>
      </c>
      <c r="E23" s="109">
        <v>0</v>
      </c>
      <c r="F23" s="110">
        <v>0</v>
      </c>
      <c r="G23" s="112">
        <v>0</v>
      </c>
      <c r="H23" s="212">
        <f t="shared" ref="H23:H45" si="2">SUM(C23:G23)</f>
        <v>2000000</v>
      </c>
      <c r="I23" s="178">
        <f t="shared" ref="I23:I45" si="3">AVERAGE(C23:G23)</f>
        <v>400000</v>
      </c>
    </row>
    <row r="24" spans="1:11" s="79" customFormat="1" x14ac:dyDescent="0.25">
      <c r="A24" s="165" t="s">
        <v>15</v>
      </c>
      <c r="B24" s="106" t="s">
        <v>262</v>
      </c>
      <c r="C24" s="107">
        <v>4710000</v>
      </c>
      <c r="D24" s="108">
        <v>3100000</v>
      </c>
      <c r="E24" s="109">
        <v>0</v>
      </c>
      <c r="F24" s="110">
        <v>0</v>
      </c>
      <c r="G24" s="112">
        <v>0</v>
      </c>
      <c r="H24" s="212">
        <f t="shared" si="2"/>
        <v>7810000</v>
      </c>
      <c r="I24" s="178">
        <f t="shared" si="3"/>
        <v>1562000</v>
      </c>
    </row>
    <row r="25" spans="1:11" s="79" customFormat="1" x14ac:dyDescent="0.25">
      <c r="A25" s="165" t="s">
        <v>15</v>
      </c>
      <c r="B25" s="106" t="s">
        <v>263</v>
      </c>
      <c r="C25" s="107">
        <v>0</v>
      </c>
      <c r="D25" s="108">
        <v>0</v>
      </c>
      <c r="E25" s="109">
        <v>100000</v>
      </c>
      <c r="F25" s="110">
        <v>2400000</v>
      </c>
      <c r="G25" s="112">
        <v>0</v>
      </c>
      <c r="H25" s="212">
        <f t="shared" si="2"/>
        <v>2500000</v>
      </c>
      <c r="I25" s="178">
        <f t="shared" si="3"/>
        <v>500000</v>
      </c>
      <c r="K25" s="79">
        <f>8*4</f>
        <v>32</v>
      </c>
    </row>
    <row r="26" spans="1:11" s="79" customFormat="1" x14ac:dyDescent="0.25">
      <c r="A26" s="165" t="s">
        <v>15</v>
      </c>
      <c r="B26" s="106" t="s">
        <v>264</v>
      </c>
      <c r="C26" s="107">
        <v>1000000</v>
      </c>
      <c r="D26" s="108">
        <v>1300000</v>
      </c>
      <c r="E26" s="109">
        <v>1500000</v>
      </c>
      <c r="F26" s="110">
        <v>1000000</v>
      </c>
      <c r="G26" s="112">
        <v>1000000</v>
      </c>
      <c r="H26" s="212">
        <f t="shared" si="2"/>
        <v>5800000</v>
      </c>
      <c r="I26" s="178">
        <f t="shared" si="3"/>
        <v>1160000</v>
      </c>
      <c r="K26" s="79">
        <f>8*8.5</f>
        <v>68</v>
      </c>
    </row>
    <row r="27" spans="1:11" s="79" customFormat="1" x14ac:dyDescent="0.25">
      <c r="A27" s="165" t="s">
        <v>15</v>
      </c>
      <c r="B27" s="106" t="s">
        <v>265</v>
      </c>
      <c r="C27" s="107">
        <v>0</v>
      </c>
      <c r="D27" s="108">
        <v>0</v>
      </c>
      <c r="E27" s="109">
        <v>0</v>
      </c>
      <c r="F27" s="110">
        <v>100000</v>
      </c>
      <c r="G27" s="112">
        <v>1500000</v>
      </c>
      <c r="H27" s="212">
        <f t="shared" si="2"/>
        <v>1600000</v>
      </c>
      <c r="I27" s="178">
        <f t="shared" si="3"/>
        <v>320000</v>
      </c>
      <c r="K27" s="79">
        <f>8*4.25</f>
        <v>34</v>
      </c>
    </row>
    <row r="28" spans="1:11" s="79" customFormat="1" x14ac:dyDescent="0.25">
      <c r="A28" s="165" t="s">
        <v>15</v>
      </c>
      <c r="B28" s="106" t="s">
        <v>266</v>
      </c>
      <c r="C28" s="107">
        <v>200000</v>
      </c>
      <c r="D28" s="108">
        <v>200000</v>
      </c>
      <c r="E28" s="109">
        <v>200000</v>
      </c>
      <c r="F28" s="110">
        <v>200000</v>
      </c>
      <c r="G28" s="112">
        <v>200000</v>
      </c>
      <c r="H28" s="212">
        <f t="shared" si="2"/>
        <v>1000000</v>
      </c>
      <c r="I28" s="178">
        <f t="shared" si="3"/>
        <v>200000</v>
      </c>
      <c r="K28" s="79">
        <v>32</v>
      </c>
    </row>
    <row r="29" spans="1:11" s="79" customFormat="1" x14ac:dyDescent="0.25">
      <c r="A29" s="165" t="s">
        <v>15</v>
      </c>
      <c r="B29" s="106" t="s">
        <v>267</v>
      </c>
      <c r="C29" s="107">
        <v>0</v>
      </c>
      <c r="D29" s="108">
        <v>100000</v>
      </c>
      <c r="E29" s="109">
        <v>5900000</v>
      </c>
      <c r="F29" s="110">
        <v>0</v>
      </c>
      <c r="G29" s="112">
        <v>0</v>
      </c>
      <c r="H29" s="212">
        <f t="shared" si="2"/>
        <v>6000000</v>
      </c>
      <c r="I29" s="178">
        <f t="shared" si="3"/>
        <v>1200000</v>
      </c>
      <c r="K29" s="79">
        <v>28</v>
      </c>
    </row>
    <row r="30" spans="1:11" s="79" customFormat="1" x14ac:dyDescent="0.25">
      <c r="A30" s="165" t="s">
        <v>14</v>
      </c>
      <c r="B30" s="106" t="s">
        <v>141</v>
      </c>
      <c r="C30" s="107">
        <v>0</v>
      </c>
      <c r="D30" s="108">
        <v>0</v>
      </c>
      <c r="E30" s="109">
        <v>0</v>
      </c>
      <c r="F30" s="110">
        <v>0</v>
      </c>
      <c r="G30" s="112">
        <v>1200000</v>
      </c>
      <c r="H30" s="212">
        <f t="shared" si="2"/>
        <v>1200000</v>
      </c>
      <c r="I30" s="178">
        <f t="shared" si="3"/>
        <v>240000</v>
      </c>
      <c r="K30" s="79">
        <v>34</v>
      </c>
    </row>
    <row r="31" spans="1:11" s="79" customFormat="1" x14ac:dyDescent="0.25">
      <c r="A31" s="165" t="s">
        <v>14</v>
      </c>
      <c r="B31" s="106" t="s">
        <v>3</v>
      </c>
      <c r="C31" s="107">
        <v>2160000</v>
      </c>
      <c r="D31" s="108">
        <f>2160000-1080000</f>
        <v>1080000</v>
      </c>
      <c r="E31" s="109">
        <f>1036800-1036800</f>
        <v>0</v>
      </c>
      <c r="F31" s="110">
        <v>0</v>
      </c>
      <c r="G31" s="112">
        <v>0</v>
      </c>
      <c r="H31" s="212">
        <f t="shared" si="2"/>
        <v>3240000</v>
      </c>
      <c r="I31" s="178">
        <f t="shared" si="3"/>
        <v>648000</v>
      </c>
      <c r="K31" s="79">
        <f>SUM(K25:K30)</f>
        <v>228</v>
      </c>
    </row>
    <row r="32" spans="1:11" s="79" customFormat="1" ht="30" x14ac:dyDescent="0.25">
      <c r="A32" s="165" t="s">
        <v>14</v>
      </c>
      <c r="B32" s="106" t="s">
        <v>110</v>
      </c>
      <c r="C32" s="107">
        <v>0</v>
      </c>
      <c r="D32" s="108">
        <v>0</v>
      </c>
      <c r="E32" s="109">
        <v>0</v>
      </c>
      <c r="F32" s="110">
        <v>0</v>
      </c>
      <c r="G32" s="112">
        <v>100000</v>
      </c>
      <c r="H32" s="212">
        <f t="shared" si="2"/>
        <v>100000</v>
      </c>
      <c r="I32" s="178">
        <f t="shared" si="3"/>
        <v>20000</v>
      </c>
    </row>
    <row r="33" spans="1:12" s="79" customFormat="1" x14ac:dyDescent="0.25">
      <c r="A33" s="165" t="s">
        <v>14</v>
      </c>
      <c r="B33" s="106" t="s">
        <v>111</v>
      </c>
      <c r="C33" s="107">
        <v>0</v>
      </c>
      <c r="D33" s="108">
        <v>0</v>
      </c>
      <c r="E33" s="109">
        <v>250000</v>
      </c>
      <c r="F33" s="110">
        <v>0</v>
      </c>
      <c r="G33" s="112">
        <v>0</v>
      </c>
      <c r="H33" s="212">
        <f t="shared" si="2"/>
        <v>250000</v>
      </c>
      <c r="I33" s="178">
        <f t="shared" si="3"/>
        <v>50000</v>
      </c>
    </row>
    <row r="34" spans="1:12" s="79" customFormat="1" x14ac:dyDescent="0.25">
      <c r="A34" s="165" t="s">
        <v>16</v>
      </c>
      <c r="B34" s="106" t="s">
        <v>121</v>
      </c>
      <c r="C34" s="107">
        <v>0</v>
      </c>
      <c r="D34" s="108">
        <v>0</v>
      </c>
      <c r="E34" s="109">
        <v>0</v>
      </c>
      <c r="F34" s="110">
        <v>10000000</v>
      </c>
      <c r="G34" s="112">
        <v>9000000</v>
      </c>
      <c r="H34" s="212">
        <f t="shared" si="2"/>
        <v>19000000</v>
      </c>
      <c r="I34" s="178">
        <f t="shared" si="3"/>
        <v>3800000</v>
      </c>
    </row>
    <row r="35" spans="1:12" s="79" customFormat="1" x14ac:dyDescent="0.25">
      <c r="A35" s="165" t="s">
        <v>16</v>
      </c>
      <c r="B35" s="106" t="s">
        <v>150</v>
      </c>
      <c r="C35" s="107">
        <v>0</v>
      </c>
      <c r="D35" s="108">
        <v>9000000</v>
      </c>
      <c r="E35" s="109">
        <v>4000000</v>
      </c>
      <c r="F35" s="110">
        <v>0</v>
      </c>
      <c r="G35" s="112">
        <v>0</v>
      </c>
      <c r="H35" s="212">
        <f t="shared" si="2"/>
        <v>13000000</v>
      </c>
      <c r="I35" s="178">
        <f t="shared" si="3"/>
        <v>2600000</v>
      </c>
    </row>
    <row r="36" spans="1:12" s="79" customFormat="1" x14ac:dyDescent="0.25">
      <c r="A36" s="165" t="s">
        <v>16</v>
      </c>
      <c r="B36" s="106" t="s">
        <v>261</v>
      </c>
      <c r="C36" s="107">
        <v>0</v>
      </c>
      <c r="D36" s="108">
        <v>0</v>
      </c>
      <c r="E36" s="109">
        <v>0</v>
      </c>
      <c r="F36" s="110">
        <v>0</v>
      </c>
      <c r="G36" s="112">
        <v>2000000</v>
      </c>
      <c r="H36" s="212">
        <f t="shared" si="2"/>
        <v>2000000</v>
      </c>
      <c r="I36" s="178">
        <f t="shared" si="3"/>
        <v>400000</v>
      </c>
    </row>
    <row r="37" spans="1:12" s="79" customFormat="1" x14ac:dyDescent="0.25">
      <c r="A37" s="165" t="s">
        <v>16</v>
      </c>
      <c r="B37" s="106" t="s">
        <v>122</v>
      </c>
      <c r="C37" s="107">
        <v>0</v>
      </c>
      <c r="D37" s="108">
        <v>0</v>
      </c>
      <c r="E37" s="109">
        <v>0</v>
      </c>
      <c r="F37" s="110">
        <v>1500000</v>
      </c>
      <c r="G37" s="112">
        <v>8500000</v>
      </c>
      <c r="H37" s="212">
        <f t="shared" si="2"/>
        <v>10000000</v>
      </c>
      <c r="I37" s="178">
        <f t="shared" si="3"/>
        <v>2000000</v>
      </c>
      <c r="L37" s="79">
        <f>100-150/65523</f>
        <v>99.997710727530787</v>
      </c>
    </row>
    <row r="38" spans="1:12" s="79" customFormat="1" x14ac:dyDescent="0.25">
      <c r="A38" s="165" t="s">
        <v>16</v>
      </c>
      <c r="B38" s="106" t="s">
        <v>36</v>
      </c>
      <c r="C38" s="107">
        <v>9157500</v>
      </c>
      <c r="D38" s="108">
        <v>9180000</v>
      </c>
      <c r="E38" s="109">
        <v>2262000</v>
      </c>
      <c r="F38" s="110">
        <v>0</v>
      </c>
      <c r="G38" s="112">
        <v>0</v>
      </c>
      <c r="H38" s="212">
        <f t="shared" si="2"/>
        <v>20599500</v>
      </c>
      <c r="I38" s="178">
        <f t="shared" si="3"/>
        <v>4119900</v>
      </c>
    </row>
    <row r="39" spans="1:12" s="79" customFormat="1" x14ac:dyDescent="0.25">
      <c r="A39" s="165" t="s">
        <v>16</v>
      </c>
      <c r="B39" s="106" t="s">
        <v>132</v>
      </c>
      <c r="C39" s="107">
        <v>54000</v>
      </c>
      <c r="D39" s="108">
        <v>60000</v>
      </c>
      <c r="E39" s="109">
        <v>60000</v>
      </c>
      <c r="F39" s="110">
        <v>60000</v>
      </c>
      <c r="G39" s="112">
        <v>60000</v>
      </c>
      <c r="H39" s="212">
        <f t="shared" si="2"/>
        <v>294000</v>
      </c>
      <c r="I39" s="178">
        <f t="shared" si="3"/>
        <v>58800</v>
      </c>
    </row>
    <row r="40" spans="1:12" s="79" customFormat="1" x14ac:dyDescent="0.25">
      <c r="A40" s="165" t="s">
        <v>16</v>
      </c>
      <c r="B40" s="106" t="s">
        <v>61</v>
      </c>
      <c r="C40" s="107">
        <v>2328333</v>
      </c>
      <c r="D40" s="108">
        <v>2293333</v>
      </c>
      <c r="E40" s="109">
        <v>2278333</v>
      </c>
      <c r="F40" s="110">
        <v>2270000</v>
      </c>
      <c r="G40" s="112">
        <v>2271667</v>
      </c>
      <c r="H40" s="212">
        <f t="shared" si="2"/>
        <v>11441666</v>
      </c>
      <c r="I40" s="178">
        <f t="shared" si="3"/>
        <v>2288333.2000000002</v>
      </c>
    </row>
    <row r="41" spans="1:12" s="79" customFormat="1" x14ac:dyDescent="0.25">
      <c r="A41" s="165" t="s">
        <v>18</v>
      </c>
      <c r="B41" s="106" t="s">
        <v>274</v>
      </c>
      <c r="C41" s="107">
        <v>100000</v>
      </c>
      <c r="D41" s="108">
        <v>1500000</v>
      </c>
      <c r="E41" s="109">
        <v>0</v>
      </c>
      <c r="F41" s="110">
        <v>0</v>
      </c>
      <c r="G41" s="112">
        <v>0</v>
      </c>
      <c r="H41" s="212">
        <f t="shared" si="2"/>
        <v>1600000</v>
      </c>
      <c r="I41" s="178">
        <f t="shared" si="3"/>
        <v>320000</v>
      </c>
    </row>
    <row r="42" spans="1:12" s="79" customFormat="1" x14ac:dyDescent="0.25">
      <c r="A42" s="165" t="s">
        <v>18</v>
      </c>
      <c r="B42" s="106" t="s">
        <v>69</v>
      </c>
      <c r="C42" s="107">
        <v>6000000</v>
      </c>
      <c r="D42" s="108">
        <v>6000000</v>
      </c>
      <c r="E42" s="109">
        <v>6000000</v>
      </c>
      <c r="F42" s="110">
        <v>6000000</v>
      </c>
      <c r="G42" s="112">
        <v>6000000</v>
      </c>
      <c r="H42" s="212">
        <f t="shared" si="2"/>
        <v>30000000</v>
      </c>
      <c r="I42" s="178">
        <f t="shared" si="3"/>
        <v>6000000</v>
      </c>
    </row>
    <row r="43" spans="1:12" s="79" customFormat="1" x14ac:dyDescent="0.25">
      <c r="A43" s="165" t="s">
        <v>18</v>
      </c>
      <c r="B43" s="106" t="s">
        <v>275</v>
      </c>
      <c r="C43" s="107">
        <v>7650000</v>
      </c>
      <c r="D43" s="108">
        <v>5150000</v>
      </c>
      <c r="E43" s="109">
        <v>13050000</v>
      </c>
      <c r="F43" s="110">
        <v>13000000</v>
      </c>
      <c r="G43" s="112">
        <v>13000000</v>
      </c>
      <c r="H43" s="212">
        <f t="shared" si="2"/>
        <v>51850000</v>
      </c>
      <c r="I43" s="178">
        <f t="shared" si="3"/>
        <v>10370000</v>
      </c>
    </row>
    <row r="44" spans="1:12" s="79" customFormat="1" x14ac:dyDescent="0.25">
      <c r="A44" s="165" t="s">
        <v>18</v>
      </c>
      <c r="B44" s="106" t="s">
        <v>276</v>
      </c>
      <c r="C44" s="107">
        <v>0</v>
      </c>
      <c r="D44" s="108">
        <v>0</v>
      </c>
      <c r="E44" s="109">
        <v>400000</v>
      </c>
      <c r="F44" s="110">
        <v>11250000</v>
      </c>
      <c r="G44" s="112">
        <v>12900000</v>
      </c>
      <c r="H44" s="212">
        <f t="shared" si="2"/>
        <v>24550000</v>
      </c>
      <c r="I44" s="178">
        <f t="shared" si="3"/>
        <v>4910000</v>
      </c>
    </row>
    <row r="45" spans="1:12" ht="30" x14ac:dyDescent="0.25">
      <c r="A45" s="165" t="s">
        <v>18</v>
      </c>
      <c r="B45" s="106" t="s">
        <v>277</v>
      </c>
      <c r="C45" s="107">
        <v>1012500</v>
      </c>
      <c r="D45" s="108">
        <v>1125000</v>
      </c>
      <c r="E45" s="109">
        <v>1125000</v>
      </c>
      <c r="F45" s="110">
        <v>1125000</v>
      </c>
      <c r="G45" s="112">
        <v>1125000</v>
      </c>
      <c r="H45" s="212">
        <f t="shared" si="2"/>
        <v>5512500</v>
      </c>
      <c r="I45" s="178">
        <f t="shared" si="3"/>
        <v>1102500</v>
      </c>
    </row>
    <row r="46" spans="1:12" ht="15.75" thickBot="1" x14ac:dyDescent="0.3">
      <c r="A46" s="168"/>
      <c r="B46" s="169" t="s">
        <v>219</v>
      </c>
      <c r="C46" s="170">
        <f t="shared" ref="C46:I46" si="4">SUM(C6:C22,C23:C45)</f>
        <v>63815596</v>
      </c>
      <c r="D46" s="170">
        <f t="shared" si="4"/>
        <v>80225608</v>
      </c>
      <c r="E46" s="170">
        <f t="shared" si="4"/>
        <v>75481254</v>
      </c>
      <c r="F46" s="170">
        <f t="shared" si="4"/>
        <v>88396578</v>
      </c>
      <c r="G46" s="296">
        <f t="shared" si="4"/>
        <v>96050245</v>
      </c>
      <c r="H46" s="295">
        <f t="shared" si="4"/>
        <v>392809281</v>
      </c>
      <c r="I46" s="170">
        <f t="shared" si="4"/>
        <v>78561856.199999988</v>
      </c>
    </row>
    <row r="48" spans="1:12" x14ac:dyDescent="0.25">
      <c r="B48" s="172" t="s">
        <v>220</v>
      </c>
    </row>
    <row r="50" spans="3:7" x14ac:dyDescent="0.25">
      <c r="C50" s="173" t="s">
        <v>227</v>
      </c>
      <c r="D50" t="s">
        <v>229</v>
      </c>
    </row>
    <row r="51" spans="3:7" x14ac:dyDescent="0.25">
      <c r="C51" s="174" t="s">
        <v>17</v>
      </c>
      <c r="D51" s="78">
        <v>182621615</v>
      </c>
      <c r="F51" t="s">
        <v>210</v>
      </c>
      <c r="G51" s="78">
        <v>182621615</v>
      </c>
    </row>
    <row r="52" spans="3:7" x14ac:dyDescent="0.25">
      <c r="C52" s="174" t="s">
        <v>15</v>
      </c>
      <c r="D52" s="78">
        <v>26710000</v>
      </c>
      <c r="F52" t="s">
        <v>231</v>
      </c>
      <c r="G52" s="78">
        <v>26710000</v>
      </c>
    </row>
    <row r="53" spans="3:7" x14ac:dyDescent="0.25">
      <c r="C53" s="174" t="s">
        <v>14</v>
      </c>
      <c r="D53" s="78">
        <v>4790000</v>
      </c>
      <c r="F53" t="s">
        <v>14</v>
      </c>
      <c r="G53" s="78">
        <v>4790000</v>
      </c>
    </row>
    <row r="54" spans="3:7" x14ac:dyDescent="0.25">
      <c r="C54" s="174" t="s">
        <v>16</v>
      </c>
      <c r="D54" s="78">
        <v>76335166</v>
      </c>
      <c r="F54" t="s">
        <v>16</v>
      </c>
      <c r="G54" s="78">
        <v>76335166</v>
      </c>
    </row>
    <row r="55" spans="3:7" x14ac:dyDescent="0.25">
      <c r="C55" s="174" t="s">
        <v>18</v>
      </c>
      <c r="D55" s="78">
        <v>113512500</v>
      </c>
      <c r="F55" t="s">
        <v>211</v>
      </c>
      <c r="G55" s="78">
        <v>113512500</v>
      </c>
    </row>
    <row r="56" spans="3:7" x14ac:dyDescent="0.25">
      <c r="C56" s="174" t="s">
        <v>228</v>
      </c>
      <c r="D56" s="78">
        <v>403969281</v>
      </c>
    </row>
  </sheetData>
  <mergeCells count="1">
    <mergeCell ref="A4:G4"/>
  </mergeCells>
  <conditionalFormatting sqref="A6:G9 A23:G25">
    <cfRule type="expression" dxfId="22" priority="23">
      <formula>MOD(#REF!,5)=0</formula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218AAF-D284-4C82-9C14-D6FE7CF9EB97}">
            <xm:f>MOD('Business Case Requests'!$A8,5)=0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B48 A26:G46 H46:I46 A10:G22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Date1 xmlns="dc463f71-b30c-4ab2-9473-d307f9d35888">2020-10-30T07:00:00+00:00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EEBCC0-111E-4487-981C-B46A4669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D7BA0-C98D-4A72-9EF6-9DDE89E80557}"/>
</file>

<file path=customXml/itemProps3.xml><?xml version="1.0" encoding="utf-8"?>
<ds:datastoreItem xmlns:ds="http://schemas.openxmlformats.org/officeDocument/2006/customXml" ds:itemID="{6843103B-21EE-42A3-B737-821D3B3623E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ba5b4a3-8711-45f3-bae3-649e6f8f7052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5E4D7FC-3F29-4973-A1C7-1415BD1A81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1 Reliability</vt:lpstr>
      <vt:lpstr>2 3 4 Summary</vt:lpstr>
      <vt:lpstr>5 Customer Growth</vt:lpstr>
      <vt:lpstr>Customer Requested</vt:lpstr>
      <vt:lpstr>6 Mandatory</vt:lpstr>
      <vt:lpstr>7 Failed Plant</vt:lpstr>
      <vt:lpstr>8 Asset Condition</vt:lpstr>
      <vt:lpstr>9 Service Quality</vt:lpstr>
      <vt:lpstr>10 Perf &amp; Capacity</vt:lpstr>
      <vt:lpstr>Business Case Requests</vt:lpstr>
      <vt:lpstr>Quick Facts</vt:lpstr>
      <vt:lpstr>'Business Case Requests'!Print_Area</vt:lpstr>
      <vt:lpstr>'Business Case Requests'!Print_Titles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jww0439</dc:creator>
  <cp:lastModifiedBy>Ehrbar, Pat</cp:lastModifiedBy>
  <cp:lastPrinted>2019-08-27T20:16:57Z</cp:lastPrinted>
  <dcterms:created xsi:type="dcterms:W3CDTF">2013-07-19T14:50:51Z</dcterms:created>
  <dcterms:modified xsi:type="dcterms:W3CDTF">2020-02-28T21:13:51Z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