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x WA Reg\RPS Filings\August 23, 2019 - Report Refiled\1. 2019 WUTC RPS Report\Workpapers - 2019 WUTC\WORKPAPERS 2 PacifiCorp Resource Cost Analysis\"/>
    </mc:Choice>
  </mc:AlternateContent>
  <bookViews>
    <workbookView xWindow="-15" yWindow="5430" windowWidth="19230" windowHeight="5370" tabRatio="860" firstSheet="6" activeTab="13"/>
  </bookViews>
  <sheets>
    <sheet name="Workpaper Index" sheetId="10" r:id="rId1"/>
    <sheet name="(1.1)_Summary" sheetId="23" r:id="rId2"/>
    <sheet name="(1.2)_Lvl_Resource_Cost" sheetId="18" r:id="rId3"/>
    <sheet name="(2.1)_Resources" sheetId="4" r:id="rId4"/>
    <sheet name="(2.2)_Forward_Price_Curve" sheetId="5" r:id="rId5"/>
    <sheet name="(3.1)_Goodnoe_Hills" sheetId="6" r:id="rId6"/>
    <sheet name="(3.2)_Marengo" sheetId="7" r:id="rId7"/>
    <sheet name="(3.3)_Marengo 2" sheetId="8" r:id="rId8"/>
    <sheet name="(3.4)_Leaning Juniper" sheetId="9" r:id="rId9"/>
    <sheet name="(3.5)_Lemolo 1 (2003IRP)" sheetId="19" r:id="rId10"/>
    <sheet name="(3.6)_Lemolo 2 (2008 IRP)" sheetId="14" r:id="rId11"/>
    <sheet name="(3.7)_JC Boyle (2004 IRP)" sheetId="21" r:id="rId12"/>
    <sheet name="(3.8)_Prospect 2 (2003 IRP)" sheetId="20" r:id="rId13"/>
    <sheet name="(3.9)_WCA Wind Weighted Average" sheetId="22" r:id="rId14"/>
  </sheets>
  <externalReferences>
    <externalReference r:id="rId15"/>
    <externalReference r:id="rId16"/>
    <externalReference r:id="rId17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1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2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3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4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5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_____OM1_1" hidden="1">{#N/A,#N/A,FALSE,"Summary";#N/A,#N/A,FALSE,"SmPlants";#N/A,#N/A,FALSE,"Utah";#N/A,#N/A,FALSE,"Idaho";#N/A,#N/A,FALSE,"Lewis River";#N/A,#N/A,FALSE,"NrthUmpq";#N/A,#N/A,FALSE,"KlamRog"}</definedName>
    <definedName name="_____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_____OM1_2" hidden="1">{#N/A,#N/A,FALSE,"Summary";#N/A,#N/A,FALSE,"SmPlants";#N/A,#N/A,FALSE,"Utah";#N/A,#N/A,FALSE,"Idaho";#N/A,#N/A,FALSE,"Lewis River";#N/A,#N/A,FALSE,"NrthUmpq";#N/A,#N/A,FALSE,"KlamRog"}</definedName>
    <definedName name="_____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_____OM1_3" hidden="1">{#N/A,#N/A,FALSE,"Summary";#N/A,#N/A,FALSE,"SmPlants";#N/A,#N/A,FALSE,"Utah";#N/A,#N/A,FALSE,"Idaho";#N/A,#N/A,FALSE,"Lewis River";#N/A,#N/A,FALSE,"NrthUmpq";#N/A,#N/A,FALSE,"KlamRog"}</definedName>
    <definedName name="_____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_____OM1_4" hidden="1">{#N/A,#N/A,FALSE,"Summary";#N/A,#N/A,FALSE,"SmPlants";#N/A,#N/A,FALSE,"Utah";#N/A,#N/A,FALSE,"Idaho";#N/A,#N/A,FALSE,"Lewis River";#N/A,#N/A,FALSE,"NrthUmpq";#N/A,#N/A,FALSE,"KlamRog"}</definedName>
    <definedName name="_____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_____OM1_5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___OM1_1" hidden="1">{#N/A,#N/A,FALSE,"Summary";#N/A,#N/A,FALSE,"SmPlants";#N/A,#N/A,FALSE,"Utah";#N/A,#N/A,FALSE,"Idaho";#N/A,#N/A,FALSE,"Lewis River";#N/A,#N/A,FALSE,"NrthUmpq";#N/A,#N/A,FALSE,"KlamRog"}</definedName>
    <definedName name="___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___OM1_2" hidden="1">{#N/A,#N/A,FALSE,"Summary";#N/A,#N/A,FALSE,"SmPlants";#N/A,#N/A,FALSE,"Utah";#N/A,#N/A,FALSE,"Idaho";#N/A,#N/A,FALSE,"Lewis River";#N/A,#N/A,FALSE,"NrthUmpq";#N/A,#N/A,FALSE,"KlamRog"}</definedName>
    <definedName name="___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___OM1_3" hidden="1">{#N/A,#N/A,FALSE,"Summary";#N/A,#N/A,FALSE,"SmPlants";#N/A,#N/A,FALSE,"Utah";#N/A,#N/A,FALSE,"Idaho";#N/A,#N/A,FALSE,"Lewis River";#N/A,#N/A,FALSE,"NrthUmpq";#N/A,#N/A,FALSE,"KlamRog"}</definedName>
    <definedName name="___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___OM1_4" hidden="1">{#N/A,#N/A,FALSE,"Summary";#N/A,#N/A,FALSE,"SmPlants";#N/A,#N/A,FALSE,"Utah";#N/A,#N/A,FALSE,"Idaho";#N/A,#N/A,FALSE,"Lewis River";#N/A,#N/A,FALSE,"NrthUmpq";#N/A,#N/A,FALSE,"KlamRog"}</definedName>
    <definedName name="___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___OM1_5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__OM1_1" hidden="1">{#N/A,#N/A,FALSE,"Summary";#N/A,#N/A,FALSE,"SmPlants";#N/A,#N/A,FALSE,"Utah";#N/A,#N/A,FALSE,"Idaho";#N/A,#N/A,FALSE,"Lewis River";#N/A,#N/A,FALSE,"NrthUmpq";#N/A,#N/A,FALSE,"KlamRog"}</definedName>
    <definedName name="__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__OM1_2" hidden="1">{#N/A,#N/A,FALSE,"Summary";#N/A,#N/A,FALSE,"SmPlants";#N/A,#N/A,FALSE,"Utah";#N/A,#N/A,FALSE,"Idaho";#N/A,#N/A,FALSE,"Lewis River";#N/A,#N/A,FALSE,"NrthUmpq";#N/A,#N/A,FALSE,"KlamRog"}</definedName>
    <definedName name="__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__OM1_3" hidden="1">{#N/A,#N/A,FALSE,"Summary";#N/A,#N/A,FALSE,"SmPlants";#N/A,#N/A,FALSE,"Utah";#N/A,#N/A,FALSE,"Idaho";#N/A,#N/A,FALSE,"Lewis River";#N/A,#N/A,FALSE,"NrthUmpq";#N/A,#N/A,FALSE,"KlamRog"}</definedName>
    <definedName name="__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__OM1_4" hidden="1">{#N/A,#N/A,FALSE,"Summary";#N/A,#N/A,FALSE,"SmPlants";#N/A,#N/A,FALSE,"Utah";#N/A,#N/A,FALSE,"Idaho";#N/A,#N/A,FALSE,"Lewis River";#N/A,#N/A,FALSE,"NrthUmpq";#N/A,#N/A,FALSE,"KlamRog"}</definedName>
    <definedName name="__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__OM1_5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OM1_1" hidden="1">{#N/A,#N/A,FALSE,"Summary";#N/A,#N/A,FALSE,"SmPlants";#N/A,#N/A,FALSE,"Utah";#N/A,#N/A,FALSE,"Idaho";#N/A,#N/A,FALSE,"Lewis River";#N/A,#N/A,FALSE,"NrthUmpq";#N/A,#N/A,FALSE,"KlamRog"}</definedName>
    <definedName name="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OM1_2" hidden="1">{#N/A,#N/A,FALSE,"Summary";#N/A,#N/A,FALSE,"SmPlants";#N/A,#N/A,FALSE,"Utah";#N/A,#N/A,FALSE,"Idaho";#N/A,#N/A,FALSE,"Lewis River";#N/A,#N/A,FALSE,"NrthUmpq";#N/A,#N/A,FALSE,"KlamRog"}</definedName>
    <definedName name="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OM1_3" hidden="1">{#N/A,#N/A,FALSE,"Summary";#N/A,#N/A,FALSE,"SmPlants";#N/A,#N/A,FALSE,"Utah";#N/A,#N/A,FALSE,"Idaho";#N/A,#N/A,FALSE,"Lewis River";#N/A,#N/A,FALSE,"NrthUmpq";#N/A,#N/A,FALSE,"KlamRog"}</definedName>
    <definedName name="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OM1_4" hidden="1">{#N/A,#N/A,FALSE,"Summary";#N/A,#N/A,FALSE,"SmPlants";#N/A,#N/A,FALSE,"Utah";#N/A,#N/A,FALSE,"Idaho";#N/A,#N/A,FALSE,"Lewis River";#N/A,#N/A,FALSE,"NrthUmpq";#N/A,#N/A,FALSE,"KlamRog"}</definedName>
    <definedName name="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OM1_5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OM1_1" hidden="1">{#N/A,#N/A,FALSE,"Summary";#N/A,#N/A,FALSE,"SmPlants";#N/A,#N/A,FALSE,"Utah";#N/A,#N/A,FALSE,"Idaho";#N/A,#N/A,FALSE,"Lewis River";#N/A,#N/A,FALSE,"NrthUmpq";#N/A,#N/A,FALSE,"KlamRog"}</definedName>
    <definedName name="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OM1_2" hidden="1">{#N/A,#N/A,FALSE,"Summary";#N/A,#N/A,FALSE,"SmPlants";#N/A,#N/A,FALSE,"Utah";#N/A,#N/A,FALSE,"Idaho";#N/A,#N/A,FALSE,"Lewis River";#N/A,#N/A,FALSE,"NrthUmpq";#N/A,#N/A,FALSE,"KlamRog"}</definedName>
    <definedName name="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OM1_3" hidden="1">{#N/A,#N/A,FALSE,"Summary";#N/A,#N/A,FALSE,"SmPlants";#N/A,#N/A,FALSE,"Utah";#N/A,#N/A,FALSE,"Idaho";#N/A,#N/A,FALSE,"Lewis River";#N/A,#N/A,FALSE,"NrthUmpq";#N/A,#N/A,FALSE,"KlamRog"}</definedName>
    <definedName name="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OM1_4" hidden="1">{#N/A,#N/A,FALSE,"Summary";#N/A,#N/A,FALSE,"SmPlants";#N/A,#N/A,FALSE,"Utah";#N/A,#N/A,FALSE,"Idaho";#N/A,#N/A,FALSE,"Lewis River";#N/A,#N/A,FALSE,"NrthUmpq";#N/A,#N/A,FALSE,"KlamRog"}</definedName>
    <definedName name="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OM1_5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localSheetId="5" hidden="1">{#N/A,#N/A,FALSE,"Summary";#N/A,#N/A,FALSE,"SmPlants";#N/A,#N/A,FALSE,"Utah";#N/A,#N/A,FALSE,"Idaho";#N/A,#N/A,FALSE,"Lewis River";#N/A,#N/A,FALSE,"NrthUmpq";#N/A,#N/A,FALSE,"KlamRog"}</definedName>
    <definedName name="____________OM1" localSheetId="6" hidden="1">{#N/A,#N/A,FALSE,"Summary";#N/A,#N/A,FALSE,"SmPlants";#N/A,#N/A,FALSE,"Utah";#N/A,#N/A,FALSE,"Idaho";#N/A,#N/A,FALSE,"Lewis River";#N/A,#N/A,FALSE,"NrthUmpq";#N/A,#N/A,FALSE,"KlamRog"}</definedName>
    <definedName name="____________OM1" localSheetId="7" hidden="1">{#N/A,#N/A,FALSE,"Summary";#N/A,#N/A,FALSE,"SmPlants";#N/A,#N/A,FALSE,"Utah";#N/A,#N/A,FALSE,"Idaho";#N/A,#N/A,FALSE,"Lewis River";#N/A,#N/A,FALSE,"NrthUmpq";#N/A,#N/A,FALSE,"KlamRog"}</definedName>
    <definedName name="____________OM1" localSheetId="8" hidden="1">{#N/A,#N/A,FALSE,"Summary";#N/A,#N/A,FALSE,"SmPlants";#N/A,#N/A,FALSE,"Utah";#N/A,#N/A,FALSE,"Idaho";#N/A,#N/A,FALSE,"Lewis River";#N/A,#N/A,FALSE,"NrthUmpq";#N/A,#N/A,FALSE,"KlamRog"}</definedName>
    <definedName name="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OM1_1" hidden="1">{#N/A,#N/A,FALSE,"Summary";#N/A,#N/A,FALSE,"SmPlants";#N/A,#N/A,FALSE,"Utah";#N/A,#N/A,FALSE,"Idaho";#N/A,#N/A,FALSE,"Lewis River";#N/A,#N/A,FALSE,"NrthUmpq";#N/A,#N/A,FALSE,"KlamRog"}</definedName>
    <definedName name="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OM1_2" hidden="1">{#N/A,#N/A,FALSE,"Summary";#N/A,#N/A,FALSE,"SmPlants";#N/A,#N/A,FALSE,"Utah";#N/A,#N/A,FALSE,"Idaho";#N/A,#N/A,FALSE,"Lewis River";#N/A,#N/A,FALSE,"NrthUmpq";#N/A,#N/A,FALSE,"KlamRog"}</definedName>
    <definedName name="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OM1_3" hidden="1">{#N/A,#N/A,FALSE,"Summary";#N/A,#N/A,FALSE,"SmPlants";#N/A,#N/A,FALSE,"Utah";#N/A,#N/A,FALSE,"Idaho";#N/A,#N/A,FALSE,"Lewis River";#N/A,#N/A,FALSE,"NrthUmpq";#N/A,#N/A,FALSE,"KlamRog"}</definedName>
    <definedName name="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OM1_4" hidden="1">{#N/A,#N/A,FALSE,"Summary";#N/A,#N/A,FALSE,"SmPlants";#N/A,#N/A,FALSE,"Utah";#N/A,#N/A,FALSE,"Idaho";#N/A,#N/A,FALSE,"Lewis River";#N/A,#N/A,FALSE,"NrthUmpq";#N/A,#N/A,FALSE,"KlamRog"}</definedName>
    <definedName name="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OM1_5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localSheetId="5" hidden="1">{#N/A,#N/A,FALSE,"Summary";#N/A,#N/A,FALSE,"SmPlants";#N/A,#N/A,FALSE,"Utah";#N/A,#N/A,FALSE,"Idaho";#N/A,#N/A,FALSE,"Lewis River";#N/A,#N/A,FALSE,"NrthUmpq";#N/A,#N/A,FALSE,"KlamRog"}</definedName>
    <definedName name="___________OM1" localSheetId="6" hidden="1">{#N/A,#N/A,FALSE,"Summary";#N/A,#N/A,FALSE,"SmPlants";#N/A,#N/A,FALSE,"Utah";#N/A,#N/A,FALSE,"Idaho";#N/A,#N/A,FALSE,"Lewis River";#N/A,#N/A,FALSE,"NrthUmpq";#N/A,#N/A,FALSE,"KlamRog"}</definedName>
    <definedName name="___________OM1" localSheetId="7" hidden="1">{#N/A,#N/A,FALSE,"Summary";#N/A,#N/A,FALSE,"SmPlants";#N/A,#N/A,FALSE,"Utah";#N/A,#N/A,FALSE,"Idaho";#N/A,#N/A,FALSE,"Lewis River";#N/A,#N/A,FALSE,"NrthUmpq";#N/A,#N/A,FALSE,"KlamRog"}</definedName>
    <definedName name="___________OM1" localSheetId="8" hidden="1">{#N/A,#N/A,FALSE,"Summary";#N/A,#N/A,FALSE,"SmPlants";#N/A,#N/A,FALSE,"Utah";#N/A,#N/A,FALSE,"Idaho";#N/A,#N/A,FALSE,"Lewis River";#N/A,#N/A,FALSE,"NrthUmpq";#N/A,#N/A,FALSE,"KlamRog"}</definedName>
    <definedName name="___________OM1" localSheetId="13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OM1_1" localSheetId="1" hidden="1">{#N/A,#N/A,FALSE,"Summary";#N/A,#N/A,FALSE,"SmPlants";#N/A,#N/A,FALSE,"Utah";#N/A,#N/A,FALSE,"Idaho";#N/A,#N/A,FALSE,"Lewis River";#N/A,#N/A,FALSE,"NrthUmpq";#N/A,#N/A,FALSE,"KlamRog"}</definedName>
    <definedName name="___________OM1_1" localSheetId="3" hidden="1">{#N/A,#N/A,FALSE,"Summary";#N/A,#N/A,FALSE,"SmPlants";#N/A,#N/A,FALSE,"Utah";#N/A,#N/A,FALSE,"Idaho";#N/A,#N/A,FALSE,"Lewis River";#N/A,#N/A,FALSE,"NrthUmpq";#N/A,#N/A,FALSE,"KlamRog"}</definedName>
    <definedName name="___________OM1_1" localSheetId="4" hidden="1">{#N/A,#N/A,FALSE,"Summary";#N/A,#N/A,FALSE,"SmPlants";#N/A,#N/A,FALSE,"Utah";#N/A,#N/A,FALSE,"Idaho";#N/A,#N/A,FALSE,"Lewis River";#N/A,#N/A,FALSE,"NrthUmpq";#N/A,#N/A,FALSE,"KlamRog"}</definedName>
    <definedName name="___________OM1_1" localSheetId="5" hidden="1">{#N/A,#N/A,FALSE,"Summary";#N/A,#N/A,FALSE,"SmPlants";#N/A,#N/A,FALSE,"Utah";#N/A,#N/A,FALSE,"Idaho";#N/A,#N/A,FALSE,"Lewis River";#N/A,#N/A,FALSE,"NrthUmpq";#N/A,#N/A,FALSE,"KlamRog"}</definedName>
    <definedName name="___________OM1_1" localSheetId="6" hidden="1">{#N/A,#N/A,FALSE,"Summary";#N/A,#N/A,FALSE,"SmPlants";#N/A,#N/A,FALSE,"Utah";#N/A,#N/A,FALSE,"Idaho";#N/A,#N/A,FALSE,"Lewis River";#N/A,#N/A,FALSE,"NrthUmpq";#N/A,#N/A,FALSE,"KlamRog"}</definedName>
    <definedName name="___________OM1_1" localSheetId="7" hidden="1">{#N/A,#N/A,FALSE,"Summary";#N/A,#N/A,FALSE,"SmPlants";#N/A,#N/A,FALSE,"Utah";#N/A,#N/A,FALSE,"Idaho";#N/A,#N/A,FALSE,"Lewis River";#N/A,#N/A,FALSE,"NrthUmpq";#N/A,#N/A,FALSE,"KlamRog"}</definedName>
    <definedName name="___________OM1_1" localSheetId="8" hidden="1">{#N/A,#N/A,FALSE,"Summary";#N/A,#N/A,FALSE,"SmPlants";#N/A,#N/A,FALSE,"Utah";#N/A,#N/A,FALSE,"Idaho";#N/A,#N/A,FALSE,"Lewis River";#N/A,#N/A,FALSE,"NrthUmpq";#N/A,#N/A,FALSE,"KlamRog"}</definedName>
    <definedName name="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OM1_1" localSheetId="0" hidden="1">{#N/A,#N/A,FALSE,"Summary";#N/A,#N/A,FALSE,"SmPlants";#N/A,#N/A,FALSE,"Utah";#N/A,#N/A,FALSE,"Idaho";#N/A,#N/A,FALSE,"Lewis River";#N/A,#N/A,FALSE,"NrthUmpq";#N/A,#N/A,FALSE,"KlamRog"}</definedName>
    <definedName name="___________OM1_1" hidden="1">{#N/A,#N/A,FALSE,"Summary";#N/A,#N/A,FALSE,"SmPlants";#N/A,#N/A,FALSE,"Utah";#N/A,#N/A,FALSE,"Idaho";#N/A,#N/A,FALSE,"Lewis River";#N/A,#N/A,FALSE,"NrthUmpq";#N/A,#N/A,FALSE,"KlamRog"}</definedName>
    <definedName name="___________OM1_2" localSheetId="1" hidden="1">{#N/A,#N/A,FALSE,"Summary";#N/A,#N/A,FALSE,"SmPlants";#N/A,#N/A,FALSE,"Utah";#N/A,#N/A,FALSE,"Idaho";#N/A,#N/A,FALSE,"Lewis River";#N/A,#N/A,FALSE,"NrthUmpq";#N/A,#N/A,FALSE,"KlamRog"}</definedName>
    <definedName name="___________OM1_2" localSheetId="3" hidden="1">{#N/A,#N/A,FALSE,"Summary";#N/A,#N/A,FALSE,"SmPlants";#N/A,#N/A,FALSE,"Utah";#N/A,#N/A,FALSE,"Idaho";#N/A,#N/A,FALSE,"Lewis River";#N/A,#N/A,FALSE,"NrthUmpq";#N/A,#N/A,FALSE,"KlamRog"}</definedName>
    <definedName name="___________OM1_2" localSheetId="4" hidden="1">{#N/A,#N/A,FALSE,"Summary";#N/A,#N/A,FALSE,"SmPlants";#N/A,#N/A,FALSE,"Utah";#N/A,#N/A,FALSE,"Idaho";#N/A,#N/A,FALSE,"Lewis River";#N/A,#N/A,FALSE,"NrthUmpq";#N/A,#N/A,FALSE,"KlamRog"}</definedName>
    <definedName name="___________OM1_2" localSheetId="5" hidden="1">{#N/A,#N/A,FALSE,"Summary";#N/A,#N/A,FALSE,"SmPlants";#N/A,#N/A,FALSE,"Utah";#N/A,#N/A,FALSE,"Idaho";#N/A,#N/A,FALSE,"Lewis River";#N/A,#N/A,FALSE,"NrthUmpq";#N/A,#N/A,FALSE,"KlamRog"}</definedName>
    <definedName name="___________OM1_2" localSheetId="6" hidden="1">{#N/A,#N/A,FALSE,"Summary";#N/A,#N/A,FALSE,"SmPlants";#N/A,#N/A,FALSE,"Utah";#N/A,#N/A,FALSE,"Idaho";#N/A,#N/A,FALSE,"Lewis River";#N/A,#N/A,FALSE,"NrthUmpq";#N/A,#N/A,FALSE,"KlamRog"}</definedName>
    <definedName name="___________OM1_2" localSheetId="7" hidden="1">{#N/A,#N/A,FALSE,"Summary";#N/A,#N/A,FALSE,"SmPlants";#N/A,#N/A,FALSE,"Utah";#N/A,#N/A,FALSE,"Idaho";#N/A,#N/A,FALSE,"Lewis River";#N/A,#N/A,FALSE,"NrthUmpq";#N/A,#N/A,FALSE,"KlamRog"}</definedName>
    <definedName name="___________OM1_2" localSheetId="8" hidden="1">{#N/A,#N/A,FALSE,"Summary";#N/A,#N/A,FALSE,"SmPlants";#N/A,#N/A,FALSE,"Utah";#N/A,#N/A,FALSE,"Idaho";#N/A,#N/A,FALSE,"Lewis River";#N/A,#N/A,FALSE,"NrthUmpq";#N/A,#N/A,FALSE,"KlamRog"}</definedName>
    <definedName name="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OM1_2" localSheetId="0" hidden="1">{#N/A,#N/A,FALSE,"Summary";#N/A,#N/A,FALSE,"SmPlants";#N/A,#N/A,FALSE,"Utah";#N/A,#N/A,FALSE,"Idaho";#N/A,#N/A,FALSE,"Lewis River";#N/A,#N/A,FALSE,"NrthUmpq";#N/A,#N/A,FALSE,"KlamRog"}</definedName>
    <definedName name="___________OM1_2" hidden="1">{#N/A,#N/A,FALSE,"Summary";#N/A,#N/A,FALSE,"SmPlants";#N/A,#N/A,FALSE,"Utah";#N/A,#N/A,FALSE,"Idaho";#N/A,#N/A,FALSE,"Lewis River";#N/A,#N/A,FALSE,"NrthUmpq";#N/A,#N/A,FALSE,"KlamRog"}</definedName>
    <definedName name="___________OM1_3" localSheetId="1" hidden="1">{#N/A,#N/A,FALSE,"Summary";#N/A,#N/A,FALSE,"SmPlants";#N/A,#N/A,FALSE,"Utah";#N/A,#N/A,FALSE,"Idaho";#N/A,#N/A,FALSE,"Lewis River";#N/A,#N/A,FALSE,"NrthUmpq";#N/A,#N/A,FALSE,"KlamRog"}</definedName>
    <definedName name="___________OM1_3" localSheetId="3" hidden="1">{#N/A,#N/A,FALSE,"Summary";#N/A,#N/A,FALSE,"SmPlants";#N/A,#N/A,FALSE,"Utah";#N/A,#N/A,FALSE,"Idaho";#N/A,#N/A,FALSE,"Lewis River";#N/A,#N/A,FALSE,"NrthUmpq";#N/A,#N/A,FALSE,"KlamRog"}</definedName>
    <definedName name="___________OM1_3" localSheetId="4" hidden="1">{#N/A,#N/A,FALSE,"Summary";#N/A,#N/A,FALSE,"SmPlants";#N/A,#N/A,FALSE,"Utah";#N/A,#N/A,FALSE,"Idaho";#N/A,#N/A,FALSE,"Lewis River";#N/A,#N/A,FALSE,"NrthUmpq";#N/A,#N/A,FALSE,"KlamRog"}</definedName>
    <definedName name="___________OM1_3" localSheetId="5" hidden="1">{#N/A,#N/A,FALSE,"Summary";#N/A,#N/A,FALSE,"SmPlants";#N/A,#N/A,FALSE,"Utah";#N/A,#N/A,FALSE,"Idaho";#N/A,#N/A,FALSE,"Lewis River";#N/A,#N/A,FALSE,"NrthUmpq";#N/A,#N/A,FALSE,"KlamRog"}</definedName>
    <definedName name="___________OM1_3" localSheetId="6" hidden="1">{#N/A,#N/A,FALSE,"Summary";#N/A,#N/A,FALSE,"SmPlants";#N/A,#N/A,FALSE,"Utah";#N/A,#N/A,FALSE,"Idaho";#N/A,#N/A,FALSE,"Lewis River";#N/A,#N/A,FALSE,"NrthUmpq";#N/A,#N/A,FALSE,"KlamRog"}</definedName>
    <definedName name="___________OM1_3" localSheetId="7" hidden="1">{#N/A,#N/A,FALSE,"Summary";#N/A,#N/A,FALSE,"SmPlants";#N/A,#N/A,FALSE,"Utah";#N/A,#N/A,FALSE,"Idaho";#N/A,#N/A,FALSE,"Lewis River";#N/A,#N/A,FALSE,"NrthUmpq";#N/A,#N/A,FALSE,"KlamRog"}</definedName>
    <definedName name="___________OM1_3" localSheetId="8" hidden="1">{#N/A,#N/A,FALSE,"Summary";#N/A,#N/A,FALSE,"SmPlants";#N/A,#N/A,FALSE,"Utah";#N/A,#N/A,FALSE,"Idaho";#N/A,#N/A,FALSE,"Lewis River";#N/A,#N/A,FALSE,"NrthUmpq";#N/A,#N/A,FALSE,"KlamRog"}</definedName>
    <definedName name="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OM1_3" localSheetId="0" hidden="1">{#N/A,#N/A,FALSE,"Summary";#N/A,#N/A,FALSE,"SmPlants";#N/A,#N/A,FALSE,"Utah";#N/A,#N/A,FALSE,"Idaho";#N/A,#N/A,FALSE,"Lewis River";#N/A,#N/A,FALSE,"NrthUmpq";#N/A,#N/A,FALSE,"KlamRog"}</definedName>
    <definedName name="___________OM1_3" hidden="1">{#N/A,#N/A,FALSE,"Summary";#N/A,#N/A,FALSE,"SmPlants";#N/A,#N/A,FALSE,"Utah";#N/A,#N/A,FALSE,"Idaho";#N/A,#N/A,FALSE,"Lewis River";#N/A,#N/A,FALSE,"NrthUmpq";#N/A,#N/A,FALSE,"KlamRog"}</definedName>
    <definedName name="___________OM1_4" localSheetId="1" hidden="1">{#N/A,#N/A,FALSE,"Summary";#N/A,#N/A,FALSE,"SmPlants";#N/A,#N/A,FALSE,"Utah";#N/A,#N/A,FALSE,"Idaho";#N/A,#N/A,FALSE,"Lewis River";#N/A,#N/A,FALSE,"NrthUmpq";#N/A,#N/A,FALSE,"KlamRog"}</definedName>
    <definedName name="___________OM1_4" localSheetId="3" hidden="1">{#N/A,#N/A,FALSE,"Summary";#N/A,#N/A,FALSE,"SmPlants";#N/A,#N/A,FALSE,"Utah";#N/A,#N/A,FALSE,"Idaho";#N/A,#N/A,FALSE,"Lewis River";#N/A,#N/A,FALSE,"NrthUmpq";#N/A,#N/A,FALSE,"KlamRog"}</definedName>
    <definedName name="___________OM1_4" localSheetId="4" hidden="1">{#N/A,#N/A,FALSE,"Summary";#N/A,#N/A,FALSE,"SmPlants";#N/A,#N/A,FALSE,"Utah";#N/A,#N/A,FALSE,"Idaho";#N/A,#N/A,FALSE,"Lewis River";#N/A,#N/A,FALSE,"NrthUmpq";#N/A,#N/A,FALSE,"KlamRog"}</definedName>
    <definedName name="___________OM1_4" localSheetId="5" hidden="1">{#N/A,#N/A,FALSE,"Summary";#N/A,#N/A,FALSE,"SmPlants";#N/A,#N/A,FALSE,"Utah";#N/A,#N/A,FALSE,"Idaho";#N/A,#N/A,FALSE,"Lewis River";#N/A,#N/A,FALSE,"NrthUmpq";#N/A,#N/A,FALSE,"KlamRog"}</definedName>
    <definedName name="___________OM1_4" localSheetId="6" hidden="1">{#N/A,#N/A,FALSE,"Summary";#N/A,#N/A,FALSE,"SmPlants";#N/A,#N/A,FALSE,"Utah";#N/A,#N/A,FALSE,"Idaho";#N/A,#N/A,FALSE,"Lewis River";#N/A,#N/A,FALSE,"NrthUmpq";#N/A,#N/A,FALSE,"KlamRog"}</definedName>
    <definedName name="___________OM1_4" localSheetId="7" hidden="1">{#N/A,#N/A,FALSE,"Summary";#N/A,#N/A,FALSE,"SmPlants";#N/A,#N/A,FALSE,"Utah";#N/A,#N/A,FALSE,"Idaho";#N/A,#N/A,FALSE,"Lewis River";#N/A,#N/A,FALSE,"NrthUmpq";#N/A,#N/A,FALSE,"KlamRog"}</definedName>
    <definedName name="___________OM1_4" localSheetId="8" hidden="1">{#N/A,#N/A,FALSE,"Summary";#N/A,#N/A,FALSE,"SmPlants";#N/A,#N/A,FALSE,"Utah";#N/A,#N/A,FALSE,"Idaho";#N/A,#N/A,FALSE,"Lewis River";#N/A,#N/A,FALSE,"NrthUmpq";#N/A,#N/A,FALSE,"KlamRog"}</definedName>
    <definedName name="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OM1_4" localSheetId="0" hidden="1">{#N/A,#N/A,FALSE,"Summary";#N/A,#N/A,FALSE,"SmPlants";#N/A,#N/A,FALSE,"Utah";#N/A,#N/A,FALSE,"Idaho";#N/A,#N/A,FALSE,"Lewis River";#N/A,#N/A,FALSE,"NrthUmpq";#N/A,#N/A,FALSE,"KlamRog"}</definedName>
    <definedName name="___________OM1_4" hidden="1">{#N/A,#N/A,FALSE,"Summary";#N/A,#N/A,FALSE,"SmPlants";#N/A,#N/A,FALSE,"Utah";#N/A,#N/A,FALSE,"Idaho";#N/A,#N/A,FALSE,"Lewis River";#N/A,#N/A,FALSE,"NrthUmpq";#N/A,#N/A,FALSE,"KlamRog"}</definedName>
    <definedName name="___________OM1_5" localSheetId="1" hidden="1">{#N/A,#N/A,FALSE,"Summary";#N/A,#N/A,FALSE,"SmPlants";#N/A,#N/A,FALSE,"Utah";#N/A,#N/A,FALSE,"Idaho";#N/A,#N/A,FALSE,"Lewis River";#N/A,#N/A,FALSE,"NrthUmpq";#N/A,#N/A,FALSE,"KlamRog"}</definedName>
    <definedName name="___________OM1_5" localSheetId="3" hidden="1">{#N/A,#N/A,FALSE,"Summary";#N/A,#N/A,FALSE,"SmPlants";#N/A,#N/A,FALSE,"Utah";#N/A,#N/A,FALSE,"Idaho";#N/A,#N/A,FALSE,"Lewis River";#N/A,#N/A,FALSE,"NrthUmpq";#N/A,#N/A,FALSE,"KlamRog"}</definedName>
    <definedName name="___________OM1_5" localSheetId="4" hidden="1">{#N/A,#N/A,FALSE,"Summary";#N/A,#N/A,FALSE,"SmPlants";#N/A,#N/A,FALSE,"Utah";#N/A,#N/A,FALSE,"Idaho";#N/A,#N/A,FALSE,"Lewis River";#N/A,#N/A,FALSE,"NrthUmpq";#N/A,#N/A,FALSE,"KlamRog"}</definedName>
    <definedName name="___________OM1_5" localSheetId="5" hidden="1">{#N/A,#N/A,FALSE,"Summary";#N/A,#N/A,FALSE,"SmPlants";#N/A,#N/A,FALSE,"Utah";#N/A,#N/A,FALSE,"Idaho";#N/A,#N/A,FALSE,"Lewis River";#N/A,#N/A,FALSE,"NrthUmpq";#N/A,#N/A,FALSE,"KlamRog"}</definedName>
    <definedName name="___________OM1_5" localSheetId="6" hidden="1">{#N/A,#N/A,FALSE,"Summary";#N/A,#N/A,FALSE,"SmPlants";#N/A,#N/A,FALSE,"Utah";#N/A,#N/A,FALSE,"Idaho";#N/A,#N/A,FALSE,"Lewis River";#N/A,#N/A,FALSE,"NrthUmpq";#N/A,#N/A,FALSE,"KlamRog"}</definedName>
    <definedName name="___________OM1_5" localSheetId="7" hidden="1">{#N/A,#N/A,FALSE,"Summary";#N/A,#N/A,FALSE,"SmPlants";#N/A,#N/A,FALSE,"Utah";#N/A,#N/A,FALSE,"Idaho";#N/A,#N/A,FALSE,"Lewis River";#N/A,#N/A,FALSE,"NrthUmpq";#N/A,#N/A,FALSE,"KlamRog"}</definedName>
    <definedName name="___________OM1_5" localSheetId="8" hidden="1">{#N/A,#N/A,FALSE,"Summary";#N/A,#N/A,FALSE,"SmPlants";#N/A,#N/A,FALSE,"Utah";#N/A,#N/A,FALSE,"Idaho";#N/A,#N/A,FALSE,"Lewis River";#N/A,#N/A,FALSE,"NrthUmpq";#N/A,#N/A,FALSE,"KlamRog"}</definedName>
    <definedName name="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OM1_5" localSheetId="0" hidden="1">{#N/A,#N/A,FALSE,"Summary";#N/A,#N/A,FALSE,"SmPlants";#N/A,#N/A,FALSE,"Utah";#N/A,#N/A,FALSE,"Idaho";#N/A,#N/A,FALSE,"Lewis River";#N/A,#N/A,FALSE,"NrthUmpq";#N/A,#N/A,FALSE,"KlamRog"}</definedName>
    <definedName name="___________OM1_5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localSheetId="5" hidden="1">{#N/A,#N/A,FALSE,"Summary";#N/A,#N/A,FALSE,"SmPlants";#N/A,#N/A,FALSE,"Utah";#N/A,#N/A,FALSE,"Idaho";#N/A,#N/A,FALSE,"Lewis River";#N/A,#N/A,FALSE,"NrthUmpq";#N/A,#N/A,FALSE,"KlamRog"}</definedName>
    <definedName name="_________OM1" localSheetId="6" hidden="1">{#N/A,#N/A,FALSE,"Summary";#N/A,#N/A,FALSE,"SmPlants";#N/A,#N/A,FALSE,"Utah";#N/A,#N/A,FALSE,"Idaho";#N/A,#N/A,FALSE,"Lewis River";#N/A,#N/A,FALSE,"NrthUmpq";#N/A,#N/A,FALSE,"KlamRog"}</definedName>
    <definedName name="_________OM1" localSheetId="7" hidden="1">{#N/A,#N/A,FALSE,"Summary";#N/A,#N/A,FALSE,"SmPlants";#N/A,#N/A,FALSE,"Utah";#N/A,#N/A,FALSE,"Idaho";#N/A,#N/A,FALSE,"Lewis River";#N/A,#N/A,FALSE,"NrthUmpq";#N/A,#N/A,FALSE,"KlamRog"}</definedName>
    <definedName name="_________OM1" localSheetId="8" hidden="1">{#N/A,#N/A,FALSE,"Summary";#N/A,#N/A,FALSE,"SmPlants";#N/A,#N/A,FALSE,"Utah";#N/A,#N/A,FALSE,"Idaho";#N/A,#N/A,FALSE,"Lewis River";#N/A,#N/A,FALSE,"NrthUmpq";#N/A,#N/A,FALSE,"KlamRog"}</definedName>
    <definedName name="_________OM1" localSheetId="13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OM1_1" localSheetId="1" hidden="1">{#N/A,#N/A,FALSE,"Summary";#N/A,#N/A,FALSE,"SmPlants";#N/A,#N/A,FALSE,"Utah";#N/A,#N/A,FALSE,"Idaho";#N/A,#N/A,FALSE,"Lewis River";#N/A,#N/A,FALSE,"NrthUmpq";#N/A,#N/A,FALSE,"KlamRog"}</definedName>
    <definedName name="_________OM1_1" localSheetId="3" hidden="1">{#N/A,#N/A,FALSE,"Summary";#N/A,#N/A,FALSE,"SmPlants";#N/A,#N/A,FALSE,"Utah";#N/A,#N/A,FALSE,"Idaho";#N/A,#N/A,FALSE,"Lewis River";#N/A,#N/A,FALSE,"NrthUmpq";#N/A,#N/A,FALSE,"KlamRog"}</definedName>
    <definedName name="_________OM1_1" localSheetId="4" hidden="1">{#N/A,#N/A,FALSE,"Summary";#N/A,#N/A,FALSE,"SmPlants";#N/A,#N/A,FALSE,"Utah";#N/A,#N/A,FALSE,"Idaho";#N/A,#N/A,FALSE,"Lewis River";#N/A,#N/A,FALSE,"NrthUmpq";#N/A,#N/A,FALSE,"KlamRog"}</definedName>
    <definedName name="_________OM1_1" localSheetId="5" hidden="1">{#N/A,#N/A,FALSE,"Summary";#N/A,#N/A,FALSE,"SmPlants";#N/A,#N/A,FALSE,"Utah";#N/A,#N/A,FALSE,"Idaho";#N/A,#N/A,FALSE,"Lewis River";#N/A,#N/A,FALSE,"NrthUmpq";#N/A,#N/A,FALSE,"KlamRog"}</definedName>
    <definedName name="_________OM1_1" localSheetId="6" hidden="1">{#N/A,#N/A,FALSE,"Summary";#N/A,#N/A,FALSE,"SmPlants";#N/A,#N/A,FALSE,"Utah";#N/A,#N/A,FALSE,"Idaho";#N/A,#N/A,FALSE,"Lewis River";#N/A,#N/A,FALSE,"NrthUmpq";#N/A,#N/A,FALSE,"KlamRog"}</definedName>
    <definedName name="_________OM1_1" localSheetId="7" hidden="1">{#N/A,#N/A,FALSE,"Summary";#N/A,#N/A,FALSE,"SmPlants";#N/A,#N/A,FALSE,"Utah";#N/A,#N/A,FALSE,"Idaho";#N/A,#N/A,FALSE,"Lewis River";#N/A,#N/A,FALSE,"NrthUmpq";#N/A,#N/A,FALSE,"KlamRog"}</definedName>
    <definedName name="_________OM1_1" localSheetId="8" hidden="1">{#N/A,#N/A,FALSE,"Summary";#N/A,#N/A,FALSE,"SmPlants";#N/A,#N/A,FALSE,"Utah";#N/A,#N/A,FALSE,"Idaho";#N/A,#N/A,FALSE,"Lewis River";#N/A,#N/A,FALSE,"NrthUmpq";#N/A,#N/A,FALSE,"KlamRog"}</definedName>
    <definedName name="_________OM1_1" localSheetId="13" hidden="1">{#N/A,#N/A,FALSE,"Summary";#N/A,#N/A,FALSE,"SmPlants";#N/A,#N/A,FALSE,"Utah";#N/A,#N/A,FALSE,"Idaho";#N/A,#N/A,FALSE,"Lewis River";#N/A,#N/A,FALSE,"NrthUmpq";#N/A,#N/A,FALSE,"KlamRog"}</definedName>
    <definedName name="_________OM1_1" localSheetId="0" hidden="1">{#N/A,#N/A,FALSE,"Summary";#N/A,#N/A,FALSE,"SmPlants";#N/A,#N/A,FALSE,"Utah";#N/A,#N/A,FALSE,"Idaho";#N/A,#N/A,FALSE,"Lewis River";#N/A,#N/A,FALSE,"NrthUmpq";#N/A,#N/A,FALSE,"KlamRog"}</definedName>
    <definedName name="_________OM1_1" hidden="1">{#N/A,#N/A,FALSE,"Summary";#N/A,#N/A,FALSE,"SmPlants";#N/A,#N/A,FALSE,"Utah";#N/A,#N/A,FALSE,"Idaho";#N/A,#N/A,FALSE,"Lewis River";#N/A,#N/A,FALSE,"NrthUmpq";#N/A,#N/A,FALSE,"KlamRog"}</definedName>
    <definedName name="_________OM1_2" localSheetId="1" hidden="1">{#N/A,#N/A,FALSE,"Summary";#N/A,#N/A,FALSE,"SmPlants";#N/A,#N/A,FALSE,"Utah";#N/A,#N/A,FALSE,"Idaho";#N/A,#N/A,FALSE,"Lewis River";#N/A,#N/A,FALSE,"NrthUmpq";#N/A,#N/A,FALSE,"KlamRog"}</definedName>
    <definedName name="_________OM1_2" localSheetId="3" hidden="1">{#N/A,#N/A,FALSE,"Summary";#N/A,#N/A,FALSE,"SmPlants";#N/A,#N/A,FALSE,"Utah";#N/A,#N/A,FALSE,"Idaho";#N/A,#N/A,FALSE,"Lewis River";#N/A,#N/A,FALSE,"NrthUmpq";#N/A,#N/A,FALSE,"KlamRog"}</definedName>
    <definedName name="_________OM1_2" localSheetId="4" hidden="1">{#N/A,#N/A,FALSE,"Summary";#N/A,#N/A,FALSE,"SmPlants";#N/A,#N/A,FALSE,"Utah";#N/A,#N/A,FALSE,"Idaho";#N/A,#N/A,FALSE,"Lewis River";#N/A,#N/A,FALSE,"NrthUmpq";#N/A,#N/A,FALSE,"KlamRog"}</definedName>
    <definedName name="_________OM1_2" localSheetId="5" hidden="1">{#N/A,#N/A,FALSE,"Summary";#N/A,#N/A,FALSE,"SmPlants";#N/A,#N/A,FALSE,"Utah";#N/A,#N/A,FALSE,"Idaho";#N/A,#N/A,FALSE,"Lewis River";#N/A,#N/A,FALSE,"NrthUmpq";#N/A,#N/A,FALSE,"KlamRog"}</definedName>
    <definedName name="_________OM1_2" localSheetId="6" hidden="1">{#N/A,#N/A,FALSE,"Summary";#N/A,#N/A,FALSE,"SmPlants";#N/A,#N/A,FALSE,"Utah";#N/A,#N/A,FALSE,"Idaho";#N/A,#N/A,FALSE,"Lewis River";#N/A,#N/A,FALSE,"NrthUmpq";#N/A,#N/A,FALSE,"KlamRog"}</definedName>
    <definedName name="_________OM1_2" localSheetId="7" hidden="1">{#N/A,#N/A,FALSE,"Summary";#N/A,#N/A,FALSE,"SmPlants";#N/A,#N/A,FALSE,"Utah";#N/A,#N/A,FALSE,"Idaho";#N/A,#N/A,FALSE,"Lewis River";#N/A,#N/A,FALSE,"NrthUmpq";#N/A,#N/A,FALSE,"KlamRog"}</definedName>
    <definedName name="_________OM1_2" localSheetId="8" hidden="1">{#N/A,#N/A,FALSE,"Summary";#N/A,#N/A,FALSE,"SmPlants";#N/A,#N/A,FALSE,"Utah";#N/A,#N/A,FALSE,"Idaho";#N/A,#N/A,FALSE,"Lewis River";#N/A,#N/A,FALSE,"NrthUmpq";#N/A,#N/A,FALSE,"KlamRog"}</definedName>
    <definedName name="_________OM1_2" localSheetId="13" hidden="1">{#N/A,#N/A,FALSE,"Summary";#N/A,#N/A,FALSE,"SmPlants";#N/A,#N/A,FALSE,"Utah";#N/A,#N/A,FALSE,"Idaho";#N/A,#N/A,FALSE,"Lewis River";#N/A,#N/A,FALSE,"NrthUmpq";#N/A,#N/A,FALSE,"KlamRog"}</definedName>
    <definedName name="_________OM1_2" localSheetId="0" hidden="1">{#N/A,#N/A,FALSE,"Summary";#N/A,#N/A,FALSE,"SmPlants";#N/A,#N/A,FALSE,"Utah";#N/A,#N/A,FALSE,"Idaho";#N/A,#N/A,FALSE,"Lewis River";#N/A,#N/A,FALSE,"NrthUmpq";#N/A,#N/A,FALSE,"KlamRog"}</definedName>
    <definedName name="_________OM1_2" hidden="1">{#N/A,#N/A,FALSE,"Summary";#N/A,#N/A,FALSE,"SmPlants";#N/A,#N/A,FALSE,"Utah";#N/A,#N/A,FALSE,"Idaho";#N/A,#N/A,FALSE,"Lewis River";#N/A,#N/A,FALSE,"NrthUmpq";#N/A,#N/A,FALSE,"KlamRog"}</definedName>
    <definedName name="_________OM1_3" localSheetId="1" hidden="1">{#N/A,#N/A,FALSE,"Summary";#N/A,#N/A,FALSE,"SmPlants";#N/A,#N/A,FALSE,"Utah";#N/A,#N/A,FALSE,"Idaho";#N/A,#N/A,FALSE,"Lewis River";#N/A,#N/A,FALSE,"NrthUmpq";#N/A,#N/A,FALSE,"KlamRog"}</definedName>
    <definedName name="_________OM1_3" localSheetId="3" hidden="1">{#N/A,#N/A,FALSE,"Summary";#N/A,#N/A,FALSE,"SmPlants";#N/A,#N/A,FALSE,"Utah";#N/A,#N/A,FALSE,"Idaho";#N/A,#N/A,FALSE,"Lewis River";#N/A,#N/A,FALSE,"NrthUmpq";#N/A,#N/A,FALSE,"KlamRog"}</definedName>
    <definedName name="_________OM1_3" localSheetId="4" hidden="1">{#N/A,#N/A,FALSE,"Summary";#N/A,#N/A,FALSE,"SmPlants";#N/A,#N/A,FALSE,"Utah";#N/A,#N/A,FALSE,"Idaho";#N/A,#N/A,FALSE,"Lewis River";#N/A,#N/A,FALSE,"NrthUmpq";#N/A,#N/A,FALSE,"KlamRog"}</definedName>
    <definedName name="_________OM1_3" localSheetId="5" hidden="1">{#N/A,#N/A,FALSE,"Summary";#N/A,#N/A,FALSE,"SmPlants";#N/A,#N/A,FALSE,"Utah";#N/A,#N/A,FALSE,"Idaho";#N/A,#N/A,FALSE,"Lewis River";#N/A,#N/A,FALSE,"NrthUmpq";#N/A,#N/A,FALSE,"KlamRog"}</definedName>
    <definedName name="_________OM1_3" localSheetId="6" hidden="1">{#N/A,#N/A,FALSE,"Summary";#N/A,#N/A,FALSE,"SmPlants";#N/A,#N/A,FALSE,"Utah";#N/A,#N/A,FALSE,"Idaho";#N/A,#N/A,FALSE,"Lewis River";#N/A,#N/A,FALSE,"NrthUmpq";#N/A,#N/A,FALSE,"KlamRog"}</definedName>
    <definedName name="_________OM1_3" localSheetId="7" hidden="1">{#N/A,#N/A,FALSE,"Summary";#N/A,#N/A,FALSE,"SmPlants";#N/A,#N/A,FALSE,"Utah";#N/A,#N/A,FALSE,"Idaho";#N/A,#N/A,FALSE,"Lewis River";#N/A,#N/A,FALSE,"NrthUmpq";#N/A,#N/A,FALSE,"KlamRog"}</definedName>
    <definedName name="_________OM1_3" localSheetId="8" hidden="1">{#N/A,#N/A,FALSE,"Summary";#N/A,#N/A,FALSE,"SmPlants";#N/A,#N/A,FALSE,"Utah";#N/A,#N/A,FALSE,"Idaho";#N/A,#N/A,FALSE,"Lewis River";#N/A,#N/A,FALSE,"NrthUmpq";#N/A,#N/A,FALSE,"KlamRog"}</definedName>
    <definedName name="_________OM1_3" localSheetId="13" hidden="1">{#N/A,#N/A,FALSE,"Summary";#N/A,#N/A,FALSE,"SmPlants";#N/A,#N/A,FALSE,"Utah";#N/A,#N/A,FALSE,"Idaho";#N/A,#N/A,FALSE,"Lewis River";#N/A,#N/A,FALSE,"NrthUmpq";#N/A,#N/A,FALSE,"KlamRog"}</definedName>
    <definedName name="_________OM1_3" localSheetId="0" hidden="1">{#N/A,#N/A,FALSE,"Summary";#N/A,#N/A,FALSE,"SmPlants";#N/A,#N/A,FALSE,"Utah";#N/A,#N/A,FALSE,"Idaho";#N/A,#N/A,FALSE,"Lewis River";#N/A,#N/A,FALSE,"NrthUmpq";#N/A,#N/A,FALSE,"KlamRog"}</definedName>
    <definedName name="_________OM1_3" hidden="1">{#N/A,#N/A,FALSE,"Summary";#N/A,#N/A,FALSE,"SmPlants";#N/A,#N/A,FALSE,"Utah";#N/A,#N/A,FALSE,"Idaho";#N/A,#N/A,FALSE,"Lewis River";#N/A,#N/A,FALSE,"NrthUmpq";#N/A,#N/A,FALSE,"KlamRog"}</definedName>
    <definedName name="_________OM1_4" localSheetId="1" hidden="1">{#N/A,#N/A,FALSE,"Summary";#N/A,#N/A,FALSE,"SmPlants";#N/A,#N/A,FALSE,"Utah";#N/A,#N/A,FALSE,"Idaho";#N/A,#N/A,FALSE,"Lewis River";#N/A,#N/A,FALSE,"NrthUmpq";#N/A,#N/A,FALSE,"KlamRog"}</definedName>
    <definedName name="_________OM1_4" localSheetId="3" hidden="1">{#N/A,#N/A,FALSE,"Summary";#N/A,#N/A,FALSE,"SmPlants";#N/A,#N/A,FALSE,"Utah";#N/A,#N/A,FALSE,"Idaho";#N/A,#N/A,FALSE,"Lewis River";#N/A,#N/A,FALSE,"NrthUmpq";#N/A,#N/A,FALSE,"KlamRog"}</definedName>
    <definedName name="_________OM1_4" localSheetId="4" hidden="1">{#N/A,#N/A,FALSE,"Summary";#N/A,#N/A,FALSE,"SmPlants";#N/A,#N/A,FALSE,"Utah";#N/A,#N/A,FALSE,"Idaho";#N/A,#N/A,FALSE,"Lewis River";#N/A,#N/A,FALSE,"NrthUmpq";#N/A,#N/A,FALSE,"KlamRog"}</definedName>
    <definedName name="_________OM1_4" localSheetId="5" hidden="1">{#N/A,#N/A,FALSE,"Summary";#N/A,#N/A,FALSE,"SmPlants";#N/A,#N/A,FALSE,"Utah";#N/A,#N/A,FALSE,"Idaho";#N/A,#N/A,FALSE,"Lewis River";#N/A,#N/A,FALSE,"NrthUmpq";#N/A,#N/A,FALSE,"KlamRog"}</definedName>
    <definedName name="_________OM1_4" localSheetId="6" hidden="1">{#N/A,#N/A,FALSE,"Summary";#N/A,#N/A,FALSE,"SmPlants";#N/A,#N/A,FALSE,"Utah";#N/A,#N/A,FALSE,"Idaho";#N/A,#N/A,FALSE,"Lewis River";#N/A,#N/A,FALSE,"NrthUmpq";#N/A,#N/A,FALSE,"KlamRog"}</definedName>
    <definedName name="_________OM1_4" localSheetId="7" hidden="1">{#N/A,#N/A,FALSE,"Summary";#N/A,#N/A,FALSE,"SmPlants";#N/A,#N/A,FALSE,"Utah";#N/A,#N/A,FALSE,"Idaho";#N/A,#N/A,FALSE,"Lewis River";#N/A,#N/A,FALSE,"NrthUmpq";#N/A,#N/A,FALSE,"KlamRog"}</definedName>
    <definedName name="_________OM1_4" localSheetId="8" hidden="1">{#N/A,#N/A,FALSE,"Summary";#N/A,#N/A,FALSE,"SmPlants";#N/A,#N/A,FALSE,"Utah";#N/A,#N/A,FALSE,"Idaho";#N/A,#N/A,FALSE,"Lewis River";#N/A,#N/A,FALSE,"NrthUmpq";#N/A,#N/A,FALSE,"KlamRog"}</definedName>
    <definedName name="_________OM1_4" localSheetId="13" hidden="1">{#N/A,#N/A,FALSE,"Summary";#N/A,#N/A,FALSE,"SmPlants";#N/A,#N/A,FALSE,"Utah";#N/A,#N/A,FALSE,"Idaho";#N/A,#N/A,FALSE,"Lewis River";#N/A,#N/A,FALSE,"NrthUmpq";#N/A,#N/A,FALSE,"KlamRog"}</definedName>
    <definedName name="_________OM1_4" localSheetId="0" hidden="1">{#N/A,#N/A,FALSE,"Summary";#N/A,#N/A,FALSE,"SmPlants";#N/A,#N/A,FALSE,"Utah";#N/A,#N/A,FALSE,"Idaho";#N/A,#N/A,FALSE,"Lewis River";#N/A,#N/A,FALSE,"NrthUmpq";#N/A,#N/A,FALSE,"KlamRog"}</definedName>
    <definedName name="_________OM1_4" hidden="1">{#N/A,#N/A,FALSE,"Summary";#N/A,#N/A,FALSE,"SmPlants";#N/A,#N/A,FALSE,"Utah";#N/A,#N/A,FALSE,"Idaho";#N/A,#N/A,FALSE,"Lewis River";#N/A,#N/A,FALSE,"NrthUmpq";#N/A,#N/A,FALSE,"KlamRog"}</definedName>
    <definedName name="_________OM1_5" localSheetId="1" hidden="1">{#N/A,#N/A,FALSE,"Summary";#N/A,#N/A,FALSE,"SmPlants";#N/A,#N/A,FALSE,"Utah";#N/A,#N/A,FALSE,"Idaho";#N/A,#N/A,FALSE,"Lewis River";#N/A,#N/A,FALSE,"NrthUmpq";#N/A,#N/A,FALSE,"KlamRog"}</definedName>
    <definedName name="_________OM1_5" localSheetId="3" hidden="1">{#N/A,#N/A,FALSE,"Summary";#N/A,#N/A,FALSE,"SmPlants";#N/A,#N/A,FALSE,"Utah";#N/A,#N/A,FALSE,"Idaho";#N/A,#N/A,FALSE,"Lewis River";#N/A,#N/A,FALSE,"NrthUmpq";#N/A,#N/A,FALSE,"KlamRog"}</definedName>
    <definedName name="_________OM1_5" localSheetId="4" hidden="1">{#N/A,#N/A,FALSE,"Summary";#N/A,#N/A,FALSE,"SmPlants";#N/A,#N/A,FALSE,"Utah";#N/A,#N/A,FALSE,"Idaho";#N/A,#N/A,FALSE,"Lewis River";#N/A,#N/A,FALSE,"NrthUmpq";#N/A,#N/A,FALSE,"KlamRog"}</definedName>
    <definedName name="_________OM1_5" localSheetId="5" hidden="1">{#N/A,#N/A,FALSE,"Summary";#N/A,#N/A,FALSE,"SmPlants";#N/A,#N/A,FALSE,"Utah";#N/A,#N/A,FALSE,"Idaho";#N/A,#N/A,FALSE,"Lewis River";#N/A,#N/A,FALSE,"NrthUmpq";#N/A,#N/A,FALSE,"KlamRog"}</definedName>
    <definedName name="_________OM1_5" localSheetId="6" hidden="1">{#N/A,#N/A,FALSE,"Summary";#N/A,#N/A,FALSE,"SmPlants";#N/A,#N/A,FALSE,"Utah";#N/A,#N/A,FALSE,"Idaho";#N/A,#N/A,FALSE,"Lewis River";#N/A,#N/A,FALSE,"NrthUmpq";#N/A,#N/A,FALSE,"KlamRog"}</definedName>
    <definedName name="_________OM1_5" localSheetId="7" hidden="1">{#N/A,#N/A,FALSE,"Summary";#N/A,#N/A,FALSE,"SmPlants";#N/A,#N/A,FALSE,"Utah";#N/A,#N/A,FALSE,"Idaho";#N/A,#N/A,FALSE,"Lewis River";#N/A,#N/A,FALSE,"NrthUmpq";#N/A,#N/A,FALSE,"KlamRog"}</definedName>
    <definedName name="_________OM1_5" localSheetId="8" hidden="1">{#N/A,#N/A,FALSE,"Summary";#N/A,#N/A,FALSE,"SmPlants";#N/A,#N/A,FALSE,"Utah";#N/A,#N/A,FALSE,"Idaho";#N/A,#N/A,FALSE,"Lewis River";#N/A,#N/A,FALSE,"NrthUmpq";#N/A,#N/A,FALSE,"KlamRog"}</definedName>
    <definedName name="_________OM1_5" localSheetId="13" hidden="1">{#N/A,#N/A,FALSE,"Summary";#N/A,#N/A,FALSE,"SmPlants";#N/A,#N/A,FALSE,"Utah";#N/A,#N/A,FALSE,"Idaho";#N/A,#N/A,FALSE,"Lewis River";#N/A,#N/A,FALSE,"NrthUmpq";#N/A,#N/A,FALSE,"KlamRog"}</definedName>
    <definedName name="_________OM1_5" localSheetId="0" hidden="1">{#N/A,#N/A,FALSE,"Summary";#N/A,#N/A,FALSE,"SmPlants";#N/A,#N/A,FALSE,"Utah";#N/A,#N/A,FALSE,"Idaho";#N/A,#N/A,FALSE,"Lewis River";#N/A,#N/A,FALSE,"NrthUmpq";#N/A,#N/A,FALSE,"KlamRog"}</definedName>
    <definedName name="_________OM1_5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localSheetId="5" hidden="1">{#N/A,#N/A,FALSE,"Summary";#N/A,#N/A,FALSE,"SmPlants";#N/A,#N/A,FALSE,"Utah";#N/A,#N/A,FALSE,"Idaho";#N/A,#N/A,FALSE,"Lewis River";#N/A,#N/A,FALSE,"NrthUmpq";#N/A,#N/A,FALSE,"KlamRog"}</definedName>
    <definedName name="_______OM1" localSheetId="6" hidden="1">{#N/A,#N/A,FALSE,"Summary";#N/A,#N/A,FALSE,"SmPlants";#N/A,#N/A,FALSE,"Utah";#N/A,#N/A,FALSE,"Idaho";#N/A,#N/A,FALSE,"Lewis River";#N/A,#N/A,FALSE,"NrthUmpq";#N/A,#N/A,FALSE,"KlamRog"}</definedName>
    <definedName name="_______OM1" localSheetId="7" hidden="1">{#N/A,#N/A,FALSE,"Summary";#N/A,#N/A,FALSE,"SmPlants";#N/A,#N/A,FALSE,"Utah";#N/A,#N/A,FALSE,"Idaho";#N/A,#N/A,FALSE,"Lewis River";#N/A,#N/A,FALSE,"NrthUmpq";#N/A,#N/A,FALSE,"KlamRog"}</definedName>
    <definedName name="_______OM1" localSheetId="8" hidden="1">{#N/A,#N/A,FALSE,"Summary";#N/A,#N/A,FALSE,"SmPlants";#N/A,#N/A,FALSE,"Utah";#N/A,#N/A,FALSE,"Idaho";#N/A,#N/A,FALSE,"Lewis River";#N/A,#N/A,FALSE,"NrthUmpq";#N/A,#N/A,FALSE,"KlamRog"}</definedName>
    <definedName name="_______OM1" localSheetId="13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OM1_1" localSheetId="1" hidden="1">{#N/A,#N/A,FALSE,"Summary";#N/A,#N/A,FALSE,"SmPlants";#N/A,#N/A,FALSE,"Utah";#N/A,#N/A,FALSE,"Idaho";#N/A,#N/A,FALSE,"Lewis River";#N/A,#N/A,FALSE,"NrthUmpq";#N/A,#N/A,FALSE,"KlamRog"}</definedName>
    <definedName name="_______OM1_1" localSheetId="3" hidden="1">{#N/A,#N/A,FALSE,"Summary";#N/A,#N/A,FALSE,"SmPlants";#N/A,#N/A,FALSE,"Utah";#N/A,#N/A,FALSE,"Idaho";#N/A,#N/A,FALSE,"Lewis River";#N/A,#N/A,FALSE,"NrthUmpq";#N/A,#N/A,FALSE,"KlamRog"}</definedName>
    <definedName name="_______OM1_1" localSheetId="4" hidden="1">{#N/A,#N/A,FALSE,"Summary";#N/A,#N/A,FALSE,"SmPlants";#N/A,#N/A,FALSE,"Utah";#N/A,#N/A,FALSE,"Idaho";#N/A,#N/A,FALSE,"Lewis River";#N/A,#N/A,FALSE,"NrthUmpq";#N/A,#N/A,FALSE,"KlamRog"}</definedName>
    <definedName name="_______OM1_1" localSheetId="5" hidden="1">{#N/A,#N/A,FALSE,"Summary";#N/A,#N/A,FALSE,"SmPlants";#N/A,#N/A,FALSE,"Utah";#N/A,#N/A,FALSE,"Idaho";#N/A,#N/A,FALSE,"Lewis River";#N/A,#N/A,FALSE,"NrthUmpq";#N/A,#N/A,FALSE,"KlamRog"}</definedName>
    <definedName name="_______OM1_1" localSheetId="6" hidden="1">{#N/A,#N/A,FALSE,"Summary";#N/A,#N/A,FALSE,"SmPlants";#N/A,#N/A,FALSE,"Utah";#N/A,#N/A,FALSE,"Idaho";#N/A,#N/A,FALSE,"Lewis River";#N/A,#N/A,FALSE,"NrthUmpq";#N/A,#N/A,FALSE,"KlamRog"}</definedName>
    <definedName name="_______OM1_1" localSheetId="7" hidden="1">{#N/A,#N/A,FALSE,"Summary";#N/A,#N/A,FALSE,"SmPlants";#N/A,#N/A,FALSE,"Utah";#N/A,#N/A,FALSE,"Idaho";#N/A,#N/A,FALSE,"Lewis River";#N/A,#N/A,FALSE,"NrthUmpq";#N/A,#N/A,FALSE,"KlamRog"}</definedName>
    <definedName name="_______OM1_1" localSheetId="8" hidden="1">{#N/A,#N/A,FALSE,"Summary";#N/A,#N/A,FALSE,"SmPlants";#N/A,#N/A,FALSE,"Utah";#N/A,#N/A,FALSE,"Idaho";#N/A,#N/A,FALSE,"Lewis River";#N/A,#N/A,FALSE,"NrthUmpq";#N/A,#N/A,FALSE,"KlamRog"}</definedName>
    <definedName name="_______OM1_1" localSheetId="13" hidden="1">{#N/A,#N/A,FALSE,"Summary";#N/A,#N/A,FALSE,"SmPlants";#N/A,#N/A,FALSE,"Utah";#N/A,#N/A,FALSE,"Idaho";#N/A,#N/A,FALSE,"Lewis River";#N/A,#N/A,FALSE,"NrthUmpq";#N/A,#N/A,FALSE,"KlamRog"}</definedName>
    <definedName name="_______OM1_1" localSheetId="0" hidden="1">{#N/A,#N/A,FALSE,"Summary";#N/A,#N/A,FALSE,"SmPlants";#N/A,#N/A,FALSE,"Utah";#N/A,#N/A,FALSE,"Idaho";#N/A,#N/A,FALSE,"Lewis River";#N/A,#N/A,FALSE,"NrthUmpq";#N/A,#N/A,FALSE,"KlamRog"}</definedName>
    <definedName name="_______OM1_1" hidden="1">{#N/A,#N/A,FALSE,"Summary";#N/A,#N/A,FALSE,"SmPlants";#N/A,#N/A,FALSE,"Utah";#N/A,#N/A,FALSE,"Idaho";#N/A,#N/A,FALSE,"Lewis River";#N/A,#N/A,FALSE,"NrthUmpq";#N/A,#N/A,FALSE,"KlamRog"}</definedName>
    <definedName name="_______OM1_2" localSheetId="1" hidden="1">{#N/A,#N/A,FALSE,"Summary";#N/A,#N/A,FALSE,"SmPlants";#N/A,#N/A,FALSE,"Utah";#N/A,#N/A,FALSE,"Idaho";#N/A,#N/A,FALSE,"Lewis River";#N/A,#N/A,FALSE,"NrthUmpq";#N/A,#N/A,FALSE,"KlamRog"}</definedName>
    <definedName name="_______OM1_2" localSheetId="3" hidden="1">{#N/A,#N/A,FALSE,"Summary";#N/A,#N/A,FALSE,"SmPlants";#N/A,#N/A,FALSE,"Utah";#N/A,#N/A,FALSE,"Idaho";#N/A,#N/A,FALSE,"Lewis River";#N/A,#N/A,FALSE,"NrthUmpq";#N/A,#N/A,FALSE,"KlamRog"}</definedName>
    <definedName name="_______OM1_2" localSheetId="4" hidden="1">{#N/A,#N/A,FALSE,"Summary";#N/A,#N/A,FALSE,"SmPlants";#N/A,#N/A,FALSE,"Utah";#N/A,#N/A,FALSE,"Idaho";#N/A,#N/A,FALSE,"Lewis River";#N/A,#N/A,FALSE,"NrthUmpq";#N/A,#N/A,FALSE,"KlamRog"}</definedName>
    <definedName name="_______OM1_2" localSheetId="5" hidden="1">{#N/A,#N/A,FALSE,"Summary";#N/A,#N/A,FALSE,"SmPlants";#N/A,#N/A,FALSE,"Utah";#N/A,#N/A,FALSE,"Idaho";#N/A,#N/A,FALSE,"Lewis River";#N/A,#N/A,FALSE,"NrthUmpq";#N/A,#N/A,FALSE,"KlamRog"}</definedName>
    <definedName name="_______OM1_2" localSheetId="6" hidden="1">{#N/A,#N/A,FALSE,"Summary";#N/A,#N/A,FALSE,"SmPlants";#N/A,#N/A,FALSE,"Utah";#N/A,#N/A,FALSE,"Idaho";#N/A,#N/A,FALSE,"Lewis River";#N/A,#N/A,FALSE,"NrthUmpq";#N/A,#N/A,FALSE,"KlamRog"}</definedName>
    <definedName name="_______OM1_2" localSheetId="7" hidden="1">{#N/A,#N/A,FALSE,"Summary";#N/A,#N/A,FALSE,"SmPlants";#N/A,#N/A,FALSE,"Utah";#N/A,#N/A,FALSE,"Idaho";#N/A,#N/A,FALSE,"Lewis River";#N/A,#N/A,FALSE,"NrthUmpq";#N/A,#N/A,FALSE,"KlamRog"}</definedName>
    <definedName name="_______OM1_2" localSheetId="8" hidden="1">{#N/A,#N/A,FALSE,"Summary";#N/A,#N/A,FALSE,"SmPlants";#N/A,#N/A,FALSE,"Utah";#N/A,#N/A,FALSE,"Idaho";#N/A,#N/A,FALSE,"Lewis River";#N/A,#N/A,FALSE,"NrthUmpq";#N/A,#N/A,FALSE,"KlamRog"}</definedName>
    <definedName name="_______OM1_2" localSheetId="13" hidden="1">{#N/A,#N/A,FALSE,"Summary";#N/A,#N/A,FALSE,"SmPlants";#N/A,#N/A,FALSE,"Utah";#N/A,#N/A,FALSE,"Idaho";#N/A,#N/A,FALSE,"Lewis River";#N/A,#N/A,FALSE,"NrthUmpq";#N/A,#N/A,FALSE,"KlamRog"}</definedName>
    <definedName name="_______OM1_2" localSheetId="0" hidden="1">{#N/A,#N/A,FALSE,"Summary";#N/A,#N/A,FALSE,"SmPlants";#N/A,#N/A,FALSE,"Utah";#N/A,#N/A,FALSE,"Idaho";#N/A,#N/A,FALSE,"Lewis River";#N/A,#N/A,FALSE,"NrthUmpq";#N/A,#N/A,FALSE,"KlamRog"}</definedName>
    <definedName name="_______OM1_2" hidden="1">{#N/A,#N/A,FALSE,"Summary";#N/A,#N/A,FALSE,"SmPlants";#N/A,#N/A,FALSE,"Utah";#N/A,#N/A,FALSE,"Idaho";#N/A,#N/A,FALSE,"Lewis River";#N/A,#N/A,FALSE,"NrthUmpq";#N/A,#N/A,FALSE,"KlamRog"}</definedName>
    <definedName name="_______OM1_3" localSheetId="1" hidden="1">{#N/A,#N/A,FALSE,"Summary";#N/A,#N/A,FALSE,"SmPlants";#N/A,#N/A,FALSE,"Utah";#N/A,#N/A,FALSE,"Idaho";#N/A,#N/A,FALSE,"Lewis River";#N/A,#N/A,FALSE,"NrthUmpq";#N/A,#N/A,FALSE,"KlamRog"}</definedName>
    <definedName name="_______OM1_3" localSheetId="3" hidden="1">{#N/A,#N/A,FALSE,"Summary";#N/A,#N/A,FALSE,"SmPlants";#N/A,#N/A,FALSE,"Utah";#N/A,#N/A,FALSE,"Idaho";#N/A,#N/A,FALSE,"Lewis River";#N/A,#N/A,FALSE,"NrthUmpq";#N/A,#N/A,FALSE,"KlamRog"}</definedName>
    <definedName name="_______OM1_3" localSheetId="4" hidden="1">{#N/A,#N/A,FALSE,"Summary";#N/A,#N/A,FALSE,"SmPlants";#N/A,#N/A,FALSE,"Utah";#N/A,#N/A,FALSE,"Idaho";#N/A,#N/A,FALSE,"Lewis River";#N/A,#N/A,FALSE,"NrthUmpq";#N/A,#N/A,FALSE,"KlamRog"}</definedName>
    <definedName name="_______OM1_3" localSheetId="5" hidden="1">{#N/A,#N/A,FALSE,"Summary";#N/A,#N/A,FALSE,"SmPlants";#N/A,#N/A,FALSE,"Utah";#N/A,#N/A,FALSE,"Idaho";#N/A,#N/A,FALSE,"Lewis River";#N/A,#N/A,FALSE,"NrthUmpq";#N/A,#N/A,FALSE,"KlamRog"}</definedName>
    <definedName name="_______OM1_3" localSheetId="6" hidden="1">{#N/A,#N/A,FALSE,"Summary";#N/A,#N/A,FALSE,"SmPlants";#N/A,#N/A,FALSE,"Utah";#N/A,#N/A,FALSE,"Idaho";#N/A,#N/A,FALSE,"Lewis River";#N/A,#N/A,FALSE,"NrthUmpq";#N/A,#N/A,FALSE,"KlamRog"}</definedName>
    <definedName name="_______OM1_3" localSheetId="7" hidden="1">{#N/A,#N/A,FALSE,"Summary";#N/A,#N/A,FALSE,"SmPlants";#N/A,#N/A,FALSE,"Utah";#N/A,#N/A,FALSE,"Idaho";#N/A,#N/A,FALSE,"Lewis River";#N/A,#N/A,FALSE,"NrthUmpq";#N/A,#N/A,FALSE,"KlamRog"}</definedName>
    <definedName name="_______OM1_3" localSheetId="8" hidden="1">{#N/A,#N/A,FALSE,"Summary";#N/A,#N/A,FALSE,"SmPlants";#N/A,#N/A,FALSE,"Utah";#N/A,#N/A,FALSE,"Idaho";#N/A,#N/A,FALSE,"Lewis River";#N/A,#N/A,FALSE,"NrthUmpq";#N/A,#N/A,FALSE,"KlamRog"}</definedName>
    <definedName name="_______OM1_3" localSheetId="13" hidden="1">{#N/A,#N/A,FALSE,"Summary";#N/A,#N/A,FALSE,"SmPlants";#N/A,#N/A,FALSE,"Utah";#N/A,#N/A,FALSE,"Idaho";#N/A,#N/A,FALSE,"Lewis River";#N/A,#N/A,FALSE,"NrthUmpq";#N/A,#N/A,FALSE,"KlamRog"}</definedName>
    <definedName name="_______OM1_3" localSheetId="0" hidden="1">{#N/A,#N/A,FALSE,"Summary";#N/A,#N/A,FALSE,"SmPlants";#N/A,#N/A,FALSE,"Utah";#N/A,#N/A,FALSE,"Idaho";#N/A,#N/A,FALSE,"Lewis River";#N/A,#N/A,FALSE,"NrthUmpq";#N/A,#N/A,FALSE,"KlamRog"}</definedName>
    <definedName name="_______OM1_3" hidden="1">{#N/A,#N/A,FALSE,"Summary";#N/A,#N/A,FALSE,"SmPlants";#N/A,#N/A,FALSE,"Utah";#N/A,#N/A,FALSE,"Idaho";#N/A,#N/A,FALSE,"Lewis River";#N/A,#N/A,FALSE,"NrthUmpq";#N/A,#N/A,FALSE,"KlamRog"}</definedName>
    <definedName name="_______OM1_4" localSheetId="1" hidden="1">{#N/A,#N/A,FALSE,"Summary";#N/A,#N/A,FALSE,"SmPlants";#N/A,#N/A,FALSE,"Utah";#N/A,#N/A,FALSE,"Idaho";#N/A,#N/A,FALSE,"Lewis River";#N/A,#N/A,FALSE,"NrthUmpq";#N/A,#N/A,FALSE,"KlamRog"}</definedName>
    <definedName name="_______OM1_4" localSheetId="3" hidden="1">{#N/A,#N/A,FALSE,"Summary";#N/A,#N/A,FALSE,"SmPlants";#N/A,#N/A,FALSE,"Utah";#N/A,#N/A,FALSE,"Idaho";#N/A,#N/A,FALSE,"Lewis River";#N/A,#N/A,FALSE,"NrthUmpq";#N/A,#N/A,FALSE,"KlamRog"}</definedName>
    <definedName name="_______OM1_4" localSheetId="4" hidden="1">{#N/A,#N/A,FALSE,"Summary";#N/A,#N/A,FALSE,"SmPlants";#N/A,#N/A,FALSE,"Utah";#N/A,#N/A,FALSE,"Idaho";#N/A,#N/A,FALSE,"Lewis River";#N/A,#N/A,FALSE,"NrthUmpq";#N/A,#N/A,FALSE,"KlamRog"}</definedName>
    <definedName name="_______OM1_4" localSheetId="5" hidden="1">{#N/A,#N/A,FALSE,"Summary";#N/A,#N/A,FALSE,"SmPlants";#N/A,#N/A,FALSE,"Utah";#N/A,#N/A,FALSE,"Idaho";#N/A,#N/A,FALSE,"Lewis River";#N/A,#N/A,FALSE,"NrthUmpq";#N/A,#N/A,FALSE,"KlamRog"}</definedName>
    <definedName name="_______OM1_4" localSheetId="6" hidden="1">{#N/A,#N/A,FALSE,"Summary";#N/A,#N/A,FALSE,"SmPlants";#N/A,#N/A,FALSE,"Utah";#N/A,#N/A,FALSE,"Idaho";#N/A,#N/A,FALSE,"Lewis River";#N/A,#N/A,FALSE,"NrthUmpq";#N/A,#N/A,FALSE,"KlamRog"}</definedName>
    <definedName name="_______OM1_4" localSheetId="7" hidden="1">{#N/A,#N/A,FALSE,"Summary";#N/A,#N/A,FALSE,"SmPlants";#N/A,#N/A,FALSE,"Utah";#N/A,#N/A,FALSE,"Idaho";#N/A,#N/A,FALSE,"Lewis River";#N/A,#N/A,FALSE,"NrthUmpq";#N/A,#N/A,FALSE,"KlamRog"}</definedName>
    <definedName name="_______OM1_4" localSheetId="8" hidden="1">{#N/A,#N/A,FALSE,"Summary";#N/A,#N/A,FALSE,"SmPlants";#N/A,#N/A,FALSE,"Utah";#N/A,#N/A,FALSE,"Idaho";#N/A,#N/A,FALSE,"Lewis River";#N/A,#N/A,FALSE,"NrthUmpq";#N/A,#N/A,FALSE,"KlamRog"}</definedName>
    <definedName name="_______OM1_4" localSheetId="13" hidden="1">{#N/A,#N/A,FALSE,"Summary";#N/A,#N/A,FALSE,"SmPlants";#N/A,#N/A,FALSE,"Utah";#N/A,#N/A,FALSE,"Idaho";#N/A,#N/A,FALSE,"Lewis River";#N/A,#N/A,FALSE,"NrthUmpq";#N/A,#N/A,FALSE,"KlamRog"}</definedName>
    <definedName name="_______OM1_4" localSheetId="0" hidden="1">{#N/A,#N/A,FALSE,"Summary";#N/A,#N/A,FALSE,"SmPlants";#N/A,#N/A,FALSE,"Utah";#N/A,#N/A,FALSE,"Idaho";#N/A,#N/A,FALSE,"Lewis River";#N/A,#N/A,FALSE,"NrthUmpq";#N/A,#N/A,FALSE,"KlamRog"}</definedName>
    <definedName name="_______OM1_4" hidden="1">{#N/A,#N/A,FALSE,"Summary";#N/A,#N/A,FALSE,"SmPlants";#N/A,#N/A,FALSE,"Utah";#N/A,#N/A,FALSE,"Idaho";#N/A,#N/A,FALSE,"Lewis River";#N/A,#N/A,FALSE,"NrthUmpq";#N/A,#N/A,FALSE,"KlamRog"}</definedName>
    <definedName name="_______OM1_5" localSheetId="1" hidden="1">{#N/A,#N/A,FALSE,"Summary";#N/A,#N/A,FALSE,"SmPlants";#N/A,#N/A,FALSE,"Utah";#N/A,#N/A,FALSE,"Idaho";#N/A,#N/A,FALSE,"Lewis River";#N/A,#N/A,FALSE,"NrthUmpq";#N/A,#N/A,FALSE,"KlamRog"}</definedName>
    <definedName name="_______OM1_5" localSheetId="3" hidden="1">{#N/A,#N/A,FALSE,"Summary";#N/A,#N/A,FALSE,"SmPlants";#N/A,#N/A,FALSE,"Utah";#N/A,#N/A,FALSE,"Idaho";#N/A,#N/A,FALSE,"Lewis River";#N/A,#N/A,FALSE,"NrthUmpq";#N/A,#N/A,FALSE,"KlamRog"}</definedName>
    <definedName name="_______OM1_5" localSheetId="4" hidden="1">{#N/A,#N/A,FALSE,"Summary";#N/A,#N/A,FALSE,"SmPlants";#N/A,#N/A,FALSE,"Utah";#N/A,#N/A,FALSE,"Idaho";#N/A,#N/A,FALSE,"Lewis River";#N/A,#N/A,FALSE,"NrthUmpq";#N/A,#N/A,FALSE,"KlamRog"}</definedName>
    <definedName name="_______OM1_5" localSheetId="5" hidden="1">{#N/A,#N/A,FALSE,"Summary";#N/A,#N/A,FALSE,"SmPlants";#N/A,#N/A,FALSE,"Utah";#N/A,#N/A,FALSE,"Idaho";#N/A,#N/A,FALSE,"Lewis River";#N/A,#N/A,FALSE,"NrthUmpq";#N/A,#N/A,FALSE,"KlamRog"}</definedName>
    <definedName name="_______OM1_5" localSheetId="6" hidden="1">{#N/A,#N/A,FALSE,"Summary";#N/A,#N/A,FALSE,"SmPlants";#N/A,#N/A,FALSE,"Utah";#N/A,#N/A,FALSE,"Idaho";#N/A,#N/A,FALSE,"Lewis River";#N/A,#N/A,FALSE,"NrthUmpq";#N/A,#N/A,FALSE,"KlamRog"}</definedName>
    <definedName name="_______OM1_5" localSheetId="7" hidden="1">{#N/A,#N/A,FALSE,"Summary";#N/A,#N/A,FALSE,"SmPlants";#N/A,#N/A,FALSE,"Utah";#N/A,#N/A,FALSE,"Idaho";#N/A,#N/A,FALSE,"Lewis River";#N/A,#N/A,FALSE,"NrthUmpq";#N/A,#N/A,FALSE,"KlamRog"}</definedName>
    <definedName name="_______OM1_5" localSheetId="8" hidden="1">{#N/A,#N/A,FALSE,"Summary";#N/A,#N/A,FALSE,"SmPlants";#N/A,#N/A,FALSE,"Utah";#N/A,#N/A,FALSE,"Idaho";#N/A,#N/A,FALSE,"Lewis River";#N/A,#N/A,FALSE,"NrthUmpq";#N/A,#N/A,FALSE,"KlamRog"}</definedName>
    <definedName name="_______OM1_5" localSheetId="13" hidden="1">{#N/A,#N/A,FALSE,"Summary";#N/A,#N/A,FALSE,"SmPlants";#N/A,#N/A,FALSE,"Utah";#N/A,#N/A,FALSE,"Idaho";#N/A,#N/A,FALSE,"Lewis River";#N/A,#N/A,FALSE,"NrthUmpq";#N/A,#N/A,FALSE,"KlamRog"}</definedName>
    <definedName name="_______OM1_5" localSheetId="0" hidden="1">{#N/A,#N/A,FALSE,"Summary";#N/A,#N/A,FALSE,"SmPlants";#N/A,#N/A,FALSE,"Utah";#N/A,#N/A,FALSE,"Idaho";#N/A,#N/A,FALSE,"Lewis River";#N/A,#N/A,FALSE,"NrthUmpq";#N/A,#N/A,FALSE,"KlamRog"}</definedName>
    <definedName name="_______OM1_5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localSheetId="5" hidden="1">{#N/A,#N/A,FALSE,"Summary";#N/A,#N/A,FALSE,"SmPlants";#N/A,#N/A,FALSE,"Utah";#N/A,#N/A,FALSE,"Idaho";#N/A,#N/A,FALSE,"Lewis River";#N/A,#N/A,FALSE,"NrthUmpq";#N/A,#N/A,FALSE,"KlamRog"}</definedName>
    <definedName name="_____OM1" localSheetId="6" hidden="1">{#N/A,#N/A,FALSE,"Summary";#N/A,#N/A,FALSE,"SmPlants";#N/A,#N/A,FALSE,"Utah";#N/A,#N/A,FALSE,"Idaho";#N/A,#N/A,FALSE,"Lewis River";#N/A,#N/A,FALSE,"NrthUmpq";#N/A,#N/A,FALSE,"KlamRog"}</definedName>
    <definedName name="_____OM1" localSheetId="7" hidden="1">{#N/A,#N/A,FALSE,"Summary";#N/A,#N/A,FALSE,"SmPlants";#N/A,#N/A,FALSE,"Utah";#N/A,#N/A,FALSE,"Idaho";#N/A,#N/A,FALSE,"Lewis River";#N/A,#N/A,FALSE,"NrthUmpq";#N/A,#N/A,FALSE,"KlamRog"}</definedName>
    <definedName name="_____OM1" localSheetId="8" hidden="1">{#N/A,#N/A,FALSE,"Summary";#N/A,#N/A,FALSE,"SmPlants";#N/A,#N/A,FALSE,"Utah";#N/A,#N/A,FALSE,"Idaho";#N/A,#N/A,FALSE,"Lewis River";#N/A,#N/A,FALSE,"NrthUmpq";#N/A,#N/A,FALSE,"KlamRog"}</definedName>
    <definedName name="_____OM1" localSheetId="13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OM1_1" localSheetId="1" hidden="1">{#N/A,#N/A,FALSE,"Summary";#N/A,#N/A,FALSE,"SmPlants";#N/A,#N/A,FALSE,"Utah";#N/A,#N/A,FALSE,"Idaho";#N/A,#N/A,FALSE,"Lewis River";#N/A,#N/A,FALSE,"NrthUmpq";#N/A,#N/A,FALSE,"KlamRog"}</definedName>
    <definedName name="_____OM1_1" localSheetId="3" hidden="1">{#N/A,#N/A,FALSE,"Summary";#N/A,#N/A,FALSE,"SmPlants";#N/A,#N/A,FALSE,"Utah";#N/A,#N/A,FALSE,"Idaho";#N/A,#N/A,FALSE,"Lewis River";#N/A,#N/A,FALSE,"NrthUmpq";#N/A,#N/A,FALSE,"KlamRog"}</definedName>
    <definedName name="_____OM1_1" localSheetId="4" hidden="1">{#N/A,#N/A,FALSE,"Summary";#N/A,#N/A,FALSE,"SmPlants";#N/A,#N/A,FALSE,"Utah";#N/A,#N/A,FALSE,"Idaho";#N/A,#N/A,FALSE,"Lewis River";#N/A,#N/A,FALSE,"NrthUmpq";#N/A,#N/A,FALSE,"KlamRog"}</definedName>
    <definedName name="_____OM1_1" localSheetId="5" hidden="1">{#N/A,#N/A,FALSE,"Summary";#N/A,#N/A,FALSE,"SmPlants";#N/A,#N/A,FALSE,"Utah";#N/A,#N/A,FALSE,"Idaho";#N/A,#N/A,FALSE,"Lewis River";#N/A,#N/A,FALSE,"NrthUmpq";#N/A,#N/A,FALSE,"KlamRog"}</definedName>
    <definedName name="_____OM1_1" localSheetId="6" hidden="1">{#N/A,#N/A,FALSE,"Summary";#N/A,#N/A,FALSE,"SmPlants";#N/A,#N/A,FALSE,"Utah";#N/A,#N/A,FALSE,"Idaho";#N/A,#N/A,FALSE,"Lewis River";#N/A,#N/A,FALSE,"NrthUmpq";#N/A,#N/A,FALSE,"KlamRog"}</definedName>
    <definedName name="_____OM1_1" localSheetId="7" hidden="1">{#N/A,#N/A,FALSE,"Summary";#N/A,#N/A,FALSE,"SmPlants";#N/A,#N/A,FALSE,"Utah";#N/A,#N/A,FALSE,"Idaho";#N/A,#N/A,FALSE,"Lewis River";#N/A,#N/A,FALSE,"NrthUmpq";#N/A,#N/A,FALSE,"KlamRog"}</definedName>
    <definedName name="_____OM1_1" localSheetId="8" hidden="1">{#N/A,#N/A,FALSE,"Summary";#N/A,#N/A,FALSE,"SmPlants";#N/A,#N/A,FALSE,"Utah";#N/A,#N/A,FALSE,"Idaho";#N/A,#N/A,FALSE,"Lewis River";#N/A,#N/A,FALSE,"NrthUmpq";#N/A,#N/A,FALSE,"KlamRog"}</definedName>
    <definedName name="_____OM1_1" localSheetId="13" hidden="1">{#N/A,#N/A,FALSE,"Summary";#N/A,#N/A,FALSE,"SmPlants";#N/A,#N/A,FALSE,"Utah";#N/A,#N/A,FALSE,"Idaho";#N/A,#N/A,FALSE,"Lewis River";#N/A,#N/A,FALSE,"NrthUmpq";#N/A,#N/A,FALSE,"KlamRog"}</definedName>
    <definedName name="_____OM1_1" localSheetId="0" hidden="1">{#N/A,#N/A,FALSE,"Summary";#N/A,#N/A,FALSE,"SmPlants";#N/A,#N/A,FALSE,"Utah";#N/A,#N/A,FALSE,"Idaho";#N/A,#N/A,FALSE,"Lewis River";#N/A,#N/A,FALSE,"NrthUmpq";#N/A,#N/A,FALSE,"KlamRog"}</definedName>
    <definedName name="_____OM1_1" hidden="1">{#N/A,#N/A,FALSE,"Summary";#N/A,#N/A,FALSE,"SmPlants";#N/A,#N/A,FALSE,"Utah";#N/A,#N/A,FALSE,"Idaho";#N/A,#N/A,FALSE,"Lewis River";#N/A,#N/A,FALSE,"NrthUmpq";#N/A,#N/A,FALSE,"KlamRog"}</definedName>
    <definedName name="_____OM1_2" localSheetId="1" hidden="1">{#N/A,#N/A,FALSE,"Summary";#N/A,#N/A,FALSE,"SmPlants";#N/A,#N/A,FALSE,"Utah";#N/A,#N/A,FALSE,"Idaho";#N/A,#N/A,FALSE,"Lewis River";#N/A,#N/A,FALSE,"NrthUmpq";#N/A,#N/A,FALSE,"KlamRog"}</definedName>
    <definedName name="_____OM1_2" localSheetId="3" hidden="1">{#N/A,#N/A,FALSE,"Summary";#N/A,#N/A,FALSE,"SmPlants";#N/A,#N/A,FALSE,"Utah";#N/A,#N/A,FALSE,"Idaho";#N/A,#N/A,FALSE,"Lewis River";#N/A,#N/A,FALSE,"NrthUmpq";#N/A,#N/A,FALSE,"KlamRog"}</definedName>
    <definedName name="_____OM1_2" localSheetId="4" hidden="1">{#N/A,#N/A,FALSE,"Summary";#N/A,#N/A,FALSE,"SmPlants";#N/A,#N/A,FALSE,"Utah";#N/A,#N/A,FALSE,"Idaho";#N/A,#N/A,FALSE,"Lewis River";#N/A,#N/A,FALSE,"NrthUmpq";#N/A,#N/A,FALSE,"KlamRog"}</definedName>
    <definedName name="_____OM1_2" localSheetId="5" hidden="1">{#N/A,#N/A,FALSE,"Summary";#N/A,#N/A,FALSE,"SmPlants";#N/A,#N/A,FALSE,"Utah";#N/A,#N/A,FALSE,"Idaho";#N/A,#N/A,FALSE,"Lewis River";#N/A,#N/A,FALSE,"NrthUmpq";#N/A,#N/A,FALSE,"KlamRog"}</definedName>
    <definedName name="_____OM1_2" localSheetId="6" hidden="1">{#N/A,#N/A,FALSE,"Summary";#N/A,#N/A,FALSE,"SmPlants";#N/A,#N/A,FALSE,"Utah";#N/A,#N/A,FALSE,"Idaho";#N/A,#N/A,FALSE,"Lewis River";#N/A,#N/A,FALSE,"NrthUmpq";#N/A,#N/A,FALSE,"KlamRog"}</definedName>
    <definedName name="_____OM1_2" localSheetId="7" hidden="1">{#N/A,#N/A,FALSE,"Summary";#N/A,#N/A,FALSE,"SmPlants";#N/A,#N/A,FALSE,"Utah";#N/A,#N/A,FALSE,"Idaho";#N/A,#N/A,FALSE,"Lewis River";#N/A,#N/A,FALSE,"NrthUmpq";#N/A,#N/A,FALSE,"KlamRog"}</definedName>
    <definedName name="_____OM1_2" localSheetId="8" hidden="1">{#N/A,#N/A,FALSE,"Summary";#N/A,#N/A,FALSE,"SmPlants";#N/A,#N/A,FALSE,"Utah";#N/A,#N/A,FALSE,"Idaho";#N/A,#N/A,FALSE,"Lewis River";#N/A,#N/A,FALSE,"NrthUmpq";#N/A,#N/A,FALSE,"KlamRog"}</definedName>
    <definedName name="_____OM1_2" localSheetId="13" hidden="1">{#N/A,#N/A,FALSE,"Summary";#N/A,#N/A,FALSE,"SmPlants";#N/A,#N/A,FALSE,"Utah";#N/A,#N/A,FALSE,"Idaho";#N/A,#N/A,FALSE,"Lewis River";#N/A,#N/A,FALSE,"NrthUmpq";#N/A,#N/A,FALSE,"KlamRog"}</definedName>
    <definedName name="_____OM1_2" localSheetId="0" hidden="1">{#N/A,#N/A,FALSE,"Summary";#N/A,#N/A,FALSE,"SmPlants";#N/A,#N/A,FALSE,"Utah";#N/A,#N/A,FALSE,"Idaho";#N/A,#N/A,FALSE,"Lewis River";#N/A,#N/A,FALSE,"NrthUmpq";#N/A,#N/A,FALSE,"KlamRog"}</definedName>
    <definedName name="_____OM1_2" hidden="1">{#N/A,#N/A,FALSE,"Summary";#N/A,#N/A,FALSE,"SmPlants";#N/A,#N/A,FALSE,"Utah";#N/A,#N/A,FALSE,"Idaho";#N/A,#N/A,FALSE,"Lewis River";#N/A,#N/A,FALSE,"NrthUmpq";#N/A,#N/A,FALSE,"KlamRog"}</definedName>
    <definedName name="_____OM1_3" localSheetId="1" hidden="1">{#N/A,#N/A,FALSE,"Summary";#N/A,#N/A,FALSE,"SmPlants";#N/A,#N/A,FALSE,"Utah";#N/A,#N/A,FALSE,"Idaho";#N/A,#N/A,FALSE,"Lewis River";#N/A,#N/A,FALSE,"NrthUmpq";#N/A,#N/A,FALSE,"KlamRog"}</definedName>
    <definedName name="_____OM1_3" localSheetId="3" hidden="1">{#N/A,#N/A,FALSE,"Summary";#N/A,#N/A,FALSE,"SmPlants";#N/A,#N/A,FALSE,"Utah";#N/A,#N/A,FALSE,"Idaho";#N/A,#N/A,FALSE,"Lewis River";#N/A,#N/A,FALSE,"NrthUmpq";#N/A,#N/A,FALSE,"KlamRog"}</definedName>
    <definedName name="_____OM1_3" localSheetId="4" hidden="1">{#N/A,#N/A,FALSE,"Summary";#N/A,#N/A,FALSE,"SmPlants";#N/A,#N/A,FALSE,"Utah";#N/A,#N/A,FALSE,"Idaho";#N/A,#N/A,FALSE,"Lewis River";#N/A,#N/A,FALSE,"NrthUmpq";#N/A,#N/A,FALSE,"KlamRog"}</definedName>
    <definedName name="_____OM1_3" localSheetId="5" hidden="1">{#N/A,#N/A,FALSE,"Summary";#N/A,#N/A,FALSE,"SmPlants";#N/A,#N/A,FALSE,"Utah";#N/A,#N/A,FALSE,"Idaho";#N/A,#N/A,FALSE,"Lewis River";#N/A,#N/A,FALSE,"NrthUmpq";#N/A,#N/A,FALSE,"KlamRog"}</definedName>
    <definedName name="_____OM1_3" localSheetId="6" hidden="1">{#N/A,#N/A,FALSE,"Summary";#N/A,#N/A,FALSE,"SmPlants";#N/A,#N/A,FALSE,"Utah";#N/A,#N/A,FALSE,"Idaho";#N/A,#N/A,FALSE,"Lewis River";#N/A,#N/A,FALSE,"NrthUmpq";#N/A,#N/A,FALSE,"KlamRog"}</definedName>
    <definedName name="_____OM1_3" localSheetId="7" hidden="1">{#N/A,#N/A,FALSE,"Summary";#N/A,#N/A,FALSE,"SmPlants";#N/A,#N/A,FALSE,"Utah";#N/A,#N/A,FALSE,"Idaho";#N/A,#N/A,FALSE,"Lewis River";#N/A,#N/A,FALSE,"NrthUmpq";#N/A,#N/A,FALSE,"KlamRog"}</definedName>
    <definedName name="_____OM1_3" localSheetId="8" hidden="1">{#N/A,#N/A,FALSE,"Summary";#N/A,#N/A,FALSE,"SmPlants";#N/A,#N/A,FALSE,"Utah";#N/A,#N/A,FALSE,"Idaho";#N/A,#N/A,FALSE,"Lewis River";#N/A,#N/A,FALSE,"NrthUmpq";#N/A,#N/A,FALSE,"KlamRog"}</definedName>
    <definedName name="_____OM1_3" localSheetId="13" hidden="1">{#N/A,#N/A,FALSE,"Summary";#N/A,#N/A,FALSE,"SmPlants";#N/A,#N/A,FALSE,"Utah";#N/A,#N/A,FALSE,"Idaho";#N/A,#N/A,FALSE,"Lewis River";#N/A,#N/A,FALSE,"NrthUmpq";#N/A,#N/A,FALSE,"KlamRog"}</definedName>
    <definedName name="_____OM1_3" localSheetId="0" hidden="1">{#N/A,#N/A,FALSE,"Summary";#N/A,#N/A,FALSE,"SmPlants";#N/A,#N/A,FALSE,"Utah";#N/A,#N/A,FALSE,"Idaho";#N/A,#N/A,FALSE,"Lewis River";#N/A,#N/A,FALSE,"NrthUmpq";#N/A,#N/A,FALSE,"KlamRog"}</definedName>
    <definedName name="_____OM1_3" hidden="1">{#N/A,#N/A,FALSE,"Summary";#N/A,#N/A,FALSE,"SmPlants";#N/A,#N/A,FALSE,"Utah";#N/A,#N/A,FALSE,"Idaho";#N/A,#N/A,FALSE,"Lewis River";#N/A,#N/A,FALSE,"NrthUmpq";#N/A,#N/A,FALSE,"KlamRog"}</definedName>
    <definedName name="_____OM1_4" localSheetId="1" hidden="1">{#N/A,#N/A,FALSE,"Summary";#N/A,#N/A,FALSE,"SmPlants";#N/A,#N/A,FALSE,"Utah";#N/A,#N/A,FALSE,"Idaho";#N/A,#N/A,FALSE,"Lewis River";#N/A,#N/A,FALSE,"NrthUmpq";#N/A,#N/A,FALSE,"KlamRog"}</definedName>
    <definedName name="_____OM1_4" localSheetId="3" hidden="1">{#N/A,#N/A,FALSE,"Summary";#N/A,#N/A,FALSE,"SmPlants";#N/A,#N/A,FALSE,"Utah";#N/A,#N/A,FALSE,"Idaho";#N/A,#N/A,FALSE,"Lewis River";#N/A,#N/A,FALSE,"NrthUmpq";#N/A,#N/A,FALSE,"KlamRog"}</definedName>
    <definedName name="_____OM1_4" localSheetId="4" hidden="1">{#N/A,#N/A,FALSE,"Summary";#N/A,#N/A,FALSE,"SmPlants";#N/A,#N/A,FALSE,"Utah";#N/A,#N/A,FALSE,"Idaho";#N/A,#N/A,FALSE,"Lewis River";#N/A,#N/A,FALSE,"NrthUmpq";#N/A,#N/A,FALSE,"KlamRog"}</definedName>
    <definedName name="_____OM1_4" localSheetId="5" hidden="1">{#N/A,#N/A,FALSE,"Summary";#N/A,#N/A,FALSE,"SmPlants";#N/A,#N/A,FALSE,"Utah";#N/A,#N/A,FALSE,"Idaho";#N/A,#N/A,FALSE,"Lewis River";#N/A,#N/A,FALSE,"NrthUmpq";#N/A,#N/A,FALSE,"KlamRog"}</definedName>
    <definedName name="_____OM1_4" localSheetId="6" hidden="1">{#N/A,#N/A,FALSE,"Summary";#N/A,#N/A,FALSE,"SmPlants";#N/A,#N/A,FALSE,"Utah";#N/A,#N/A,FALSE,"Idaho";#N/A,#N/A,FALSE,"Lewis River";#N/A,#N/A,FALSE,"NrthUmpq";#N/A,#N/A,FALSE,"KlamRog"}</definedName>
    <definedName name="_____OM1_4" localSheetId="7" hidden="1">{#N/A,#N/A,FALSE,"Summary";#N/A,#N/A,FALSE,"SmPlants";#N/A,#N/A,FALSE,"Utah";#N/A,#N/A,FALSE,"Idaho";#N/A,#N/A,FALSE,"Lewis River";#N/A,#N/A,FALSE,"NrthUmpq";#N/A,#N/A,FALSE,"KlamRog"}</definedName>
    <definedName name="_____OM1_4" localSheetId="8" hidden="1">{#N/A,#N/A,FALSE,"Summary";#N/A,#N/A,FALSE,"SmPlants";#N/A,#N/A,FALSE,"Utah";#N/A,#N/A,FALSE,"Idaho";#N/A,#N/A,FALSE,"Lewis River";#N/A,#N/A,FALSE,"NrthUmpq";#N/A,#N/A,FALSE,"KlamRog"}</definedName>
    <definedName name="_____OM1_4" localSheetId="13" hidden="1">{#N/A,#N/A,FALSE,"Summary";#N/A,#N/A,FALSE,"SmPlants";#N/A,#N/A,FALSE,"Utah";#N/A,#N/A,FALSE,"Idaho";#N/A,#N/A,FALSE,"Lewis River";#N/A,#N/A,FALSE,"NrthUmpq";#N/A,#N/A,FALSE,"KlamRog"}</definedName>
    <definedName name="_____OM1_4" localSheetId="0" hidden="1">{#N/A,#N/A,FALSE,"Summary";#N/A,#N/A,FALSE,"SmPlants";#N/A,#N/A,FALSE,"Utah";#N/A,#N/A,FALSE,"Idaho";#N/A,#N/A,FALSE,"Lewis River";#N/A,#N/A,FALSE,"NrthUmpq";#N/A,#N/A,FALSE,"KlamRog"}</definedName>
    <definedName name="_____OM1_4" hidden="1">{#N/A,#N/A,FALSE,"Summary";#N/A,#N/A,FALSE,"SmPlants";#N/A,#N/A,FALSE,"Utah";#N/A,#N/A,FALSE,"Idaho";#N/A,#N/A,FALSE,"Lewis River";#N/A,#N/A,FALSE,"NrthUmpq";#N/A,#N/A,FALSE,"KlamRog"}</definedName>
    <definedName name="_____OM1_5" localSheetId="1" hidden="1">{#N/A,#N/A,FALSE,"Summary";#N/A,#N/A,FALSE,"SmPlants";#N/A,#N/A,FALSE,"Utah";#N/A,#N/A,FALSE,"Idaho";#N/A,#N/A,FALSE,"Lewis River";#N/A,#N/A,FALSE,"NrthUmpq";#N/A,#N/A,FALSE,"KlamRog"}</definedName>
    <definedName name="_____OM1_5" localSheetId="3" hidden="1">{#N/A,#N/A,FALSE,"Summary";#N/A,#N/A,FALSE,"SmPlants";#N/A,#N/A,FALSE,"Utah";#N/A,#N/A,FALSE,"Idaho";#N/A,#N/A,FALSE,"Lewis River";#N/A,#N/A,FALSE,"NrthUmpq";#N/A,#N/A,FALSE,"KlamRog"}</definedName>
    <definedName name="_____OM1_5" localSheetId="4" hidden="1">{#N/A,#N/A,FALSE,"Summary";#N/A,#N/A,FALSE,"SmPlants";#N/A,#N/A,FALSE,"Utah";#N/A,#N/A,FALSE,"Idaho";#N/A,#N/A,FALSE,"Lewis River";#N/A,#N/A,FALSE,"NrthUmpq";#N/A,#N/A,FALSE,"KlamRog"}</definedName>
    <definedName name="_____OM1_5" localSheetId="5" hidden="1">{#N/A,#N/A,FALSE,"Summary";#N/A,#N/A,FALSE,"SmPlants";#N/A,#N/A,FALSE,"Utah";#N/A,#N/A,FALSE,"Idaho";#N/A,#N/A,FALSE,"Lewis River";#N/A,#N/A,FALSE,"NrthUmpq";#N/A,#N/A,FALSE,"KlamRog"}</definedName>
    <definedName name="_____OM1_5" localSheetId="6" hidden="1">{#N/A,#N/A,FALSE,"Summary";#N/A,#N/A,FALSE,"SmPlants";#N/A,#N/A,FALSE,"Utah";#N/A,#N/A,FALSE,"Idaho";#N/A,#N/A,FALSE,"Lewis River";#N/A,#N/A,FALSE,"NrthUmpq";#N/A,#N/A,FALSE,"KlamRog"}</definedName>
    <definedName name="_____OM1_5" localSheetId="7" hidden="1">{#N/A,#N/A,FALSE,"Summary";#N/A,#N/A,FALSE,"SmPlants";#N/A,#N/A,FALSE,"Utah";#N/A,#N/A,FALSE,"Idaho";#N/A,#N/A,FALSE,"Lewis River";#N/A,#N/A,FALSE,"NrthUmpq";#N/A,#N/A,FALSE,"KlamRog"}</definedName>
    <definedName name="_____OM1_5" localSheetId="8" hidden="1">{#N/A,#N/A,FALSE,"Summary";#N/A,#N/A,FALSE,"SmPlants";#N/A,#N/A,FALSE,"Utah";#N/A,#N/A,FALSE,"Idaho";#N/A,#N/A,FALSE,"Lewis River";#N/A,#N/A,FALSE,"NrthUmpq";#N/A,#N/A,FALSE,"KlamRog"}</definedName>
    <definedName name="_____OM1_5" localSheetId="13" hidden="1">{#N/A,#N/A,FALSE,"Summary";#N/A,#N/A,FALSE,"SmPlants";#N/A,#N/A,FALSE,"Utah";#N/A,#N/A,FALSE,"Idaho";#N/A,#N/A,FALSE,"Lewis River";#N/A,#N/A,FALSE,"NrthUmpq";#N/A,#N/A,FALSE,"KlamRog"}</definedName>
    <definedName name="_____OM1_5" localSheetId="0" hidden="1">{#N/A,#N/A,FALSE,"Summary";#N/A,#N/A,FALSE,"SmPlants";#N/A,#N/A,FALSE,"Utah";#N/A,#N/A,FALSE,"Idaho";#N/A,#N/A,FALSE,"Lewis River";#N/A,#N/A,FALSE,"NrthUmpq";#N/A,#N/A,FALSE,"KlamRog"}</definedName>
    <definedName name="_____OM1_5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localSheetId="5" hidden="1">{#N/A,#N/A,FALSE,"Summary";#N/A,#N/A,FALSE,"SmPlants";#N/A,#N/A,FALSE,"Utah";#N/A,#N/A,FALSE,"Idaho";#N/A,#N/A,FALSE,"Lewis River";#N/A,#N/A,FALSE,"NrthUmpq";#N/A,#N/A,FALSE,"KlamRog"}</definedName>
    <definedName name="____OM1" localSheetId="6" hidden="1">{#N/A,#N/A,FALSE,"Summary";#N/A,#N/A,FALSE,"SmPlants";#N/A,#N/A,FALSE,"Utah";#N/A,#N/A,FALSE,"Idaho";#N/A,#N/A,FALSE,"Lewis River";#N/A,#N/A,FALSE,"NrthUmpq";#N/A,#N/A,FALSE,"KlamRog"}</definedName>
    <definedName name="____OM1" localSheetId="7" hidden="1">{#N/A,#N/A,FALSE,"Summary";#N/A,#N/A,FALSE,"SmPlants";#N/A,#N/A,FALSE,"Utah";#N/A,#N/A,FALSE,"Idaho";#N/A,#N/A,FALSE,"Lewis River";#N/A,#N/A,FALSE,"NrthUmpq";#N/A,#N/A,FALSE,"KlamRog"}</definedName>
    <definedName name="____OM1" localSheetId="8" hidden="1">{#N/A,#N/A,FALSE,"Summary";#N/A,#N/A,FALSE,"SmPlants";#N/A,#N/A,FALSE,"Utah";#N/A,#N/A,FALSE,"Idaho";#N/A,#N/A,FALSE,"Lewis River";#N/A,#N/A,FALSE,"NrthUmpq";#N/A,#N/A,FALSE,"KlamRog"}</definedName>
    <definedName name="____OM1" localSheetId="13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OM1_1" localSheetId="1" hidden="1">{#N/A,#N/A,FALSE,"Summary";#N/A,#N/A,FALSE,"SmPlants";#N/A,#N/A,FALSE,"Utah";#N/A,#N/A,FALSE,"Idaho";#N/A,#N/A,FALSE,"Lewis River";#N/A,#N/A,FALSE,"NrthUmpq";#N/A,#N/A,FALSE,"KlamRog"}</definedName>
    <definedName name="____OM1_1" localSheetId="3" hidden="1">{#N/A,#N/A,FALSE,"Summary";#N/A,#N/A,FALSE,"SmPlants";#N/A,#N/A,FALSE,"Utah";#N/A,#N/A,FALSE,"Idaho";#N/A,#N/A,FALSE,"Lewis River";#N/A,#N/A,FALSE,"NrthUmpq";#N/A,#N/A,FALSE,"KlamRog"}</definedName>
    <definedName name="____OM1_1" localSheetId="4" hidden="1">{#N/A,#N/A,FALSE,"Summary";#N/A,#N/A,FALSE,"SmPlants";#N/A,#N/A,FALSE,"Utah";#N/A,#N/A,FALSE,"Idaho";#N/A,#N/A,FALSE,"Lewis River";#N/A,#N/A,FALSE,"NrthUmpq";#N/A,#N/A,FALSE,"KlamRog"}</definedName>
    <definedName name="____OM1_1" localSheetId="5" hidden="1">{#N/A,#N/A,FALSE,"Summary";#N/A,#N/A,FALSE,"SmPlants";#N/A,#N/A,FALSE,"Utah";#N/A,#N/A,FALSE,"Idaho";#N/A,#N/A,FALSE,"Lewis River";#N/A,#N/A,FALSE,"NrthUmpq";#N/A,#N/A,FALSE,"KlamRog"}</definedName>
    <definedName name="____OM1_1" localSheetId="6" hidden="1">{#N/A,#N/A,FALSE,"Summary";#N/A,#N/A,FALSE,"SmPlants";#N/A,#N/A,FALSE,"Utah";#N/A,#N/A,FALSE,"Idaho";#N/A,#N/A,FALSE,"Lewis River";#N/A,#N/A,FALSE,"NrthUmpq";#N/A,#N/A,FALSE,"KlamRog"}</definedName>
    <definedName name="____OM1_1" localSheetId="7" hidden="1">{#N/A,#N/A,FALSE,"Summary";#N/A,#N/A,FALSE,"SmPlants";#N/A,#N/A,FALSE,"Utah";#N/A,#N/A,FALSE,"Idaho";#N/A,#N/A,FALSE,"Lewis River";#N/A,#N/A,FALSE,"NrthUmpq";#N/A,#N/A,FALSE,"KlamRog"}</definedName>
    <definedName name="____OM1_1" localSheetId="8" hidden="1">{#N/A,#N/A,FALSE,"Summary";#N/A,#N/A,FALSE,"SmPlants";#N/A,#N/A,FALSE,"Utah";#N/A,#N/A,FALSE,"Idaho";#N/A,#N/A,FALSE,"Lewis River";#N/A,#N/A,FALSE,"NrthUmpq";#N/A,#N/A,FALSE,"KlamRog"}</definedName>
    <definedName name="____OM1_1" localSheetId="13" hidden="1">{#N/A,#N/A,FALSE,"Summary";#N/A,#N/A,FALSE,"SmPlants";#N/A,#N/A,FALSE,"Utah";#N/A,#N/A,FALSE,"Idaho";#N/A,#N/A,FALSE,"Lewis River";#N/A,#N/A,FALSE,"NrthUmpq";#N/A,#N/A,FALSE,"KlamRog"}</definedName>
    <definedName name="____OM1_1" localSheetId="0" hidden="1">{#N/A,#N/A,FALSE,"Summary";#N/A,#N/A,FALSE,"SmPlants";#N/A,#N/A,FALSE,"Utah";#N/A,#N/A,FALSE,"Idaho";#N/A,#N/A,FALSE,"Lewis River";#N/A,#N/A,FALSE,"NrthUmpq";#N/A,#N/A,FALSE,"KlamRog"}</definedName>
    <definedName name="____OM1_1" hidden="1">{#N/A,#N/A,FALSE,"Summary";#N/A,#N/A,FALSE,"SmPlants";#N/A,#N/A,FALSE,"Utah";#N/A,#N/A,FALSE,"Idaho";#N/A,#N/A,FALSE,"Lewis River";#N/A,#N/A,FALSE,"NrthUmpq";#N/A,#N/A,FALSE,"KlamRog"}</definedName>
    <definedName name="____OM1_2" localSheetId="1" hidden="1">{#N/A,#N/A,FALSE,"Summary";#N/A,#N/A,FALSE,"SmPlants";#N/A,#N/A,FALSE,"Utah";#N/A,#N/A,FALSE,"Idaho";#N/A,#N/A,FALSE,"Lewis River";#N/A,#N/A,FALSE,"NrthUmpq";#N/A,#N/A,FALSE,"KlamRog"}</definedName>
    <definedName name="____OM1_2" localSheetId="3" hidden="1">{#N/A,#N/A,FALSE,"Summary";#N/A,#N/A,FALSE,"SmPlants";#N/A,#N/A,FALSE,"Utah";#N/A,#N/A,FALSE,"Idaho";#N/A,#N/A,FALSE,"Lewis River";#N/A,#N/A,FALSE,"NrthUmpq";#N/A,#N/A,FALSE,"KlamRog"}</definedName>
    <definedName name="____OM1_2" localSheetId="4" hidden="1">{#N/A,#N/A,FALSE,"Summary";#N/A,#N/A,FALSE,"SmPlants";#N/A,#N/A,FALSE,"Utah";#N/A,#N/A,FALSE,"Idaho";#N/A,#N/A,FALSE,"Lewis River";#N/A,#N/A,FALSE,"NrthUmpq";#N/A,#N/A,FALSE,"KlamRog"}</definedName>
    <definedName name="____OM1_2" localSheetId="5" hidden="1">{#N/A,#N/A,FALSE,"Summary";#N/A,#N/A,FALSE,"SmPlants";#N/A,#N/A,FALSE,"Utah";#N/A,#N/A,FALSE,"Idaho";#N/A,#N/A,FALSE,"Lewis River";#N/A,#N/A,FALSE,"NrthUmpq";#N/A,#N/A,FALSE,"KlamRog"}</definedName>
    <definedName name="____OM1_2" localSheetId="6" hidden="1">{#N/A,#N/A,FALSE,"Summary";#N/A,#N/A,FALSE,"SmPlants";#N/A,#N/A,FALSE,"Utah";#N/A,#N/A,FALSE,"Idaho";#N/A,#N/A,FALSE,"Lewis River";#N/A,#N/A,FALSE,"NrthUmpq";#N/A,#N/A,FALSE,"KlamRog"}</definedName>
    <definedName name="____OM1_2" localSheetId="7" hidden="1">{#N/A,#N/A,FALSE,"Summary";#N/A,#N/A,FALSE,"SmPlants";#N/A,#N/A,FALSE,"Utah";#N/A,#N/A,FALSE,"Idaho";#N/A,#N/A,FALSE,"Lewis River";#N/A,#N/A,FALSE,"NrthUmpq";#N/A,#N/A,FALSE,"KlamRog"}</definedName>
    <definedName name="____OM1_2" localSheetId="8" hidden="1">{#N/A,#N/A,FALSE,"Summary";#N/A,#N/A,FALSE,"SmPlants";#N/A,#N/A,FALSE,"Utah";#N/A,#N/A,FALSE,"Idaho";#N/A,#N/A,FALSE,"Lewis River";#N/A,#N/A,FALSE,"NrthUmpq";#N/A,#N/A,FALSE,"KlamRog"}</definedName>
    <definedName name="____OM1_2" localSheetId="13" hidden="1">{#N/A,#N/A,FALSE,"Summary";#N/A,#N/A,FALSE,"SmPlants";#N/A,#N/A,FALSE,"Utah";#N/A,#N/A,FALSE,"Idaho";#N/A,#N/A,FALSE,"Lewis River";#N/A,#N/A,FALSE,"NrthUmpq";#N/A,#N/A,FALSE,"KlamRog"}</definedName>
    <definedName name="____OM1_2" localSheetId="0" hidden="1">{#N/A,#N/A,FALSE,"Summary";#N/A,#N/A,FALSE,"SmPlants";#N/A,#N/A,FALSE,"Utah";#N/A,#N/A,FALSE,"Idaho";#N/A,#N/A,FALSE,"Lewis River";#N/A,#N/A,FALSE,"NrthUmpq";#N/A,#N/A,FALSE,"KlamRog"}</definedName>
    <definedName name="____OM1_2" hidden="1">{#N/A,#N/A,FALSE,"Summary";#N/A,#N/A,FALSE,"SmPlants";#N/A,#N/A,FALSE,"Utah";#N/A,#N/A,FALSE,"Idaho";#N/A,#N/A,FALSE,"Lewis River";#N/A,#N/A,FALSE,"NrthUmpq";#N/A,#N/A,FALSE,"KlamRog"}</definedName>
    <definedName name="____OM1_3" localSheetId="1" hidden="1">{#N/A,#N/A,FALSE,"Summary";#N/A,#N/A,FALSE,"SmPlants";#N/A,#N/A,FALSE,"Utah";#N/A,#N/A,FALSE,"Idaho";#N/A,#N/A,FALSE,"Lewis River";#N/A,#N/A,FALSE,"NrthUmpq";#N/A,#N/A,FALSE,"KlamRog"}</definedName>
    <definedName name="____OM1_3" localSheetId="3" hidden="1">{#N/A,#N/A,FALSE,"Summary";#N/A,#N/A,FALSE,"SmPlants";#N/A,#N/A,FALSE,"Utah";#N/A,#N/A,FALSE,"Idaho";#N/A,#N/A,FALSE,"Lewis River";#N/A,#N/A,FALSE,"NrthUmpq";#N/A,#N/A,FALSE,"KlamRog"}</definedName>
    <definedName name="____OM1_3" localSheetId="4" hidden="1">{#N/A,#N/A,FALSE,"Summary";#N/A,#N/A,FALSE,"SmPlants";#N/A,#N/A,FALSE,"Utah";#N/A,#N/A,FALSE,"Idaho";#N/A,#N/A,FALSE,"Lewis River";#N/A,#N/A,FALSE,"NrthUmpq";#N/A,#N/A,FALSE,"KlamRog"}</definedName>
    <definedName name="____OM1_3" localSheetId="5" hidden="1">{#N/A,#N/A,FALSE,"Summary";#N/A,#N/A,FALSE,"SmPlants";#N/A,#N/A,FALSE,"Utah";#N/A,#N/A,FALSE,"Idaho";#N/A,#N/A,FALSE,"Lewis River";#N/A,#N/A,FALSE,"NrthUmpq";#N/A,#N/A,FALSE,"KlamRog"}</definedName>
    <definedName name="____OM1_3" localSheetId="6" hidden="1">{#N/A,#N/A,FALSE,"Summary";#N/A,#N/A,FALSE,"SmPlants";#N/A,#N/A,FALSE,"Utah";#N/A,#N/A,FALSE,"Idaho";#N/A,#N/A,FALSE,"Lewis River";#N/A,#N/A,FALSE,"NrthUmpq";#N/A,#N/A,FALSE,"KlamRog"}</definedName>
    <definedName name="____OM1_3" localSheetId="7" hidden="1">{#N/A,#N/A,FALSE,"Summary";#N/A,#N/A,FALSE,"SmPlants";#N/A,#N/A,FALSE,"Utah";#N/A,#N/A,FALSE,"Idaho";#N/A,#N/A,FALSE,"Lewis River";#N/A,#N/A,FALSE,"NrthUmpq";#N/A,#N/A,FALSE,"KlamRog"}</definedName>
    <definedName name="____OM1_3" localSheetId="8" hidden="1">{#N/A,#N/A,FALSE,"Summary";#N/A,#N/A,FALSE,"SmPlants";#N/A,#N/A,FALSE,"Utah";#N/A,#N/A,FALSE,"Idaho";#N/A,#N/A,FALSE,"Lewis River";#N/A,#N/A,FALSE,"NrthUmpq";#N/A,#N/A,FALSE,"KlamRog"}</definedName>
    <definedName name="____OM1_3" localSheetId="13" hidden="1">{#N/A,#N/A,FALSE,"Summary";#N/A,#N/A,FALSE,"SmPlants";#N/A,#N/A,FALSE,"Utah";#N/A,#N/A,FALSE,"Idaho";#N/A,#N/A,FALSE,"Lewis River";#N/A,#N/A,FALSE,"NrthUmpq";#N/A,#N/A,FALSE,"KlamRog"}</definedName>
    <definedName name="____OM1_3" localSheetId="0" hidden="1">{#N/A,#N/A,FALSE,"Summary";#N/A,#N/A,FALSE,"SmPlants";#N/A,#N/A,FALSE,"Utah";#N/A,#N/A,FALSE,"Idaho";#N/A,#N/A,FALSE,"Lewis River";#N/A,#N/A,FALSE,"NrthUmpq";#N/A,#N/A,FALSE,"KlamRog"}</definedName>
    <definedName name="____OM1_3" hidden="1">{#N/A,#N/A,FALSE,"Summary";#N/A,#N/A,FALSE,"SmPlants";#N/A,#N/A,FALSE,"Utah";#N/A,#N/A,FALSE,"Idaho";#N/A,#N/A,FALSE,"Lewis River";#N/A,#N/A,FALSE,"NrthUmpq";#N/A,#N/A,FALSE,"KlamRog"}</definedName>
    <definedName name="____OM1_4" localSheetId="1" hidden="1">{#N/A,#N/A,FALSE,"Summary";#N/A,#N/A,FALSE,"SmPlants";#N/A,#N/A,FALSE,"Utah";#N/A,#N/A,FALSE,"Idaho";#N/A,#N/A,FALSE,"Lewis River";#N/A,#N/A,FALSE,"NrthUmpq";#N/A,#N/A,FALSE,"KlamRog"}</definedName>
    <definedName name="____OM1_4" localSheetId="3" hidden="1">{#N/A,#N/A,FALSE,"Summary";#N/A,#N/A,FALSE,"SmPlants";#N/A,#N/A,FALSE,"Utah";#N/A,#N/A,FALSE,"Idaho";#N/A,#N/A,FALSE,"Lewis River";#N/A,#N/A,FALSE,"NrthUmpq";#N/A,#N/A,FALSE,"KlamRog"}</definedName>
    <definedName name="____OM1_4" localSheetId="4" hidden="1">{#N/A,#N/A,FALSE,"Summary";#N/A,#N/A,FALSE,"SmPlants";#N/A,#N/A,FALSE,"Utah";#N/A,#N/A,FALSE,"Idaho";#N/A,#N/A,FALSE,"Lewis River";#N/A,#N/A,FALSE,"NrthUmpq";#N/A,#N/A,FALSE,"KlamRog"}</definedName>
    <definedName name="____OM1_4" localSheetId="5" hidden="1">{#N/A,#N/A,FALSE,"Summary";#N/A,#N/A,FALSE,"SmPlants";#N/A,#N/A,FALSE,"Utah";#N/A,#N/A,FALSE,"Idaho";#N/A,#N/A,FALSE,"Lewis River";#N/A,#N/A,FALSE,"NrthUmpq";#N/A,#N/A,FALSE,"KlamRog"}</definedName>
    <definedName name="____OM1_4" localSheetId="6" hidden="1">{#N/A,#N/A,FALSE,"Summary";#N/A,#N/A,FALSE,"SmPlants";#N/A,#N/A,FALSE,"Utah";#N/A,#N/A,FALSE,"Idaho";#N/A,#N/A,FALSE,"Lewis River";#N/A,#N/A,FALSE,"NrthUmpq";#N/A,#N/A,FALSE,"KlamRog"}</definedName>
    <definedName name="____OM1_4" localSheetId="7" hidden="1">{#N/A,#N/A,FALSE,"Summary";#N/A,#N/A,FALSE,"SmPlants";#N/A,#N/A,FALSE,"Utah";#N/A,#N/A,FALSE,"Idaho";#N/A,#N/A,FALSE,"Lewis River";#N/A,#N/A,FALSE,"NrthUmpq";#N/A,#N/A,FALSE,"KlamRog"}</definedName>
    <definedName name="____OM1_4" localSheetId="8" hidden="1">{#N/A,#N/A,FALSE,"Summary";#N/A,#N/A,FALSE,"SmPlants";#N/A,#N/A,FALSE,"Utah";#N/A,#N/A,FALSE,"Idaho";#N/A,#N/A,FALSE,"Lewis River";#N/A,#N/A,FALSE,"NrthUmpq";#N/A,#N/A,FALSE,"KlamRog"}</definedName>
    <definedName name="____OM1_4" localSheetId="13" hidden="1">{#N/A,#N/A,FALSE,"Summary";#N/A,#N/A,FALSE,"SmPlants";#N/A,#N/A,FALSE,"Utah";#N/A,#N/A,FALSE,"Idaho";#N/A,#N/A,FALSE,"Lewis River";#N/A,#N/A,FALSE,"NrthUmpq";#N/A,#N/A,FALSE,"KlamRog"}</definedName>
    <definedName name="____OM1_4" localSheetId="0" hidden="1">{#N/A,#N/A,FALSE,"Summary";#N/A,#N/A,FALSE,"SmPlants";#N/A,#N/A,FALSE,"Utah";#N/A,#N/A,FALSE,"Idaho";#N/A,#N/A,FALSE,"Lewis River";#N/A,#N/A,FALSE,"NrthUmpq";#N/A,#N/A,FALSE,"KlamRog"}</definedName>
    <definedName name="____OM1_4" hidden="1">{#N/A,#N/A,FALSE,"Summary";#N/A,#N/A,FALSE,"SmPlants";#N/A,#N/A,FALSE,"Utah";#N/A,#N/A,FALSE,"Idaho";#N/A,#N/A,FALSE,"Lewis River";#N/A,#N/A,FALSE,"NrthUmpq";#N/A,#N/A,FALSE,"KlamRog"}</definedName>
    <definedName name="____OM1_5" localSheetId="1" hidden="1">{#N/A,#N/A,FALSE,"Summary";#N/A,#N/A,FALSE,"SmPlants";#N/A,#N/A,FALSE,"Utah";#N/A,#N/A,FALSE,"Idaho";#N/A,#N/A,FALSE,"Lewis River";#N/A,#N/A,FALSE,"NrthUmpq";#N/A,#N/A,FALSE,"KlamRog"}</definedName>
    <definedName name="____OM1_5" localSheetId="3" hidden="1">{#N/A,#N/A,FALSE,"Summary";#N/A,#N/A,FALSE,"SmPlants";#N/A,#N/A,FALSE,"Utah";#N/A,#N/A,FALSE,"Idaho";#N/A,#N/A,FALSE,"Lewis River";#N/A,#N/A,FALSE,"NrthUmpq";#N/A,#N/A,FALSE,"KlamRog"}</definedName>
    <definedName name="____OM1_5" localSheetId="4" hidden="1">{#N/A,#N/A,FALSE,"Summary";#N/A,#N/A,FALSE,"SmPlants";#N/A,#N/A,FALSE,"Utah";#N/A,#N/A,FALSE,"Idaho";#N/A,#N/A,FALSE,"Lewis River";#N/A,#N/A,FALSE,"NrthUmpq";#N/A,#N/A,FALSE,"KlamRog"}</definedName>
    <definedName name="____OM1_5" localSheetId="5" hidden="1">{#N/A,#N/A,FALSE,"Summary";#N/A,#N/A,FALSE,"SmPlants";#N/A,#N/A,FALSE,"Utah";#N/A,#N/A,FALSE,"Idaho";#N/A,#N/A,FALSE,"Lewis River";#N/A,#N/A,FALSE,"NrthUmpq";#N/A,#N/A,FALSE,"KlamRog"}</definedName>
    <definedName name="____OM1_5" localSheetId="6" hidden="1">{#N/A,#N/A,FALSE,"Summary";#N/A,#N/A,FALSE,"SmPlants";#N/A,#N/A,FALSE,"Utah";#N/A,#N/A,FALSE,"Idaho";#N/A,#N/A,FALSE,"Lewis River";#N/A,#N/A,FALSE,"NrthUmpq";#N/A,#N/A,FALSE,"KlamRog"}</definedName>
    <definedName name="____OM1_5" localSheetId="7" hidden="1">{#N/A,#N/A,FALSE,"Summary";#N/A,#N/A,FALSE,"SmPlants";#N/A,#N/A,FALSE,"Utah";#N/A,#N/A,FALSE,"Idaho";#N/A,#N/A,FALSE,"Lewis River";#N/A,#N/A,FALSE,"NrthUmpq";#N/A,#N/A,FALSE,"KlamRog"}</definedName>
    <definedName name="____OM1_5" localSheetId="8" hidden="1">{#N/A,#N/A,FALSE,"Summary";#N/A,#N/A,FALSE,"SmPlants";#N/A,#N/A,FALSE,"Utah";#N/A,#N/A,FALSE,"Idaho";#N/A,#N/A,FALSE,"Lewis River";#N/A,#N/A,FALSE,"NrthUmpq";#N/A,#N/A,FALSE,"KlamRog"}</definedName>
    <definedName name="____OM1_5" localSheetId="13" hidden="1">{#N/A,#N/A,FALSE,"Summary";#N/A,#N/A,FALSE,"SmPlants";#N/A,#N/A,FALSE,"Utah";#N/A,#N/A,FALSE,"Idaho";#N/A,#N/A,FALSE,"Lewis River";#N/A,#N/A,FALSE,"NrthUmpq";#N/A,#N/A,FALSE,"KlamRog"}</definedName>
    <definedName name="____OM1_5" localSheetId="0" hidden="1">{#N/A,#N/A,FALSE,"Summary";#N/A,#N/A,FALSE,"SmPlants";#N/A,#N/A,FALSE,"Utah";#N/A,#N/A,FALSE,"Idaho";#N/A,#N/A,FALSE,"Lewis River";#N/A,#N/A,FALSE,"NrthUmpq";#N/A,#N/A,FALSE,"KlamRog"}</definedName>
    <definedName name="____OM1_5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localSheetId="5" hidden="1">{#N/A,#N/A,FALSE,"Summary";#N/A,#N/A,FALSE,"SmPlants";#N/A,#N/A,FALSE,"Utah";#N/A,#N/A,FALSE,"Idaho";#N/A,#N/A,FALSE,"Lewis River";#N/A,#N/A,FALSE,"NrthUmpq";#N/A,#N/A,FALSE,"KlamRog"}</definedName>
    <definedName name="__OM1" localSheetId="6" hidden="1">{#N/A,#N/A,FALSE,"Summary";#N/A,#N/A,FALSE,"SmPlants";#N/A,#N/A,FALSE,"Utah";#N/A,#N/A,FALSE,"Idaho";#N/A,#N/A,FALSE,"Lewis River";#N/A,#N/A,FALSE,"NrthUmpq";#N/A,#N/A,FALSE,"KlamRog"}</definedName>
    <definedName name="__OM1" localSheetId="7" hidden="1">{#N/A,#N/A,FALSE,"Summary";#N/A,#N/A,FALSE,"SmPlants";#N/A,#N/A,FALSE,"Utah";#N/A,#N/A,FALSE,"Idaho";#N/A,#N/A,FALSE,"Lewis River";#N/A,#N/A,FALSE,"NrthUmpq";#N/A,#N/A,FALSE,"KlamRog"}</definedName>
    <definedName name="__OM1" localSheetId="8" hidden="1">{#N/A,#N/A,FALSE,"Summary";#N/A,#N/A,FALSE,"SmPlants";#N/A,#N/A,FALSE,"Utah";#N/A,#N/A,FALSE,"Idaho";#N/A,#N/A,FALSE,"Lewis River";#N/A,#N/A,FALSE,"NrthUmpq";#N/A,#N/A,FALSE,"KlamRog"}</definedName>
    <definedName name="__OM1" localSheetId="13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OM1_1" localSheetId="1" hidden="1">{#N/A,#N/A,FALSE,"Summary";#N/A,#N/A,FALSE,"SmPlants";#N/A,#N/A,FALSE,"Utah";#N/A,#N/A,FALSE,"Idaho";#N/A,#N/A,FALSE,"Lewis River";#N/A,#N/A,FALSE,"NrthUmpq";#N/A,#N/A,FALSE,"KlamRog"}</definedName>
    <definedName name="__OM1_1" localSheetId="3" hidden="1">{#N/A,#N/A,FALSE,"Summary";#N/A,#N/A,FALSE,"SmPlants";#N/A,#N/A,FALSE,"Utah";#N/A,#N/A,FALSE,"Idaho";#N/A,#N/A,FALSE,"Lewis River";#N/A,#N/A,FALSE,"NrthUmpq";#N/A,#N/A,FALSE,"KlamRog"}</definedName>
    <definedName name="__OM1_1" localSheetId="4" hidden="1">{#N/A,#N/A,FALSE,"Summary";#N/A,#N/A,FALSE,"SmPlants";#N/A,#N/A,FALSE,"Utah";#N/A,#N/A,FALSE,"Idaho";#N/A,#N/A,FALSE,"Lewis River";#N/A,#N/A,FALSE,"NrthUmpq";#N/A,#N/A,FALSE,"KlamRog"}</definedName>
    <definedName name="__OM1_1" localSheetId="5" hidden="1">{#N/A,#N/A,FALSE,"Summary";#N/A,#N/A,FALSE,"SmPlants";#N/A,#N/A,FALSE,"Utah";#N/A,#N/A,FALSE,"Idaho";#N/A,#N/A,FALSE,"Lewis River";#N/A,#N/A,FALSE,"NrthUmpq";#N/A,#N/A,FALSE,"KlamRog"}</definedName>
    <definedName name="__OM1_1" localSheetId="6" hidden="1">{#N/A,#N/A,FALSE,"Summary";#N/A,#N/A,FALSE,"SmPlants";#N/A,#N/A,FALSE,"Utah";#N/A,#N/A,FALSE,"Idaho";#N/A,#N/A,FALSE,"Lewis River";#N/A,#N/A,FALSE,"NrthUmpq";#N/A,#N/A,FALSE,"KlamRog"}</definedName>
    <definedName name="__OM1_1" localSheetId="7" hidden="1">{#N/A,#N/A,FALSE,"Summary";#N/A,#N/A,FALSE,"SmPlants";#N/A,#N/A,FALSE,"Utah";#N/A,#N/A,FALSE,"Idaho";#N/A,#N/A,FALSE,"Lewis River";#N/A,#N/A,FALSE,"NrthUmpq";#N/A,#N/A,FALSE,"KlamRog"}</definedName>
    <definedName name="__OM1_1" localSheetId="8" hidden="1">{#N/A,#N/A,FALSE,"Summary";#N/A,#N/A,FALSE,"SmPlants";#N/A,#N/A,FALSE,"Utah";#N/A,#N/A,FALSE,"Idaho";#N/A,#N/A,FALSE,"Lewis River";#N/A,#N/A,FALSE,"NrthUmpq";#N/A,#N/A,FALSE,"KlamRog"}</definedName>
    <definedName name="__OM1_1" localSheetId="13" hidden="1">{#N/A,#N/A,FALSE,"Summary";#N/A,#N/A,FALSE,"SmPlants";#N/A,#N/A,FALSE,"Utah";#N/A,#N/A,FALSE,"Idaho";#N/A,#N/A,FALSE,"Lewis River";#N/A,#N/A,FALSE,"NrthUmpq";#N/A,#N/A,FALSE,"KlamRog"}</definedName>
    <definedName name="__OM1_1" localSheetId="0" hidden="1">{#N/A,#N/A,FALSE,"Summary";#N/A,#N/A,FALSE,"SmPlants";#N/A,#N/A,FALSE,"Utah";#N/A,#N/A,FALSE,"Idaho";#N/A,#N/A,FALSE,"Lewis River";#N/A,#N/A,FALSE,"NrthUmpq";#N/A,#N/A,FALSE,"KlamRog"}</definedName>
    <definedName name="__OM1_1" hidden="1">{#N/A,#N/A,FALSE,"Summary";#N/A,#N/A,FALSE,"SmPlants";#N/A,#N/A,FALSE,"Utah";#N/A,#N/A,FALSE,"Idaho";#N/A,#N/A,FALSE,"Lewis River";#N/A,#N/A,FALSE,"NrthUmpq";#N/A,#N/A,FALSE,"KlamRog"}</definedName>
    <definedName name="__OM1_2" localSheetId="1" hidden="1">{#N/A,#N/A,FALSE,"Summary";#N/A,#N/A,FALSE,"SmPlants";#N/A,#N/A,FALSE,"Utah";#N/A,#N/A,FALSE,"Idaho";#N/A,#N/A,FALSE,"Lewis River";#N/A,#N/A,FALSE,"NrthUmpq";#N/A,#N/A,FALSE,"KlamRog"}</definedName>
    <definedName name="__OM1_2" localSheetId="3" hidden="1">{#N/A,#N/A,FALSE,"Summary";#N/A,#N/A,FALSE,"SmPlants";#N/A,#N/A,FALSE,"Utah";#N/A,#N/A,FALSE,"Idaho";#N/A,#N/A,FALSE,"Lewis River";#N/A,#N/A,FALSE,"NrthUmpq";#N/A,#N/A,FALSE,"KlamRog"}</definedName>
    <definedName name="__OM1_2" localSheetId="4" hidden="1">{#N/A,#N/A,FALSE,"Summary";#N/A,#N/A,FALSE,"SmPlants";#N/A,#N/A,FALSE,"Utah";#N/A,#N/A,FALSE,"Idaho";#N/A,#N/A,FALSE,"Lewis River";#N/A,#N/A,FALSE,"NrthUmpq";#N/A,#N/A,FALSE,"KlamRog"}</definedName>
    <definedName name="__OM1_2" localSheetId="5" hidden="1">{#N/A,#N/A,FALSE,"Summary";#N/A,#N/A,FALSE,"SmPlants";#N/A,#N/A,FALSE,"Utah";#N/A,#N/A,FALSE,"Idaho";#N/A,#N/A,FALSE,"Lewis River";#N/A,#N/A,FALSE,"NrthUmpq";#N/A,#N/A,FALSE,"KlamRog"}</definedName>
    <definedName name="__OM1_2" localSheetId="6" hidden="1">{#N/A,#N/A,FALSE,"Summary";#N/A,#N/A,FALSE,"SmPlants";#N/A,#N/A,FALSE,"Utah";#N/A,#N/A,FALSE,"Idaho";#N/A,#N/A,FALSE,"Lewis River";#N/A,#N/A,FALSE,"NrthUmpq";#N/A,#N/A,FALSE,"KlamRog"}</definedName>
    <definedName name="__OM1_2" localSheetId="7" hidden="1">{#N/A,#N/A,FALSE,"Summary";#N/A,#N/A,FALSE,"SmPlants";#N/A,#N/A,FALSE,"Utah";#N/A,#N/A,FALSE,"Idaho";#N/A,#N/A,FALSE,"Lewis River";#N/A,#N/A,FALSE,"NrthUmpq";#N/A,#N/A,FALSE,"KlamRog"}</definedName>
    <definedName name="__OM1_2" localSheetId="8" hidden="1">{#N/A,#N/A,FALSE,"Summary";#N/A,#N/A,FALSE,"SmPlants";#N/A,#N/A,FALSE,"Utah";#N/A,#N/A,FALSE,"Idaho";#N/A,#N/A,FALSE,"Lewis River";#N/A,#N/A,FALSE,"NrthUmpq";#N/A,#N/A,FALSE,"KlamRog"}</definedName>
    <definedName name="__OM1_2" localSheetId="13" hidden="1">{#N/A,#N/A,FALSE,"Summary";#N/A,#N/A,FALSE,"SmPlants";#N/A,#N/A,FALSE,"Utah";#N/A,#N/A,FALSE,"Idaho";#N/A,#N/A,FALSE,"Lewis River";#N/A,#N/A,FALSE,"NrthUmpq";#N/A,#N/A,FALSE,"KlamRog"}</definedName>
    <definedName name="__OM1_2" localSheetId="0" hidden="1">{#N/A,#N/A,FALSE,"Summary";#N/A,#N/A,FALSE,"SmPlants";#N/A,#N/A,FALSE,"Utah";#N/A,#N/A,FALSE,"Idaho";#N/A,#N/A,FALSE,"Lewis River";#N/A,#N/A,FALSE,"NrthUmpq";#N/A,#N/A,FALSE,"KlamRog"}</definedName>
    <definedName name="__OM1_2" hidden="1">{#N/A,#N/A,FALSE,"Summary";#N/A,#N/A,FALSE,"SmPlants";#N/A,#N/A,FALSE,"Utah";#N/A,#N/A,FALSE,"Idaho";#N/A,#N/A,FALSE,"Lewis River";#N/A,#N/A,FALSE,"NrthUmpq";#N/A,#N/A,FALSE,"KlamRog"}</definedName>
    <definedName name="__OM1_3" localSheetId="1" hidden="1">{#N/A,#N/A,FALSE,"Summary";#N/A,#N/A,FALSE,"SmPlants";#N/A,#N/A,FALSE,"Utah";#N/A,#N/A,FALSE,"Idaho";#N/A,#N/A,FALSE,"Lewis River";#N/A,#N/A,FALSE,"NrthUmpq";#N/A,#N/A,FALSE,"KlamRog"}</definedName>
    <definedName name="__OM1_3" localSheetId="3" hidden="1">{#N/A,#N/A,FALSE,"Summary";#N/A,#N/A,FALSE,"SmPlants";#N/A,#N/A,FALSE,"Utah";#N/A,#N/A,FALSE,"Idaho";#N/A,#N/A,FALSE,"Lewis River";#N/A,#N/A,FALSE,"NrthUmpq";#N/A,#N/A,FALSE,"KlamRog"}</definedName>
    <definedName name="__OM1_3" localSheetId="4" hidden="1">{#N/A,#N/A,FALSE,"Summary";#N/A,#N/A,FALSE,"SmPlants";#N/A,#N/A,FALSE,"Utah";#N/A,#N/A,FALSE,"Idaho";#N/A,#N/A,FALSE,"Lewis River";#N/A,#N/A,FALSE,"NrthUmpq";#N/A,#N/A,FALSE,"KlamRog"}</definedName>
    <definedName name="__OM1_3" localSheetId="5" hidden="1">{#N/A,#N/A,FALSE,"Summary";#N/A,#N/A,FALSE,"SmPlants";#N/A,#N/A,FALSE,"Utah";#N/A,#N/A,FALSE,"Idaho";#N/A,#N/A,FALSE,"Lewis River";#N/A,#N/A,FALSE,"NrthUmpq";#N/A,#N/A,FALSE,"KlamRog"}</definedName>
    <definedName name="__OM1_3" localSheetId="6" hidden="1">{#N/A,#N/A,FALSE,"Summary";#N/A,#N/A,FALSE,"SmPlants";#N/A,#N/A,FALSE,"Utah";#N/A,#N/A,FALSE,"Idaho";#N/A,#N/A,FALSE,"Lewis River";#N/A,#N/A,FALSE,"NrthUmpq";#N/A,#N/A,FALSE,"KlamRog"}</definedName>
    <definedName name="__OM1_3" localSheetId="7" hidden="1">{#N/A,#N/A,FALSE,"Summary";#N/A,#N/A,FALSE,"SmPlants";#N/A,#N/A,FALSE,"Utah";#N/A,#N/A,FALSE,"Idaho";#N/A,#N/A,FALSE,"Lewis River";#N/A,#N/A,FALSE,"NrthUmpq";#N/A,#N/A,FALSE,"KlamRog"}</definedName>
    <definedName name="__OM1_3" localSheetId="8" hidden="1">{#N/A,#N/A,FALSE,"Summary";#N/A,#N/A,FALSE,"SmPlants";#N/A,#N/A,FALSE,"Utah";#N/A,#N/A,FALSE,"Idaho";#N/A,#N/A,FALSE,"Lewis River";#N/A,#N/A,FALSE,"NrthUmpq";#N/A,#N/A,FALSE,"KlamRog"}</definedName>
    <definedName name="__OM1_3" localSheetId="13" hidden="1">{#N/A,#N/A,FALSE,"Summary";#N/A,#N/A,FALSE,"SmPlants";#N/A,#N/A,FALSE,"Utah";#N/A,#N/A,FALSE,"Idaho";#N/A,#N/A,FALSE,"Lewis River";#N/A,#N/A,FALSE,"NrthUmpq";#N/A,#N/A,FALSE,"KlamRog"}</definedName>
    <definedName name="__OM1_3" localSheetId="0" hidden="1">{#N/A,#N/A,FALSE,"Summary";#N/A,#N/A,FALSE,"SmPlants";#N/A,#N/A,FALSE,"Utah";#N/A,#N/A,FALSE,"Idaho";#N/A,#N/A,FALSE,"Lewis River";#N/A,#N/A,FALSE,"NrthUmpq";#N/A,#N/A,FALSE,"KlamRog"}</definedName>
    <definedName name="__OM1_3" hidden="1">{#N/A,#N/A,FALSE,"Summary";#N/A,#N/A,FALSE,"SmPlants";#N/A,#N/A,FALSE,"Utah";#N/A,#N/A,FALSE,"Idaho";#N/A,#N/A,FALSE,"Lewis River";#N/A,#N/A,FALSE,"NrthUmpq";#N/A,#N/A,FALSE,"KlamRog"}</definedName>
    <definedName name="__OM1_4" localSheetId="1" hidden="1">{#N/A,#N/A,FALSE,"Summary";#N/A,#N/A,FALSE,"SmPlants";#N/A,#N/A,FALSE,"Utah";#N/A,#N/A,FALSE,"Idaho";#N/A,#N/A,FALSE,"Lewis River";#N/A,#N/A,FALSE,"NrthUmpq";#N/A,#N/A,FALSE,"KlamRog"}</definedName>
    <definedName name="__OM1_4" localSheetId="3" hidden="1">{#N/A,#N/A,FALSE,"Summary";#N/A,#N/A,FALSE,"SmPlants";#N/A,#N/A,FALSE,"Utah";#N/A,#N/A,FALSE,"Idaho";#N/A,#N/A,FALSE,"Lewis River";#N/A,#N/A,FALSE,"NrthUmpq";#N/A,#N/A,FALSE,"KlamRog"}</definedName>
    <definedName name="__OM1_4" localSheetId="4" hidden="1">{#N/A,#N/A,FALSE,"Summary";#N/A,#N/A,FALSE,"SmPlants";#N/A,#N/A,FALSE,"Utah";#N/A,#N/A,FALSE,"Idaho";#N/A,#N/A,FALSE,"Lewis River";#N/A,#N/A,FALSE,"NrthUmpq";#N/A,#N/A,FALSE,"KlamRog"}</definedName>
    <definedName name="__OM1_4" localSheetId="5" hidden="1">{#N/A,#N/A,FALSE,"Summary";#N/A,#N/A,FALSE,"SmPlants";#N/A,#N/A,FALSE,"Utah";#N/A,#N/A,FALSE,"Idaho";#N/A,#N/A,FALSE,"Lewis River";#N/A,#N/A,FALSE,"NrthUmpq";#N/A,#N/A,FALSE,"KlamRog"}</definedName>
    <definedName name="__OM1_4" localSheetId="6" hidden="1">{#N/A,#N/A,FALSE,"Summary";#N/A,#N/A,FALSE,"SmPlants";#N/A,#N/A,FALSE,"Utah";#N/A,#N/A,FALSE,"Idaho";#N/A,#N/A,FALSE,"Lewis River";#N/A,#N/A,FALSE,"NrthUmpq";#N/A,#N/A,FALSE,"KlamRog"}</definedName>
    <definedName name="__OM1_4" localSheetId="7" hidden="1">{#N/A,#N/A,FALSE,"Summary";#N/A,#N/A,FALSE,"SmPlants";#N/A,#N/A,FALSE,"Utah";#N/A,#N/A,FALSE,"Idaho";#N/A,#N/A,FALSE,"Lewis River";#N/A,#N/A,FALSE,"NrthUmpq";#N/A,#N/A,FALSE,"KlamRog"}</definedName>
    <definedName name="__OM1_4" localSheetId="8" hidden="1">{#N/A,#N/A,FALSE,"Summary";#N/A,#N/A,FALSE,"SmPlants";#N/A,#N/A,FALSE,"Utah";#N/A,#N/A,FALSE,"Idaho";#N/A,#N/A,FALSE,"Lewis River";#N/A,#N/A,FALSE,"NrthUmpq";#N/A,#N/A,FALSE,"KlamRog"}</definedName>
    <definedName name="__OM1_4" localSheetId="13" hidden="1">{#N/A,#N/A,FALSE,"Summary";#N/A,#N/A,FALSE,"SmPlants";#N/A,#N/A,FALSE,"Utah";#N/A,#N/A,FALSE,"Idaho";#N/A,#N/A,FALSE,"Lewis River";#N/A,#N/A,FALSE,"NrthUmpq";#N/A,#N/A,FALSE,"KlamRog"}</definedName>
    <definedName name="__OM1_4" localSheetId="0" hidden="1">{#N/A,#N/A,FALSE,"Summary";#N/A,#N/A,FALSE,"SmPlants";#N/A,#N/A,FALSE,"Utah";#N/A,#N/A,FALSE,"Idaho";#N/A,#N/A,FALSE,"Lewis River";#N/A,#N/A,FALSE,"NrthUmpq";#N/A,#N/A,FALSE,"KlamRog"}</definedName>
    <definedName name="__OM1_4" hidden="1">{#N/A,#N/A,FALSE,"Summary";#N/A,#N/A,FALSE,"SmPlants";#N/A,#N/A,FALSE,"Utah";#N/A,#N/A,FALSE,"Idaho";#N/A,#N/A,FALSE,"Lewis River";#N/A,#N/A,FALSE,"NrthUmpq";#N/A,#N/A,FALSE,"KlamRog"}</definedName>
    <definedName name="__OM1_5" localSheetId="1" hidden="1">{#N/A,#N/A,FALSE,"Summary";#N/A,#N/A,FALSE,"SmPlants";#N/A,#N/A,FALSE,"Utah";#N/A,#N/A,FALSE,"Idaho";#N/A,#N/A,FALSE,"Lewis River";#N/A,#N/A,FALSE,"NrthUmpq";#N/A,#N/A,FALSE,"KlamRog"}</definedName>
    <definedName name="__OM1_5" localSheetId="3" hidden="1">{#N/A,#N/A,FALSE,"Summary";#N/A,#N/A,FALSE,"SmPlants";#N/A,#N/A,FALSE,"Utah";#N/A,#N/A,FALSE,"Idaho";#N/A,#N/A,FALSE,"Lewis River";#N/A,#N/A,FALSE,"NrthUmpq";#N/A,#N/A,FALSE,"KlamRog"}</definedName>
    <definedName name="__OM1_5" localSheetId="4" hidden="1">{#N/A,#N/A,FALSE,"Summary";#N/A,#N/A,FALSE,"SmPlants";#N/A,#N/A,FALSE,"Utah";#N/A,#N/A,FALSE,"Idaho";#N/A,#N/A,FALSE,"Lewis River";#N/A,#N/A,FALSE,"NrthUmpq";#N/A,#N/A,FALSE,"KlamRog"}</definedName>
    <definedName name="__OM1_5" localSheetId="5" hidden="1">{#N/A,#N/A,FALSE,"Summary";#N/A,#N/A,FALSE,"SmPlants";#N/A,#N/A,FALSE,"Utah";#N/A,#N/A,FALSE,"Idaho";#N/A,#N/A,FALSE,"Lewis River";#N/A,#N/A,FALSE,"NrthUmpq";#N/A,#N/A,FALSE,"KlamRog"}</definedName>
    <definedName name="__OM1_5" localSheetId="6" hidden="1">{#N/A,#N/A,FALSE,"Summary";#N/A,#N/A,FALSE,"SmPlants";#N/A,#N/A,FALSE,"Utah";#N/A,#N/A,FALSE,"Idaho";#N/A,#N/A,FALSE,"Lewis River";#N/A,#N/A,FALSE,"NrthUmpq";#N/A,#N/A,FALSE,"KlamRog"}</definedName>
    <definedName name="__OM1_5" localSheetId="7" hidden="1">{#N/A,#N/A,FALSE,"Summary";#N/A,#N/A,FALSE,"SmPlants";#N/A,#N/A,FALSE,"Utah";#N/A,#N/A,FALSE,"Idaho";#N/A,#N/A,FALSE,"Lewis River";#N/A,#N/A,FALSE,"NrthUmpq";#N/A,#N/A,FALSE,"KlamRog"}</definedName>
    <definedName name="__OM1_5" localSheetId="8" hidden="1">{#N/A,#N/A,FALSE,"Summary";#N/A,#N/A,FALSE,"SmPlants";#N/A,#N/A,FALSE,"Utah";#N/A,#N/A,FALSE,"Idaho";#N/A,#N/A,FALSE,"Lewis River";#N/A,#N/A,FALSE,"NrthUmpq";#N/A,#N/A,FALSE,"KlamRog"}</definedName>
    <definedName name="__OM1_5" localSheetId="13" hidden="1">{#N/A,#N/A,FALSE,"Summary";#N/A,#N/A,FALSE,"SmPlants";#N/A,#N/A,FALSE,"Utah";#N/A,#N/A,FALSE,"Idaho";#N/A,#N/A,FALSE,"Lewis River";#N/A,#N/A,FALSE,"NrthUmpq";#N/A,#N/A,FALSE,"KlamRog"}</definedName>
    <definedName name="__OM1_5" localSheetId="0" hidden="1">{#N/A,#N/A,FALSE,"Summary";#N/A,#N/A,FALSE,"SmPlants";#N/A,#N/A,FALSE,"Utah";#N/A,#N/A,FALSE,"Idaho";#N/A,#N/A,FALSE,"Lewis River";#N/A,#N/A,FALSE,"NrthUmpq";#N/A,#N/A,FALSE,"KlamRog"}</definedName>
    <definedName name="__OM1_5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localSheetId="5" hidden="1">{#N/A,#N/A,FALSE,"Summary";#N/A,#N/A,FALSE,"SmPlants";#N/A,#N/A,FALSE,"Utah";#N/A,#N/A,FALSE,"Idaho";#N/A,#N/A,FALSE,"Lewis River";#N/A,#N/A,FALSE,"NrthUmpq";#N/A,#N/A,FALSE,"KlamRog"}</definedName>
    <definedName name="_OM1" localSheetId="6" hidden="1">{#N/A,#N/A,FALSE,"Summary";#N/A,#N/A,FALSE,"SmPlants";#N/A,#N/A,FALSE,"Utah";#N/A,#N/A,FALSE,"Idaho";#N/A,#N/A,FALSE,"Lewis River";#N/A,#N/A,FALSE,"NrthUmpq";#N/A,#N/A,FALSE,"KlamRog"}</definedName>
    <definedName name="_OM1" localSheetId="7" hidden="1">{#N/A,#N/A,FALSE,"Summary";#N/A,#N/A,FALSE,"SmPlants";#N/A,#N/A,FALSE,"Utah";#N/A,#N/A,FALSE,"Idaho";#N/A,#N/A,FALSE,"Lewis River";#N/A,#N/A,FALSE,"NrthUmpq";#N/A,#N/A,FALSE,"KlamRog"}</definedName>
    <definedName name="_OM1" localSheetId="8" hidden="1">{#N/A,#N/A,FALSE,"Summary";#N/A,#N/A,FALSE,"SmPlants";#N/A,#N/A,FALSE,"Utah";#N/A,#N/A,FALSE,"Idaho";#N/A,#N/A,FALSE,"Lewis River";#N/A,#N/A,FALSE,"NrthUmpq";#N/A,#N/A,FALSE,"KlamRog"}</definedName>
    <definedName name="_OM1" localSheetId="13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M1_1" localSheetId="1" hidden="1">{#N/A,#N/A,FALSE,"Summary";#N/A,#N/A,FALSE,"SmPlants";#N/A,#N/A,FALSE,"Utah";#N/A,#N/A,FALSE,"Idaho";#N/A,#N/A,FALSE,"Lewis River";#N/A,#N/A,FALSE,"NrthUmpq";#N/A,#N/A,FALSE,"KlamRog"}</definedName>
    <definedName name="_OM1_1" localSheetId="3" hidden="1">{#N/A,#N/A,FALSE,"Summary";#N/A,#N/A,FALSE,"SmPlants";#N/A,#N/A,FALSE,"Utah";#N/A,#N/A,FALSE,"Idaho";#N/A,#N/A,FALSE,"Lewis River";#N/A,#N/A,FALSE,"NrthUmpq";#N/A,#N/A,FALSE,"KlamRog"}</definedName>
    <definedName name="_OM1_1" localSheetId="4" hidden="1">{#N/A,#N/A,FALSE,"Summary";#N/A,#N/A,FALSE,"SmPlants";#N/A,#N/A,FALSE,"Utah";#N/A,#N/A,FALSE,"Idaho";#N/A,#N/A,FALSE,"Lewis River";#N/A,#N/A,FALSE,"NrthUmpq";#N/A,#N/A,FALSE,"KlamRog"}</definedName>
    <definedName name="_OM1_1" localSheetId="5" hidden="1">{#N/A,#N/A,FALSE,"Summary";#N/A,#N/A,FALSE,"SmPlants";#N/A,#N/A,FALSE,"Utah";#N/A,#N/A,FALSE,"Idaho";#N/A,#N/A,FALSE,"Lewis River";#N/A,#N/A,FALSE,"NrthUmpq";#N/A,#N/A,FALSE,"KlamRog"}</definedName>
    <definedName name="_OM1_1" localSheetId="6" hidden="1">{#N/A,#N/A,FALSE,"Summary";#N/A,#N/A,FALSE,"SmPlants";#N/A,#N/A,FALSE,"Utah";#N/A,#N/A,FALSE,"Idaho";#N/A,#N/A,FALSE,"Lewis River";#N/A,#N/A,FALSE,"NrthUmpq";#N/A,#N/A,FALSE,"KlamRog"}</definedName>
    <definedName name="_OM1_1" localSheetId="7" hidden="1">{#N/A,#N/A,FALSE,"Summary";#N/A,#N/A,FALSE,"SmPlants";#N/A,#N/A,FALSE,"Utah";#N/A,#N/A,FALSE,"Idaho";#N/A,#N/A,FALSE,"Lewis River";#N/A,#N/A,FALSE,"NrthUmpq";#N/A,#N/A,FALSE,"KlamRog"}</definedName>
    <definedName name="_OM1_1" localSheetId="8" hidden="1">{#N/A,#N/A,FALSE,"Summary";#N/A,#N/A,FALSE,"SmPlants";#N/A,#N/A,FALSE,"Utah";#N/A,#N/A,FALSE,"Idaho";#N/A,#N/A,FALSE,"Lewis River";#N/A,#N/A,FALSE,"NrthUmpq";#N/A,#N/A,FALSE,"KlamRog"}</definedName>
    <definedName name="_OM1_1" localSheetId="13" hidden="1">{#N/A,#N/A,FALSE,"Summary";#N/A,#N/A,FALSE,"SmPlants";#N/A,#N/A,FALSE,"Utah";#N/A,#N/A,FALSE,"Idaho";#N/A,#N/A,FALSE,"Lewis River";#N/A,#N/A,FALSE,"NrthUmpq";#N/A,#N/A,FALSE,"KlamRog"}</definedName>
    <definedName name="_OM1_1" localSheetId="0" hidden="1">{#N/A,#N/A,FALSE,"Summary";#N/A,#N/A,FALSE,"SmPlants";#N/A,#N/A,FALSE,"Utah";#N/A,#N/A,FALSE,"Idaho";#N/A,#N/A,FALSE,"Lewis River";#N/A,#N/A,FALSE,"NrthUmpq";#N/A,#N/A,FALSE,"KlamRog"}</definedName>
    <definedName name="_OM1_1" hidden="1">{#N/A,#N/A,FALSE,"Summary";#N/A,#N/A,FALSE,"SmPlants";#N/A,#N/A,FALSE,"Utah";#N/A,#N/A,FALSE,"Idaho";#N/A,#N/A,FALSE,"Lewis River";#N/A,#N/A,FALSE,"NrthUmpq";#N/A,#N/A,FALSE,"KlamRog"}</definedName>
    <definedName name="_OM1_2" localSheetId="1" hidden="1">{#N/A,#N/A,FALSE,"Summary";#N/A,#N/A,FALSE,"SmPlants";#N/A,#N/A,FALSE,"Utah";#N/A,#N/A,FALSE,"Idaho";#N/A,#N/A,FALSE,"Lewis River";#N/A,#N/A,FALSE,"NrthUmpq";#N/A,#N/A,FALSE,"KlamRog"}</definedName>
    <definedName name="_OM1_2" localSheetId="3" hidden="1">{#N/A,#N/A,FALSE,"Summary";#N/A,#N/A,FALSE,"SmPlants";#N/A,#N/A,FALSE,"Utah";#N/A,#N/A,FALSE,"Idaho";#N/A,#N/A,FALSE,"Lewis River";#N/A,#N/A,FALSE,"NrthUmpq";#N/A,#N/A,FALSE,"KlamRog"}</definedName>
    <definedName name="_OM1_2" localSheetId="4" hidden="1">{#N/A,#N/A,FALSE,"Summary";#N/A,#N/A,FALSE,"SmPlants";#N/A,#N/A,FALSE,"Utah";#N/A,#N/A,FALSE,"Idaho";#N/A,#N/A,FALSE,"Lewis River";#N/A,#N/A,FALSE,"NrthUmpq";#N/A,#N/A,FALSE,"KlamRog"}</definedName>
    <definedName name="_OM1_2" localSheetId="5" hidden="1">{#N/A,#N/A,FALSE,"Summary";#N/A,#N/A,FALSE,"SmPlants";#N/A,#N/A,FALSE,"Utah";#N/A,#N/A,FALSE,"Idaho";#N/A,#N/A,FALSE,"Lewis River";#N/A,#N/A,FALSE,"NrthUmpq";#N/A,#N/A,FALSE,"KlamRog"}</definedName>
    <definedName name="_OM1_2" localSheetId="6" hidden="1">{#N/A,#N/A,FALSE,"Summary";#N/A,#N/A,FALSE,"SmPlants";#N/A,#N/A,FALSE,"Utah";#N/A,#N/A,FALSE,"Idaho";#N/A,#N/A,FALSE,"Lewis River";#N/A,#N/A,FALSE,"NrthUmpq";#N/A,#N/A,FALSE,"KlamRog"}</definedName>
    <definedName name="_OM1_2" localSheetId="7" hidden="1">{#N/A,#N/A,FALSE,"Summary";#N/A,#N/A,FALSE,"SmPlants";#N/A,#N/A,FALSE,"Utah";#N/A,#N/A,FALSE,"Idaho";#N/A,#N/A,FALSE,"Lewis River";#N/A,#N/A,FALSE,"NrthUmpq";#N/A,#N/A,FALSE,"KlamRog"}</definedName>
    <definedName name="_OM1_2" localSheetId="8" hidden="1">{#N/A,#N/A,FALSE,"Summary";#N/A,#N/A,FALSE,"SmPlants";#N/A,#N/A,FALSE,"Utah";#N/A,#N/A,FALSE,"Idaho";#N/A,#N/A,FALSE,"Lewis River";#N/A,#N/A,FALSE,"NrthUmpq";#N/A,#N/A,FALSE,"KlamRog"}</definedName>
    <definedName name="_OM1_2" localSheetId="13" hidden="1">{#N/A,#N/A,FALSE,"Summary";#N/A,#N/A,FALSE,"SmPlants";#N/A,#N/A,FALSE,"Utah";#N/A,#N/A,FALSE,"Idaho";#N/A,#N/A,FALSE,"Lewis River";#N/A,#N/A,FALSE,"NrthUmpq";#N/A,#N/A,FALSE,"KlamRog"}</definedName>
    <definedName name="_OM1_2" localSheetId="0" hidden="1">{#N/A,#N/A,FALSE,"Summary";#N/A,#N/A,FALSE,"SmPlants";#N/A,#N/A,FALSE,"Utah";#N/A,#N/A,FALSE,"Idaho";#N/A,#N/A,FALSE,"Lewis River";#N/A,#N/A,FALSE,"NrthUmpq";#N/A,#N/A,FALSE,"KlamRog"}</definedName>
    <definedName name="_OM1_2" hidden="1">{#N/A,#N/A,FALSE,"Summary";#N/A,#N/A,FALSE,"SmPlants";#N/A,#N/A,FALSE,"Utah";#N/A,#N/A,FALSE,"Idaho";#N/A,#N/A,FALSE,"Lewis River";#N/A,#N/A,FALSE,"NrthUmpq";#N/A,#N/A,FALSE,"KlamRog"}</definedName>
    <definedName name="_OM1_3" localSheetId="1" hidden="1">{#N/A,#N/A,FALSE,"Summary";#N/A,#N/A,FALSE,"SmPlants";#N/A,#N/A,FALSE,"Utah";#N/A,#N/A,FALSE,"Idaho";#N/A,#N/A,FALSE,"Lewis River";#N/A,#N/A,FALSE,"NrthUmpq";#N/A,#N/A,FALSE,"KlamRog"}</definedName>
    <definedName name="_OM1_3" localSheetId="3" hidden="1">{#N/A,#N/A,FALSE,"Summary";#N/A,#N/A,FALSE,"SmPlants";#N/A,#N/A,FALSE,"Utah";#N/A,#N/A,FALSE,"Idaho";#N/A,#N/A,FALSE,"Lewis River";#N/A,#N/A,FALSE,"NrthUmpq";#N/A,#N/A,FALSE,"KlamRog"}</definedName>
    <definedName name="_OM1_3" localSheetId="4" hidden="1">{#N/A,#N/A,FALSE,"Summary";#N/A,#N/A,FALSE,"SmPlants";#N/A,#N/A,FALSE,"Utah";#N/A,#N/A,FALSE,"Idaho";#N/A,#N/A,FALSE,"Lewis River";#N/A,#N/A,FALSE,"NrthUmpq";#N/A,#N/A,FALSE,"KlamRog"}</definedName>
    <definedName name="_OM1_3" localSheetId="5" hidden="1">{#N/A,#N/A,FALSE,"Summary";#N/A,#N/A,FALSE,"SmPlants";#N/A,#N/A,FALSE,"Utah";#N/A,#N/A,FALSE,"Idaho";#N/A,#N/A,FALSE,"Lewis River";#N/A,#N/A,FALSE,"NrthUmpq";#N/A,#N/A,FALSE,"KlamRog"}</definedName>
    <definedName name="_OM1_3" localSheetId="6" hidden="1">{#N/A,#N/A,FALSE,"Summary";#N/A,#N/A,FALSE,"SmPlants";#N/A,#N/A,FALSE,"Utah";#N/A,#N/A,FALSE,"Idaho";#N/A,#N/A,FALSE,"Lewis River";#N/A,#N/A,FALSE,"NrthUmpq";#N/A,#N/A,FALSE,"KlamRog"}</definedName>
    <definedName name="_OM1_3" localSheetId="7" hidden="1">{#N/A,#N/A,FALSE,"Summary";#N/A,#N/A,FALSE,"SmPlants";#N/A,#N/A,FALSE,"Utah";#N/A,#N/A,FALSE,"Idaho";#N/A,#N/A,FALSE,"Lewis River";#N/A,#N/A,FALSE,"NrthUmpq";#N/A,#N/A,FALSE,"KlamRog"}</definedName>
    <definedName name="_OM1_3" localSheetId="8" hidden="1">{#N/A,#N/A,FALSE,"Summary";#N/A,#N/A,FALSE,"SmPlants";#N/A,#N/A,FALSE,"Utah";#N/A,#N/A,FALSE,"Idaho";#N/A,#N/A,FALSE,"Lewis River";#N/A,#N/A,FALSE,"NrthUmpq";#N/A,#N/A,FALSE,"KlamRog"}</definedName>
    <definedName name="_OM1_3" localSheetId="13" hidden="1">{#N/A,#N/A,FALSE,"Summary";#N/A,#N/A,FALSE,"SmPlants";#N/A,#N/A,FALSE,"Utah";#N/A,#N/A,FALSE,"Idaho";#N/A,#N/A,FALSE,"Lewis River";#N/A,#N/A,FALSE,"NrthUmpq";#N/A,#N/A,FALSE,"KlamRog"}</definedName>
    <definedName name="_OM1_3" localSheetId="0" hidden="1">{#N/A,#N/A,FALSE,"Summary";#N/A,#N/A,FALSE,"SmPlants";#N/A,#N/A,FALSE,"Utah";#N/A,#N/A,FALSE,"Idaho";#N/A,#N/A,FALSE,"Lewis River";#N/A,#N/A,FALSE,"NrthUmpq";#N/A,#N/A,FALSE,"KlamRog"}</definedName>
    <definedName name="_OM1_3" hidden="1">{#N/A,#N/A,FALSE,"Summary";#N/A,#N/A,FALSE,"SmPlants";#N/A,#N/A,FALSE,"Utah";#N/A,#N/A,FALSE,"Idaho";#N/A,#N/A,FALSE,"Lewis River";#N/A,#N/A,FALSE,"NrthUmpq";#N/A,#N/A,FALSE,"KlamRog"}</definedName>
    <definedName name="_OM1_4" localSheetId="1" hidden="1">{#N/A,#N/A,FALSE,"Summary";#N/A,#N/A,FALSE,"SmPlants";#N/A,#N/A,FALSE,"Utah";#N/A,#N/A,FALSE,"Idaho";#N/A,#N/A,FALSE,"Lewis River";#N/A,#N/A,FALSE,"NrthUmpq";#N/A,#N/A,FALSE,"KlamRog"}</definedName>
    <definedName name="_OM1_4" localSheetId="3" hidden="1">{#N/A,#N/A,FALSE,"Summary";#N/A,#N/A,FALSE,"SmPlants";#N/A,#N/A,FALSE,"Utah";#N/A,#N/A,FALSE,"Idaho";#N/A,#N/A,FALSE,"Lewis River";#N/A,#N/A,FALSE,"NrthUmpq";#N/A,#N/A,FALSE,"KlamRog"}</definedName>
    <definedName name="_OM1_4" localSheetId="4" hidden="1">{#N/A,#N/A,FALSE,"Summary";#N/A,#N/A,FALSE,"SmPlants";#N/A,#N/A,FALSE,"Utah";#N/A,#N/A,FALSE,"Idaho";#N/A,#N/A,FALSE,"Lewis River";#N/A,#N/A,FALSE,"NrthUmpq";#N/A,#N/A,FALSE,"KlamRog"}</definedName>
    <definedName name="_OM1_4" localSheetId="5" hidden="1">{#N/A,#N/A,FALSE,"Summary";#N/A,#N/A,FALSE,"SmPlants";#N/A,#N/A,FALSE,"Utah";#N/A,#N/A,FALSE,"Idaho";#N/A,#N/A,FALSE,"Lewis River";#N/A,#N/A,FALSE,"NrthUmpq";#N/A,#N/A,FALSE,"KlamRog"}</definedName>
    <definedName name="_OM1_4" localSheetId="6" hidden="1">{#N/A,#N/A,FALSE,"Summary";#N/A,#N/A,FALSE,"SmPlants";#N/A,#N/A,FALSE,"Utah";#N/A,#N/A,FALSE,"Idaho";#N/A,#N/A,FALSE,"Lewis River";#N/A,#N/A,FALSE,"NrthUmpq";#N/A,#N/A,FALSE,"KlamRog"}</definedName>
    <definedName name="_OM1_4" localSheetId="7" hidden="1">{#N/A,#N/A,FALSE,"Summary";#N/A,#N/A,FALSE,"SmPlants";#N/A,#N/A,FALSE,"Utah";#N/A,#N/A,FALSE,"Idaho";#N/A,#N/A,FALSE,"Lewis River";#N/A,#N/A,FALSE,"NrthUmpq";#N/A,#N/A,FALSE,"KlamRog"}</definedName>
    <definedName name="_OM1_4" localSheetId="8" hidden="1">{#N/A,#N/A,FALSE,"Summary";#N/A,#N/A,FALSE,"SmPlants";#N/A,#N/A,FALSE,"Utah";#N/A,#N/A,FALSE,"Idaho";#N/A,#N/A,FALSE,"Lewis River";#N/A,#N/A,FALSE,"NrthUmpq";#N/A,#N/A,FALSE,"KlamRog"}</definedName>
    <definedName name="_OM1_4" localSheetId="13" hidden="1">{#N/A,#N/A,FALSE,"Summary";#N/A,#N/A,FALSE,"SmPlants";#N/A,#N/A,FALSE,"Utah";#N/A,#N/A,FALSE,"Idaho";#N/A,#N/A,FALSE,"Lewis River";#N/A,#N/A,FALSE,"NrthUmpq";#N/A,#N/A,FALSE,"KlamRog"}</definedName>
    <definedName name="_OM1_4" localSheetId="0" hidden="1">{#N/A,#N/A,FALSE,"Summary";#N/A,#N/A,FALSE,"SmPlants";#N/A,#N/A,FALSE,"Utah";#N/A,#N/A,FALSE,"Idaho";#N/A,#N/A,FALSE,"Lewis River";#N/A,#N/A,FALSE,"NrthUmpq";#N/A,#N/A,FALSE,"KlamRog"}</definedName>
    <definedName name="_OM1_4" hidden="1">{#N/A,#N/A,FALSE,"Summary";#N/A,#N/A,FALSE,"SmPlants";#N/A,#N/A,FALSE,"Utah";#N/A,#N/A,FALSE,"Idaho";#N/A,#N/A,FALSE,"Lewis River";#N/A,#N/A,FALSE,"NrthUmpq";#N/A,#N/A,FALSE,"KlamRog"}</definedName>
    <definedName name="_OM1_5" localSheetId="1" hidden="1">{#N/A,#N/A,FALSE,"Summary";#N/A,#N/A,FALSE,"SmPlants";#N/A,#N/A,FALSE,"Utah";#N/A,#N/A,FALSE,"Idaho";#N/A,#N/A,FALSE,"Lewis River";#N/A,#N/A,FALSE,"NrthUmpq";#N/A,#N/A,FALSE,"KlamRog"}</definedName>
    <definedName name="_OM1_5" localSheetId="3" hidden="1">{#N/A,#N/A,FALSE,"Summary";#N/A,#N/A,FALSE,"SmPlants";#N/A,#N/A,FALSE,"Utah";#N/A,#N/A,FALSE,"Idaho";#N/A,#N/A,FALSE,"Lewis River";#N/A,#N/A,FALSE,"NrthUmpq";#N/A,#N/A,FALSE,"KlamRog"}</definedName>
    <definedName name="_OM1_5" localSheetId="4" hidden="1">{#N/A,#N/A,FALSE,"Summary";#N/A,#N/A,FALSE,"SmPlants";#N/A,#N/A,FALSE,"Utah";#N/A,#N/A,FALSE,"Idaho";#N/A,#N/A,FALSE,"Lewis River";#N/A,#N/A,FALSE,"NrthUmpq";#N/A,#N/A,FALSE,"KlamRog"}</definedName>
    <definedName name="_OM1_5" localSheetId="5" hidden="1">{#N/A,#N/A,FALSE,"Summary";#N/A,#N/A,FALSE,"SmPlants";#N/A,#N/A,FALSE,"Utah";#N/A,#N/A,FALSE,"Idaho";#N/A,#N/A,FALSE,"Lewis River";#N/A,#N/A,FALSE,"NrthUmpq";#N/A,#N/A,FALSE,"KlamRog"}</definedName>
    <definedName name="_OM1_5" localSheetId="6" hidden="1">{#N/A,#N/A,FALSE,"Summary";#N/A,#N/A,FALSE,"SmPlants";#N/A,#N/A,FALSE,"Utah";#N/A,#N/A,FALSE,"Idaho";#N/A,#N/A,FALSE,"Lewis River";#N/A,#N/A,FALSE,"NrthUmpq";#N/A,#N/A,FALSE,"KlamRog"}</definedName>
    <definedName name="_OM1_5" localSheetId="7" hidden="1">{#N/A,#N/A,FALSE,"Summary";#N/A,#N/A,FALSE,"SmPlants";#N/A,#N/A,FALSE,"Utah";#N/A,#N/A,FALSE,"Idaho";#N/A,#N/A,FALSE,"Lewis River";#N/A,#N/A,FALSE,"NrthUmpq";#N/A,#N/A,FALSE,"KlamRog"}</definedName>
    <definedName name="_OM1_5" localSheetId="8" hidden="1">{#N/A,#N/A,FALSE,"Summary";#N/A,#N/A,FALSE,"SmPlants";#N/A,#N/A,FALSE,"Utah";#N/A,#N/A,FALSE,"Idaho";#N/A,#N/A,FALSE,"Lewis River";#N/A,#N/A,FALSE,"NrthUmpq";#N/A,#N/A,FALSE,"KlamRog"}</definedName>
    <definedName name="_OM1_5" localSheetId="13" hidden="1">{#N/A,#N/A,FALSE,"Summary";#N/A,#N/A,FALSE,"SmPlants";#N/A,#N/A,FALSE,"Utah";#N/A,#N/A,FALSE,"Idaho";#N/A,#N/A,FALSE,"Lewis River";#N/A,#N/A,FALSE,"NrthUmpq";#N/A,#N/A,FALSE,"KlamRog"}</definedName>
    <definedName name="_OM1_5" localSheetId="0" hidden="1">{#N/A,#N/A,FALSE,"Summary";#N/A,#N/A,FALSE,"SmPlants";#N/A,#N/A,FALSE,"Utah";#N/A,#N/A,FALSE,"Idaho";#N/A,#N/A,FALSE,"Lewis River";#N/A,#N/A,FALSE,"NrthUmpq";#N/A,#N/A,FALSE,"KlamRog"}</definedName>
    <definedName name="_OM1_5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Access_Button1" hidden="1">"Headcount_Workbook_Schedules_List"</definedName>
    <definedName name="AccessDatabase" hidden="1">"P:\HR\SharonPlummer\Headcount Workbook.mdb"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localSheetId="5" hidden="1">{#N/A,#N/A,FALSE,"Summary";#N/A,#N/A,FALSE,"SmPlants";#N/A,#N/A,FALSE,"Utah";#N/A,#N/A,FALSE,"Idaho";#N/A,#N/A,FALSE,"Lewis River";#N/A,#N/A,FALSE,"NrthUmpq";#N/A,#N/A,FALSE,"KlamRog"}</definedName>
    <definedName name="Camas" localSheetId="6" hidden="1">{#N/A,#N/A,FALSE,"Summary";#N/A,#N/A,FALSE,"SmPlants";#N/A,#N/A,FALSE,"Utah";#N/A,#N/A,FALSE,"Idaho";#N/A,#N/A,FALSE,"Lewis River";#N/A,#N/A,FALSE,"NrthUmpq";#N/A,#N/A,FALSE,"KlamRog"}</definedName>
    <definedName name="Camas" localSheetId="7" hidden="1">{#N/A,#N/A,FALSE,"Summary";#N/A,#N/A,FALSE,"SmPlants";#N/A,#N/A,FALSE,"Utah";#N/A,#N/A,FALSE,"Idaho";#N/A,#N/A,FALSE,"Lewis River";#N/A,#N/A,FALSE,"NrthUmpq";#N/A,#N/A,FALSE,"KlamRog"}</definedName>
    <definedName name="Camas" localSheetId="8" hidden="1">{#N/A,#N/A,FALSE,"Summary";#N/A,#N/A,FALSE,"SmPlants";#N/A,#N/A,FALSE,"Utah";#N/A,#N/A,FALSE,"Idaho";#N/A,#N/A,FALSE,"Lewis River";#N/A,#N/A,FALSE,"NrthUmpq";#N/A,#N/A,FALSE,"KlamRog"}</definedName>
    <definedName name="Camas" localSheetId="13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mas_1" localSheetId="1" hidden="1">{#N/A,#N/A,FALSE,"Summary";#N/A,#N/A,FALSE,"SmPlants";#N/A,#N/A,FALSE,"Utah";#N/A,#N/A,FALSE,"Idaho";#N/A,#N/A,FALSE,"Lewis River";#N/A,#N/A,FALSE,"NrthUmpq";#N/A,#N/A,FALSE,"KlamRog"}</definedName>
    <definedName name="Camas_1" localSheetId="3" hidden="1">{#N/A,#N/A,FALSE,"Summary";#N/A,#N/A,FALSE,"SmPlants";#N/A,#N/A,FALSE,"Utah";#N/A,#N/A,FALSE,"Idaho";#N/A,#N/A,FALSE,"Lewis River";#N/A,#N/A,FALSE,"NrthUmpq";#N/A,#N/A,FALSE,"KlamRog"}</definedName>
    <definedName name="Camas_1" localSheetId="4" hidden="1">{#N/A,#N/A,FALSE,"Summary";#N/A,#N/A,FALSE,"SmPlants";#N/A,#N/A,FALSE,"Utah";#N/A,#N/A,FALSE,"Idaho";#N/A,#N/A,FALSE,"Lewis River";#N/A,#N/A,FALSE,"NrthUmpq";#N/A,#N/A,FALSE,"KlamRog"}</definedName>
    <definedName name="Camas_1" localSheetId="5" hidden="1">{#N/A,#N/A,FALSE,"Summary";#N/A,#N/A,FALSE,"SmPlants";#N/A,#N/A,FALSE,"Utah";#N/A,#N/A,FALSE,"Idaho";#N/A,#N/A,FALSE,"Lewis River";#N/A,#N/A,FALSE,"NrthUmpq";#N/A,#N/A,FALSE,"KlamRog"}</definedName>
    <definedName name="Camas_1" localSheetId="6" hidden="1">{#N/A,#N/A,FALSE,"Summary";#N/A,#N/A,FALSE,"SmPlants";#N/A,#N/A,FALSE,"Utah";#N/A,#N/A,FALSE,"Idaho";#N/A,#N/A,FALSE,"Lewis River";#N/A,#N/A,FALSE,"NrthUmpq";#N/A,#N/A,FALSE,"KlamRog"}</definedName>
    <definedName name="Camas_1" localSheetId="7" hidden="1">{#N/A,#N/A,FALSE,"Summary";#N/A,#N/A,FALSE,"SmPlants";#N/A,#N/A,FALSE,"Utah";#N/A,#N/A,FALSE,"Idaho";#N/A,#N/A,FALSE,"Lewis River";#N/A,#N/A,FALSE,"NrthUmpq";#N/A,#N/A,FALSE,"KlamRog"}</definedName>
    <definedName name="Camas_1" localSheetId="8" hidden="1">{#N/A,#N/A,FALSE,"Summary";#N/A,#N/A,FALSE,"SmPlants";#N/A,#N/A,FALSE,"Utah";#N/A,#N/A,FALSE,"Idaho";#N/A,#N/A,FALSE,"Lewis River";#N/A,#N/A,FALSE,"NrthUmpq";#N/A,#N/A,FALSE,"KlamRog"}</definedName>
    <definedName name="Camas_1" localSheetId="13" hidden="1">{#N/A,#N/A,FALSE,"Summary";#N/A,#N/A,FALSE,"SmPlants";#N/A,#N/A,FALSE,"Utah";#N/A,#N/A,FALSE,"Idaho";#N/A,#N/A,FALSE,"Lewis River";#N/A,#N/A,FALSE,"NrthUmpq";#N/A,#N/A,FALSE,"KlamRog"}</definedName>
    <definedName name="Camas_1" localSheetId="0" hidden="1">{#N/A,#N/A,FALSE,"Summary";#N/A,#N/A,FALSE,"SmPlants";#N/A,#N/A,FALSE,"Utah";#N/A,#N/A,FALSE,"Idaho";#N/A,#N/A,FALSE,"Lewis River";#N/A,#N/A,FALSE,"NrthUmpq";#N/A,#N/A,FALSE,"KlamRog"}</definedName>
    <definedName name="Camas_1" hidden="1">{#N/A,#N/A,FALSE,"Summary";#N/A,#N/A,FALSE,"SmPlants";#N/A,#N/A,FALSE,"Utah";#N/A,#N/A,FALSE,"Idaho";#N/A,#N/A,FALSE,"Lewis River";#N/A,#N/A,FALSE,"NrthUmpq";#N/A,#N/A,FALSE,"KlamRog"}</definedName>
    <definedName name="Camas_2" localSheetId="1" hidden="1">{#N/A,#N/A,FALSE,"Summary";#N/A,#N/A,FALSE,"SmPlants";#N/A,#N/A,FALSE,"Utah";#N/A,#N/A,FALSE,"Idaho";#N/A,#N/A,FALSE,"Lewis River";#N/A,#N/A,FALSE,"NrthUmpq";#N/A,#N/A,FALSE,"KlamRog"}</definedName>
    <definedName name="Camas_2" localSheetId="3" hidden="1">{#N/A,#N/A,FALSE,"Summary";#N/A,#N/A,FALSE,"SmPlants";#N/A,#N/A,FALSE,"Utah";#N/A,#N/A,FALSE,"Idaho";#N/A,#N/A,FALSE,"Lewis River";#N/A,#N/A,FALSE,"NrthUmpq";#N/A,#N/A,FALSE,"KlamRog"}</definedName>
    <definedName name="Camas_2" localSheetId="4" hidden="1">{#N/A,#N/A,FALSE,"Summary";#N/A,#N/A,FALSE,"SmPlants";#N/A,#N/A,FALSE,"Utah";#N/A,#N/A,FALSE,"Idaho";#N/A,#N/A,FALSE,"Lewis River";#N/A,#N/A,FALSE,"NrthUmpq";#N/A,#N/A,FALSE,"KlamRog"}</definedName>
    <definedName name="Camas_2" localSheetId="5" hidden="1">{#N/A,#N/A,FALSE,"Summary";#N/A,#N/A,FALSE,"SmPlants";#N/A,#N/A,FALSE,"Utah";#N/A,#N/A,FALSE,"Idaho";#N/A,#N/A,FALSE,"Lewis River";#N/A,#N/A,FALSE,"NrthUmpq";#N/A,#N/A,FALSE,"KlamRog"}</definedName>
    <definedName name="Camas_2" localSheetId="6" hidden="1">{#N/A,#N/A,FALSE,"Summary";#N/A,#N/A,FALSE,"SmPlants";#N/A,#N/A,FALSE,"Utah";#N/A,#N/A,FALSE,"Idaho";#N/A,#N/A,FALSE,"Lewis River";#N/A,#N/A,FALSE,"NrthUmpq";#N/A,#N/A,FALSE,"KlamRog"}</definedName>
    <definedName name="Camas_2" localSheetId="7" hidden="1">{#N/A,#N/A,FALSE,"Summary";#N/A,#N/A,FALSE,"SmPlants";#N/A,#N/A,FALSE,"Utah";#N/A,#N/A,FALSE,"Idaho";#N/A,#N/A,FALSE,"Lewis River";#N/A,#N/A,FALSE,"NrthUmpq";#N/A,#N/A,FALSE,"KlamRog"}</definedName>
    <definedName name="Camas_2" localSheetId="8" hidden="1">{#N/A,#N/A,FALSE,"Summary";#N/A,#N/A,FALSE,"SmPlants";#N/A,#N/A,FALSE,"Utah";#N/A,#N/A,FALSE,"Idaho";#N/A,#N/A,FALSE,"Lewis River";#N/A,#N/A,FALSE,"NrthUmpq";#N/A,#N/A,FALSE,"KlamRog"}</definedName>
    <definedName name="Camas_2" localSheetId="13" hidden="1">{#N/A,#N/A,FALSE,"Summary";#N/A,#N/A,FALSE,"SmPlants";#N/A,#N/A,FALSE,"Utah";#N/A,#N/A,FALSE,"Idaho";#N/A,#N/A,FALSE,"Lewis River";#N/A,#N/A,FALSE,"NrthUmpq";#N/A,#N/A,FALSE,"KlamRog"}</definedName>
    <definedName name="Camas_2" localSheetId="0" hidden="1">{#N/A,#N/A,FALSE,"Summary";#N/A,#N/A,FALSE,"SmPlants";#N/A,#N/A,FALSE,"Utah";#N/A,#N/A,FALSE,"Idaho";#N/A,#N/A,FALSE,"Lewis River";#N/A,#N/A,FALSE,"NrthUmpq";#N/A,#N/A,FALSE,"KlamRog"}</definedName>
    <definedName name="Camas_2" hidden="1">{#N/A,#N/A,FALSE,"Summary";#N/A,#N/A,FALSE,"SmPlants";#N/A,#N/A,FALSE,"Utah";#N/A,#N/A,FALSE,"Idaho";#N/A,#N/A,FALSE,"Lewis River";#N/A,#N/A,FALSE,"NrthUmpq";#N/A,#N/A,FALSE,"KlamRog"}</definedName>
    <definedName name="Camas_3" localSheetId="1" hidden="1">{#N/A,#N/A,FALSE,"Summary";#N/A,#N/A,FALSE,"SmPlants";#N/A,#N/A,FALSE,"Utah";#N/A,#N/A,FALSE,"Idaho";#N/A,#N/A,FALSE,"Lewis River";#N/A,#N/A,FALSE,"NrthUmpq";#N/A,#N/A,FALSE,"KlamRog"}</definedName>
    <definedName name="Camas_3" localSheetId="3" hidden="1">{#N/A,#N/A,FALSE,"Summary";#N/A,#N/A,FALSE,"SmPlants";#N/A,#N/A,FALSE,"Utah";#N/A,#N/A,FALSE,"Idaho";#N/A,#N/A,FALSE,"Lewis River";#N/A,#N/A,FALSE,"NrthUmpq";#N/A,#N/A,FALSE,"KlamRog"}</definedName>
    <definedName name="Camas_3" localSheetId="4" hidden="1">{#N/A,#N/A,FALSE,"Summary";#N/A,#N/A,FALSE,"SmPlants";#N/A,#N/A,FALSE,"Utah";#N/A,#N/A,FALSE,"Idaho";#N/A,#N/A,FALSE,"Lewis River";#N/A,#N/A,FALSE,"NrthUmpq";#N/A,#N/A,FALSE,"KlamRog"}</definedName>
    <definedName name="Camas_3" localSheetId="5" hidden="1">{#N/A,#N/A,FALSE,"Summary";#N/A,#N/A,FALSE,"SmPlants";#N/A,#N/A,FALSE,"Utah";#N/A,#N/A,FALSE,"Idaho";#N/A,#N/A,FALSE,"Lewis River";#N/A,#N/A,FALSE,"NrthUmpq";#N/A,#N/A,FALSE,"KlamRog"}</definedName>
    <definedName name="Camas_3" localSheetId="6" hidden="1">{#N/A,#N/A,FALSE,"Summary";#N/A,#N/A,FALSE,"SmPlants";#N/A,#N/A,FALSE,"Utah";#N/A,#N/A,FALSE,"Idaho";#N/A,#N/A,FALSE,"Lewis River";#N/A,#N/A,FALSE,"NrthUmpq";#N/A,#N/A,FALSE,"KlamRog"}</definedName>
    <definedName name="Camas_3" localSheetId="7" hidden="1">{#N/A,#N/A,FALSE,"Summary";#N/A,#N/A,FALSE,"SmPlants";#N/A,#N/A,FALSE,"Utah";#N/A,#N/A,FALSE,"Idaho";#N/A,#N/A,FALSE,"Lewis River";#N/A,#N/A,FALSE,"NrthUmpq";#N/A,#N/A,FALSE,"KlamRog"}</definedName>
    <definedName name="Camas_3" localSheetId="8" hidden="1">{#N/A,#N/A,FALSE,"Summary";#N/A,#N/A,FALSE,"SmPlants";#N/A,#N/A,FALSE,"Utah";#N/A,#N/A,FALSE,"Idaho";#N/A,#N/A,FALSE,"Lewis River";#N/A,#N/A,FALSE,"NrthUmpq";#N/A,#N/A,FALSE,"KlamRog"}</definedName>
    <definedName name="Camas_3" localSheetId="13" hidden="1">{#N/A,#N/A,FALSE,"Summary";#N/A,#N/A,FALSE,"SmPlants";#N/A,#N/A,FALSE,"Utah";#N/A,#N/A,FALSE,"Idaho";#N/A,#N/A,FALSE,"Lewis River";#N/A,#N/A,FALSE,"NrthUmpq";#N/A,#N/A,FALSE,"KlamRog"}</definedName>
    <definedName name="Camas_3" localSheetId="0" hidden="1">{#N/A,#N/A,FALSE,"Summary";#N/A,#N/A,FALSE,"SmPlants";#N/A,#N/A,FALSE,"Utah";#N/A,#N/A,FALSE,"Idaho";#N/A,#N/A,FALSE,"Lewis River";#N/A,#N/A,FALSE,"NrthUmpq";#N/A,#N/A,FALSE,"KlamRog"}</definedName>
    <definedName name="Camas_3" hidden="1">{#N/A,#N/A,FALSE,"Summary";#N/A,#N/A,FALSE,"SmPlants";#N/A,#N/A,FALSE,"Utah";#N/A,#N/A,FALSE,"Idaho";#N/A,#N/A,FALSE,"Lewis River";#N/A,#N/A,FALSE,"NrthUmpq";#N/A,#N/A,FALSE,"KlamRog"}</definedName>
    <definedName name="Camas_4" localSheetId="1" hidden="1">{#N/A,#N/A,FALSE,"Summary";#N/A,#N/A,FALSE,"SmPlants";#N/A,#N/A,FALSE,"Utah";#N/A,#N/A,FALSE,"Idaho";#N/A,#N/A,FALSE,"Lewis River";#N/A,#N/A,FALSE,"NrthUmpq";#N/A,#N/A,FALSE,"KlamRog"}</definedName>
    <definedName name="Camas_4" localSheetId="3" hidden="1">{#N/A,#N/A,FALSE,"Summary";#N/A,#N/A,FALSE,"SmPlants";#N/A,#N/A,FALSE,"Utah";#N/A,#N/A,FALSE,"Idaho";#N/A,#N/A,FALSE,"Lewis River";#N/A,#N/A,FALSE,"NrthUmpq";#N/A,#N/A,FALSE,"KlamRog"}</definedName>
    <definedName name="Camas_4" localSheetId="4" hidden="1">{#N/A,#N/A,FALSE,"Summary";#N/A,#N/A,FALSE,"SmPlants";#N/A,#N/A,FALSE,"Utah";#N/A,#N/A,FALSE,"Idaho";#N/A,#N/A,FALSE,"Lewis River";#N/A,#N/A,FALSE,"NrthUmpq";#N/A,#N/A,FALSE,"KlamRog"}</definedName>
    <definedName name="Camas_4" localSheetId="5" hidden="1">{#N/A,#N/A,FALSE,"Summary";#N/A,#N/A,FALSE,"SmPlants";#N/A,#N/A,FALSE,"Utah";#N/A,#N/A,FALSE,"Idaho";#N/A,#N/A,FALSE,"Lewis River";#N/A,#N/A,FALSE,"NrthUmpq";#N/A,#N/A,FALSE,"KlamRog"}</definedName>
    <definedName name="Camas_4" localSheetId="6" hidden="1">{#N/A,#N/A,FALSE,"Summary";#N/A,#N/A,FALSE,"SmPlants";#N/A,#N/A,FALSE,"Utah";#N/A,#N/A,FALSE,"Idaho";#N/A,#N/A,FALSE,"Lewis River";#N/A,#N/A,FALSE,"NrthUmpq";#N/A,#N/A,FALSE,"KlamRog"}</definedName>
    <definedName name="Camas_4" localSheetId="7" hidden="1">{#N/A,#N/A,FALSE,"Summary";#N/A,#N/A,FALSE,"SmPlants";#N/A,#N/A,FALSE,"Utah";#N/A,#N/A,FALSE,"Idaho";#N/A,#N/A,FALSE,"Lewis River";#N/A,#N/A,FALSE,"NrthUmpq";#N/A,#N/A,FALSE,"KlamRog"}</definedName>
    <definedName name="Camas_4" localSheetId="8" hidden="1">{#N/A,#N/A,FALSE,"Summary";#N/A,#N/A,FALSE,"SmPlants";#N/A,#N/A,FALSE,"Utah";#N/A,#N/A,FALSE,"Idaho";#N/A,#N/A,FALSE,"Lewis River";#N/A,#N/A,FALSE,"NrthUmpq";#N/A,#N/A,FALSE,"KlamRog"}</definedName>
    <definedName name="Camas_4" localSheetId="13" hidden="1">{#N/A,#N/A,FALSE,"Summary";#N/A,#N/A,FALSE,"SmPlants";#N/A,#N/A,FALSE,"Utah";#N/A,#N/A,FALSE,"Idaho";#N/A,#N/A,FALSE,"Lewis River";#N/A,#N/A,FALSE,"NrthUmpq";#N/A,#N/A,FALSE,"KlamRog"}</definedName>
    <definedName name="Camas_4" localSheetId="0" hidden="1">{#N/A,#N/A,FALSE,"Summary";#N/A,#N/A,FALSE,"SmPlants";#N/A,#N/A,FALSE,"Utah";#N/A,#N/A,FALSE,"Idaho";#N/A,#N/A,FALSE,"Lewis River";#N/A,#N/A,FALSE,"NrthUmpq";#N/A,#N/A,FALSE,"KlamRog"}</definedName>
    <definedName name="Camas_4" hidden="1">{#N/A,#N/A,FALSE,"Summary";#N/A,#N/A,FALSE,"SmPlants";#N/A,#N/A,FALSE,"Utah";#N/A,#N/A,FALSE,"Idaho";#N/A,#N/A,FALSE,"Lewis River";#N/A,#N/A,FALSE,"NrthUmpq";#N/A,#N/A,FALSE,"KlamRog"}</definedName>
    <definedName name="Camas_5" localSheetId="1" hidden="1">{#N/A,#N/A,FALSE,"Summary";#N/A,#N/A,FALSE,"SmPlants";#N/A,#N/A,FALSE,"Utah";#N/A,#N/A,FALSE,"Idaho";#N/A,#N/A,FALSE,"Lewis River";#N/A,#N/A,FALSE,"NrthUmpq";#N/A,#N/A,FALSE,"KlamRog"}</definedName>
    <definedName name="Camas_5" localSheetId="3" hidden="1">{#N/A,#N/A,FALSE,"Summary";#N/A,#N/A,FALSE,"SmPlants";#N/A,#N/A,FALSE,"Utah";#N/A,#N/A,FALSE,"Idaho";#N/A,#N/A,FALSE,"Lewis River";#N/A,#N/A,FALSE,"NrthUmpq";#N/A,#N/A,FALSE,"KlamRog"}</definedName>
    <definedName name="Camas_5" localSheetId="4" hidden="1">{#N/A,#N/A,FALSE,"Summary";#N/A,#N/A,FALSE,"SmPlants";#N/A,#N/A,FALSE,"Utah";#N/A,#N/A,FALSE,"Idaho";#N/A,#N/A,FALSE,"Lewis River";#N/A,#N/A,FALSE,"NrthUmpq";#N/A,#N/A,FALSE,"KlamRog"}</definedName>
    <definedName name="Camas_5" localSheetId="5" hidden="1">{#N/A,#N/A,FALSE,"Summary";#N/A,#N/A,FALSE,"SmPlants";#N/A,#N/A,FALSE,"Utah";#N/A,#N/A,FALSE,"Idaho";#N/A,#N/A,FALSE,"Lewis River";#N/A,#N/A,FALSE,"NrthUmpq";#N/A,#N/A,FALSE,"KlamRog"}</definedName>
    <definedName name="Camas_5" localSheetId="6" hidden="1">{#N/A,#N/A,FALSE,"Summary";#N/A,#N/A,FALSE,"SmPlants";#N/A,#N/A,FALSE,"Utah";#N/A,#N/A,FALSE,"Idaho";#N/A,#N/A,FALSE,"Lewis River";#N/A,#N/A,FALSE,"NrthUmpq";#N/A,#N/A,FALSE,"KlamRog"}</definedName>
    <definedName name="Camas_5" localSheetId="7" hidden="1">{#N/A,#N/A,FALSE,"Summary";#N/A,#N/A,FALSE,"SmPlants";#N/A,#N/A,FALSE,"Utah";#N/A,#N/A,FALSE,"Idaho";#N/A,#N/A,FALSE,"Lewis River";#N/A,#N/A,FALSE,"NrthUmpq";#N/A,#N/A,FALSE,"KlamRog"}</definedName>
    <definedName name="Camas_5" localSheetId="8" hidden="1">{#N/A,#N/A,FALSE,"Summary";#N/A,#N/A,FALSE,"SmPlants";#N/A,#N/A,FALSE,"Utah";#N/A,#N/A,FALSE,"Idaho";#N/A,#N/A,FALSE,"Lewis River";#N/A,#N/A,FALSE,"NrthUmpq";#N/A,#N/A,FALSE,"KlamRog"}</definedName>
    <definedName name="Camas_5" localSheetId="13" hidden="1">{#N/A,#N/A,FALSE,"Summary";#N/A,#N/A,FALSE,"SmPlants";#N/A,#N/A,FALSE,"Utah";#N/A,#N/A,FALSE,"Idaho";#N/A,#N/A,FALSE,"Lewis River";#N/A,#N/A,FALSE,"NrthUmpq";#N/A,#N/A,FALSE,"KlamRog"}</definedName>
    <definedName name="Camas_5" localSheetId="0" hidden="1">{#N/A,#N/A,FALSE,"Summary";#N/A,#N/A,FALSE,"SmPlants";#N/A,#N/A,FALSE,"Utah";#N/A,#N/A,FALSE,"Idaho";#N/A,#N/A,FALSE,"Lewis River";#N/A,#N/A,FALSE,"NrthUmpq";#N/A,#N/A,FALSE,"KlamRog"}</definedName>
    <definedName name="Camas_5" hidden="1">{#N/A,#N/A,FALSE,"Summary";#N/A,#N/A,FALSE,"SmPlants";#N/A,#N/A,FALSE,"Utah";#N/A,#N/A,FALSE,"Idaho";#N/A,#N/A,FALSE,"Lewis River";#N/A,#N/A,FALSE,"NrthUmpq";#N/A,#N/A,FALSE,"KlamRog"}</definedName>
    <definedName name="DATA1" localSheetId="6">'[1]OR RPS - Const cost'!#REF!</definedName>
    <definedName name="DATA1" localSheetId="7">'[1]OR RPS - Const cost'!#REF!</definedName>
    <definedName name="DATA1" localSheetId="8">'[1]OR RPS - Const cost'!#REF!</definedName>
    <definedName name="DATA1" localSheetId="9">'[1]OR RPS - Const cost'!#REF!</definedName>
    <definedName name="DATA1" localSheetId="10">'[1]OR RPS - Const cost'!#REF!</definedName>
    <definedName name="DATA1" localSheetId="11">'[1]OR RPS - Const cost'!#REF!</definedName>
    <definedName name="DATA1" localSheetId="12">'[1]OR RPS - Const cost'!#REF!</definedName>
    <definedName name="DATA1">'[1]OR RPS - Const cost'!#REF!</definedName>
    <definedName name="DATA10" localSheetId="6">'[2]Marengo II'!#REF!</definedName>
    <definedName name="DATA10" localSheetId="7">'[2]Marengo II'!#REF!</definedName>
    <definedName name="DATA10" localSheetId="8">'[2]Marengo II'!#REF!</definedName>
    <definedName name="DATA10" localSheetId="9">'[2]Marengo II'!#REF!</definedName>
    <definedName name="DATA10" localSheetId="10">'[2]Marengo II'!#REF!</definedName>
    <definedName name="DATA10" localSheetId="11">'[2]Marengo II'!#REF!</definedName>
    <definedName name="DATA10" localSheetId="12">'[2]Marengo II'!#REF!</definedName>
    <definedName name="DATA10">'[2]Marengo II'!#REF!</definedName>
    <definedName name="DATA11" localSheetId="6">'[2]Marengo II'!#REF!</definedName>
    <definedName name="DATA11" localSheetId="7">'[2]Marengo II'!#REF!</definedName>
    <definedName name="DATA11" localSheetId="8">'[2]Marengo II'!#REF!</definedName>
    <definedName name="DATA11" localSheetId="9">'[2]Marengo II'!#REF!</definedName>
    <definedName name="DATA11" localSheetId="10">'[2]Marengo II'!#REF!</definedName>
    <definedName name="DATA11" localSheetId="11">'[2]Marengo II'!#REF!</definedName>
    <definedName name="DATA11" localSheetId="12">'[2]Marengo II'!#REF!</definedName>
    <definedName name="DATA11">'[2]Marengo II'!#REF!</definedName>
    <definedName name="DATA12" localSheetId="6">'[2]Marengo II'!#REF!</definedName>
    <definedName name="DATA12" localSheetId="7">'[2]Marengo II'!#REF!</definedName>
    <definedName name="DATA12" localSheetId="8">'[2]Marengo II'!#REF!</definedName>
    <definedName name="DATA12" localSheetId="9">'[2]Marengo II'!#REF!</definedName>
    <definedName name="DATA12" localSheetId="10">'[2]Marengo II'!#REF!</definedName>
    <definedName name="DATA12" localSheetId="11">'[2]Marengo II'!#REF!</definedName>
    <definedName name="DATA12" localSheetId="12">'[2]Marengo II'!#REF!</definedName>
    <definedName name="DATA12">'[2]Marengo II'!#REF!</definedName>
    <definedName name="DATA13" localSheetId="6">'[2]Marengo II'!#REF!</definedName>
    <definedName name="DATA13" localSheetId="7">'[2]Marengo II'!#REF!</definedName>
    <definedName name="DATA13" localSheetId="8">'[2]Marengo II'!#REF!</definedName>
    <definedName name="DATA13" localSheetId="9">'[2]Marengo II'!#REF!</definedName>
    <definedName name="DATA13" localSheetId="10">'[2]Marengo II'!#REF!</definedName>
    <definedName name="DATA13" localSheetId="11">'[2]Marengo II'!#REF!</definedName>
    <definedName name="DATA13" localSheetId="12">'[2]Marengo II'!#REF!</definedName>
    <definedName name="DATA13">'[2]Marengo II'!#REF!</definedName>
    <definedName name="DATA14" localSheetId="6">'[2]Marengo II'!#REF!</definedName>
    <definedName name="DATA14" localSheetId="7">'[2]Marengo II'!#REF!</definedName>
    <definedName name="DATA14" localSheetId="8">'[2]Marengo II'!#REF!</definedName>
    <definedName name="DATA14" localSheetId="9">'[2]Marengo II'!#REF!</definedName>
    <definedName name="DATA14" localSheetId="10">'[2]Marengo II'!#REF!</definedName>
    <definedName name="DATA14" localSheetId="11">'[2]Marengo II'!#REF!</definedName>
    <definedName name="DATA14" localSheetId="12">'[2]Marengo II'!#REF!</definedName>
    <definedName name="DATA14">'[2]Marengo II'!#REF!</definedName>
    <definedName name="DATA15" localSheetId="6">'[2]Marengo II'!#REF!</definedName>
    <definedName name="DATA15" localSheetId="7">'[2]Marengo II'!#REF!</definedName>
    <definedName name="DATA15" localSheetId="8">'[2]Marengo II'!#REF!</definedName>
    <definedName name="DATA15" localSheetId="9">'[2]Marengo II'!#REF!</definedName>
    <definedName name="DATA15" localSheetId="10">'[2]Marengo II'!#REF!</definedName>
    <definedName name="DATA15" localSheetId="11">'[2]Marengo II'!#REF!</definedName>
    <definedName name="DATA15" localSheetId="12">'[2]Marengo II'!#REF!</definedName>
    <definedName name="DATA15">'[2]Marengo II'!#REF!</definedName>
    <definedName name="DATA16" localSheetId="6">'[2]Marengo II'!#REF!</definedName>
    <definedName name="DATA16" localSheetId="7">'[2]Marengo II'!#REF!</definedName>
    <definedName name="DATA16" localSheetId="8">'[2]Marengo II'!#REF!</definedName>
    <definedName name="DATA16" localSheetId="9">'[2]Marengo II'!#REF!</definedName>
    <definedName name="DATA16" localSheetId="10">'[2]Marengo II'!#REF!</definedName>
    <definedName name="DATA16" localSheetId="11">'[2]Marengo II'!#REF!</definedName>
    <definedName name="DATA16" localSheetId="12">'[2]Marengo II'!#REF!</definedName>
    <definedName name="DATA16">'[2]Marengo II'!#REF!</definedName>
    <definedName name="DATA17" localSheetId="6">'[2]Marengo II'!#REF!</definedName>
    <definedName name="DATA17" localSheetId="7">'[2]Marengo II'!#REF!</definedName>
    <definedName name="DATA17" localSheetId="8">'[2]Marengo II'!#REF!</definedName>
    <definedName name="DATA17" localSheetId="9">'[2]Marengo II'!#REF!</definedName>
    <definedName name="DATA17" localSheetId="10">'[2]Marengo II'!#REF!</definedName>
    <definedName name="DATA17" localSheetId="11">'[2]Marengo II'!#REF!</definedName>
    <definedName name="DATA17" localSheetId="12">'[2]Marengo II'!#REF!</definedName>
    <definedName name="DATA17">'[2]Marengo II'!#REF!</definedName>
    <definedName name="DATA18" localSheetId="6">'[2]Marengo II'!#REF!</definedName>
    <definedName name="DATA18" localSheetId="7">'[2]Marengo II'!#REF!</definedName>
    <definedName name="DATA18" localSheetId="8">'[2]Marengo II'!#REF!</definedName>
    <definedName name="DATA18" localSheetId="9">'[2]Marengo II'!#REF!</definedName>
    <definedName name="DATA18" localSheetId="10">'[2]Marengo II'!#REF!</definedName>
    <definedName name="DATA18" localSheetId="11">'[2]Marengo II'!#REF!</definedName>
    <definedName name="DATA18" localSheetId="12">'[2]Marengo II'!#REF!</definedName>
    <definedName name="DATA18">'[2]Marengo II'!#REF!</definedName>
    <definedName name="DATA19" localSheetId="6">'[2]Marengo II'!#REF!</definedName>
    <definedName name="DATA19" localSheetId="7">'[2]Marengo II'!#REF!</definedName>
    <definedName name="DATA19" localSheetId="8">'[2]Marengo II'!#REF!</definedName>
    <definedName name="DATA19" localSheetId="9">'[2]Marengo II'!#REF!</definedName>
    <definedName name="DATA19" localSheetId="10">'[2]Marengo II'!#REF!</definedName>
    <definedName name="DATA19" localSheetId="11">'[2]Marengo II'!#REF!</definedName>
    <definedName name="DATA19" localSheetId="12">'[2]Marengo II'!#REF!</definedName>
    <definedName name="DATA19">'[2]Marengo II'!#REF!</definedName>
    <definedName name="DATA2" localSheetId="6">'[1]OR RPS - Const cost'!#REF!</definedName>
    <definedName name="DATA2" localSheetId="7">'[1]OR RPS - Const cost'!#REF!</definedName>
    <definedName name="DATA2" localSheetId="8">'[1]OR RPS - Const cost'!#REF!</definedName>
    <definedName name="DATA2" localSheetId="9">'[1]OR RPS - Const cost'!#REF!</definedName>
    <definedName name="DATA2" localSheetId="10">'[1]OR RPS - Const cost'!#REF!</definedName>
    <definedName name="DATA2" localSheetId="11">'[1]OR RPS - Const cost'!#REF!</definedName>
    <definedName name="DATA2" localSheetId="12">'[1]OR RPS - Const cost'!#REF!</definedName>
    <definedName name="DATA2">'[1]OR RPS - Const cost'!#REF!</definedName>
    <definedName name="DATA20" localSheetId="6">'[2]Marengo II'!#REF!</definedName>
    <definedName name="DATA20" localSheetId="7">'[2]Marengo II'!#REF!</definedName>
    <definedName name="DATA20" localSheetId="8">'[2]Marengo II'!#REF!</definedName>
    <definedName name="DATA20" localSheetId="9">'[2]Marengo II'!#REF!</definedName>
    <definedName name="DATA20" localSheetId="10">'[2]Marengo II'!#REF!</definedName>
    <definedName name="DATA20" localSheetId="11">'[2]Marengo II'!#REF!</definedName>
    <definedName name="DATA20" localSheetId="12">'[2]Marengo II'!#REF!</definedName>
    <definedName name="DATA20">'[2]Marengo II'!#REF!</definedName>
    <definedName name="DATA21" localSheetId="6">'[2]Marengo II'!#REF!</definedName>
    <definedName name="DATA21" localSheetId="7">'[2]Marengo II'!#REF!</definedName>
    <definedName name="DATA21" localSheetId="8">'[2]Marengo II'!#REF!</definedName>
    <definedName name="DATA21" localSheetId="9">'[2]Marengo II'!#REF!</definedName>
    <definedName name="DATA21" localSheetId="10">'[2]Marengo II'!#REF!</definedName>
    <definedName name="DATA21" localSheetId="11">'[2]Marengo II'!#REF!</definedName>
    <definedName name="DATA21" localSheetId="12">'[2]Marengo II'!#REF!</definedName>
    <definedName name="DATA21">'[2]Marengo II'!#REF!</definedName>
    <definedName name="DATA22" localSheetId="6">'[2]Marengo II'!#REF!</definedName>
    <definedName name="DATA22" localSheetId="7">'[2]Marengo II'!#REF!</definedName>
    <definedName name="DATA22" localSheetId="8">'[2]Marengo II'!#REF!</definedName>
    <definedName name="DATA22" localSheetId="9">'[2]Marengo II'!#REF!</definedName>
    <definedName name="DATA22" localSheetId="10">'[2]Marengo II'!#REF!</definedName>
    <definedName name="DATA22" localSheetId="11">'[2]Marengo II'!#REF!</definedName>
    <definedName name="DATA22" localSheetId="12">'[2]Marengo II'!#REF!</definedName>
    <definedName name="DATA22">'[2]Marengo II'!#REF!</definedName>
    <definedName name="DATA23" localSheetId="6">'[2]Marengo II'!#REF!</definedName>
    <definedName name="DATA23" localSheetId="7">'[2]Marengo II'!#REF!</definedName>
    <definedName name="DATA23" localSheetId="8">'[2]Marengo II'!#REF!</definedName>
    <definedName name="DATA23" localSheetId="9">'[2]Marengo II'!#REF!</definedName>
    <definedName name="DATA23" localSheetId="10">'[2]Marengo II'!#REF!</definedName>
    <definedName name="DATA23" localSheetId="11">'[2]Marengo II'!#REF!</definedName>
    <definedName name="DATA23" localSheetId="12">'[2]Marengo II'!#REF!</definedName>
    <definedName name="DATA23">'[2]Marengo II'!#REF!</definedName>
    <definedName name="DATA24" localSheetId="6">'[2]Marengo II'!#REF!</definedName>
    <definedName name="DATA24" localSheetId="7">'[2]Marengo II'!#REF!</definedName>
    <definedName name="DATA24" localSheetId="8">'[2]Marengo II'!#REF!</definedName>
    <definedName name="DATA24" localSheetId="9">'[2]Marengo II'!#REF!</definedName>
    <definedName name="DATA24" localSheetId="10">'[2]Marengo II'!#REF!</definedName>
    <definedName name="DATA24" localSheetId="11">'[2]Marengo II'!#REF!</definedName>
    <definedName name="DATA24" localSheetId="12">'[2]Marengo II'!#REF!</definedName>
    <definedName name="DATA24">'[2]Marengo II'!#REF!</definedName>
    <definedName name="DATA25" localSheetId="6">'[2]Marengo II'!#REF!</definedName>
    <definedName name="DATA25" localSheetId="7">'[2]Marengo II'!#REF!</definedName>
    <definedName name="DATA25" localSheetId="8">'[2]Marengo II'!#REF!</definedName>
    <definedName name="DATA25" localSheetId="9">'[2]Marengo II'!#REF!</definedName>
    <definedName name="DATA25" localSheetId="10">'[2]Marengo II'!#REF!</definedName>
    <definedName name="DATA25" localSheetId="11">'[2]Marengo II'!#REF!</definedName>
    <definedName name="DATA25" localSheetId="12">'[2]Marengo II'!#REF!</definedName>
    <definedName name="DATA25">'[2]Marengo II'!#REF!</definedName>
    <definedName name="DATA26" localSheetId="6">'[2]Marengo II'!#REF!</definedName>
    <definedName name="DATA26" localSheetId="7">'[2]Marengo II'!#REF!</definedName>
    <definedName name="DATA26" localSheetId="8">'[2]Marengo II'!#REF!</definedName>
    <definedName name="DATA26" localSheetId="9">'[2]Marengo II'!#REF!</definedName>
    <definedName name="DATA26" localSheetId="10">'[2]Marengo II'!#REF!</definedName>
    <definedName name="DATA26" localSheetId="11">'[2]Marengo II'!#REF!</definedName>
    <definedName name="DATA26" localSheetId="12">'[2]Marengo II'!#REF!</definedName>
    <definedName name="DATA26">'[2]Marengo II'!#REF!</definedName>
    <definedName name="DATA27" localSheetId="6">'[2]Marengo II'!#REF!</definedName>
    <definedName name="DATA27" localSheetId="7">'[2]Marengo II'!#REF!</definedName>
    <definedName name="DATA27" localSheetId="8">'[2]Marengo II'!#REF!</definedName>
    <definedName name="DATA27" localSheetId="9">'[2]Marengo II'!#REF!</definedName>
    <definedName name="DATA27" localSheetId="10">'[2]Marengo II'!#REF!</definedName>
    <definedName name="DATA27" localSheetId="11">'[2]Marengo II'!#REF!</definedName>
    <definedName name="DATA27" localSheetId="12">'[2]Marengo II'!#REF!</definedName>
    <definedName name="DATA27">'[2]Marengo II'!#REF!</definedName>
    <definedName name="DATA28" localSheetId="6">'[2]Marengo II'!#REF!</definedName>
    <definedName name="DATA28" localSheetId="7">'[2]Marengo II'!#REF!</definedName>
    <definedName name="DATA28" localSheetId="8">'[2]Marengo II'!#REF!</definedName>
    <definedName name="DATA28" localSheetId="9">'[2]Marengo II'!#REF!</definedName>
    <definedName name="DATA28" localSheetId="10">'[2]Marengo II'!#REF!</definedName>
    <definedName name="DATA28" localSheetId="11">'[2]Marengo II'!#REF!</definedName>
    <definedName name="DATA28" localSheetId="12">'[2]Marengo II'!#REF!</definedName>
    <definedName name="DATA28">'[2]Marengo II'!#REF!</definedName>
    <definedName name="DATA29" localSheetId="6">'[2]Marengo II'!#REF!</definedName>
    <definedName name="DATA29" localSheetId="7">'[2]Marengo II'!#REF!</definedName>
    <definedName name="DATA29" localSheetId="8">'[2]Marengo II'!#REF!</definedName>
    <definedName name="DATA29" localSheetId="9">'[2]Marengo II'!#REF!</definedName>
    <definedName name="DATA29" localSheetId="10">'[2]Marengo II'!#REF!</definedName>
    <definedName name="DATA29" localSheetId="11">'[2]Marengo II'!#REF!</definedName>
    <definedName name="DATA29" localSheetId="12">'[2]Marengo II'!#REF!</definedName>
    <definedName name="DATA29">'[2]Marengo II'!#REF!</definedName>
    <definedName name="DATA3">'[2]Marengo II'!$B$4:$B$41</definedName>
    <definedName name="DATA30" localSheetId="6">'[2]Marengo II'!#REF!</definedName>
    <definedName name="DATA30" localSheetId="7">'[2]Marengo II'!#REF!</definedName>
    <definedName name="DATA30" localSheetId="8">'[2]Marengo II'!#REF!</definedName>
    <definedName name="DATA30" localSheetId="9">'[2]Marengo II'!#REF!</definedName>
    <definedName name="DATA30" localSheetId="10">'[2]Marengo II'!#REF!</definedName>
    <definedName name="DATA30" localSheetId="11">'[2]Marengo II'!#REF!</definedName>
    <definedName name="DATA30" localSheetId="12">'[2]Marengo II'!#REF!</definedName>
    <definedName name="DATA30" localSheetId="0">'[2]Marengo II'!#REF!</definedName>
    <definedName name="DATA30">'[2]Marengo II'!#REF!</definedName>
    <definedName name="DATA31" localSheetId="6">'[2]Marengo II'!#REF!</definedName>
    <definedName name="DATA31" localSheetId="7">'[2]Marengo II'!#REF!</definedName>
    <definedName name="DATA31" localSheetId="8">'[2]Marengo II'!#REF!</definedName>
    <definedName name="DATA31" localSheetId="9">'[2]Marengo II'!#REF!</definedName>
    <definedName name="DATA31" localSheetId="10">'[2]Marengo II'!#REF!</definedName>
    <definedName name="DATA31" localSheetId="11">'[2]Marengo II'!#REF!</definedName>
    <definedName name="DATA31" localSheetId="12">'[2]Marengo II'!#REF!</definedName>
    <definedName name="DATA31">'[2]Marengo II'!#REF!</definedName>
    <definedName name="DATA32" localSheetId="6">'[2]Marengo II'!#REF!</definedName>
    <definedName name="DATA32" localSheetId="7">'[2]Marengo II'!#REF!</definedName>
    <definedName name="DATA32" localSheetId="8">'[2]Marengo II'!#REF!</definedName>
    <definedName name="DATA32" localSheetId="9">'[2]Marengo II'!#REF!</definedName>
    <definedName name="DATA32" localSheetId="10">'[2]Marengo II'!#REF!</definedName>
    <definedName name="DATA32" localSheetId="11">'[2]Marengo II'!#REF!</definedName>
    <definedName name="DATA32" localSheetId="12">'[2]Marengo II'!#REF!</definedName>
    <definedName name="DATA32">'[2]Marengo II'!#REF!</definedName>
    <definedName name="DATA33" localSheetId="6">'[2]Marengo II'!#REF!</definedName>
    <definedName name="DATA33" localSheetId="7">'[2]Marengo II'!#REF!</definedName>
    <definedName name="DATA33" localSheetId="8">'[2]Marengo II'!#REF!</definedName>
    <definedName name="DATA33" localSheetId="9">'[2]Marengo II'!#REF!</definedName>
    <definedName name="DATA33" localSheetId="10">'[2]Marengo II'!#REF!</definedName>
    <definedName name="DATA33" localSheetId="11">'[2]Marengo II'!#REF!</definedName>
    <definedName name="DATA33" localSheetId="12">'[2]Marengo II'!#REF!</definedName>
    <definedName name="DATA33">'[2]Marengo II'!#REF!</definedName>
    <definedName name="DATA34" localSheetId="6">'[2]Marengo II'!#REF!</definedName>
    <definedName name="DATA34" localSheetId="7">'[2]Marengo II'!#REF!</definedName>
    <definedName name="DATA34" localSheetId="8">'[2]Marengo II'!#REF!</definedName>
    <definedName name="DATA34" localSheetId="9">'[2]Marengo II'!#REF!</definedName>
    <definedName name="DATA34" localSheetId="10">'[2]Marengo II'!#REF!</definedName>
    <definedName name="DATA34" localSheetId="11">'[2]Marengo II'!#REF!</definedName>
    <definedName name="DATA34" localSheetId="12">'[2]Marengo II'!#REF!</definedName>
    <definedName name="DATA34">'[2]Marengo II'!#REF!</definedName>
    <definedName name="DATA35" localSheetId="6">'[2]Marengo II'!#REF!</definedName>
    <definedName name="DATA35" localSheetId="7">'[2]Marengo II'!#REF!</definedName>
    <definedName name="DATA35" localSheetId="8">'[2]Marengo II'!#REF!</definedName>
    <definedName name="DATA35" localSheetId="9">'[2]Marengo II'!#REF!</definedName>
    <definedName name="DATA35" localSheetId="10">'[2]Marengo II'!#REF!</definedName>
    <definedName name="DATA35" localSheetId="11">'[2]Marengo II'!#REF!</definedName>
    <definedName name="DATA35" localSheetId="12">'[2]Marengo II'!#REF!</definedName>
    <definedName name="DATA35">'[2]Marengo II'!#REF!</definedName>
    <definedName name="DATA36" localSheetId="6">'[2]Marengo II'!#REF!</definedName>
    <definedName name="DATA36" localSheetId="7">'[2]Marengo II'!#REF!</definedName>
    <definedName name="DATA36" localSheetId="8">'[2]Marengo II'!#REF!</definedName>
    <definedName name="DATA36" localSheetId="9">'[2]Marengo II'!#REF!</definedName>
    <definedName name="DATA36" localSheetId="10">'[2]Marengo II'!#REF!</definedName>
    <definedName name="DATA36" localSheetId="11">'[2]Marengo II'!#REF!</definedName>
    <definedName name="DATA36" localSheetId="12">'[2]Marengo II'!#REF!</definedName>
    <definedName name="DATA36">'[2]Marengo II'!#REF!</definedName>
    <definedName name="DATA37" localSheetId="6">'[2]Marengo II'!#REF!</definedName>
    <definedName name="DATA37" localSheetId="7">'[2]Marengo II'!#REF!</definedName>
    <definedName name="DATA37" localSheetId="8">'[2]Marengo II'!#REF!</definedName>
    <definedName name="DATA37" localSheetId="9">'[2]Marengo II'!#REF!</definedName>
    <definedName name="DATA37" localSheetId="10">'[2]Marengo II'!#REF!</definedName>
    <definedName name="DATA37" localSheetId="11">'[2]Marengo II'!#REF!</definedName>
    <definedName name="DATA37" localSheetId="12">'[2]Marengo II'!#REF!</definedName>
    <definedName name="DATA37">'[2]Marengo II'!#REF!</definedName>
    <definedName name="DATA38" localSheetId="6">'[2]Marengo II'!#REF!</definedName>
    <definedName name="DATA38" localSheetId="7">'[2]Marengo II'!#REF!</definedName>
    <definedName name="DATA38" localSheetId="8">'[2]Marengo II'!#REF!</definedName>
    <definedName name="DATA38" localSheetId="9">'[2]Marengo II'!#REF!</definedName>
    <definedName name="DATA38" localSheetId="10">'[2]Marengo II'!#REF!</definedName>
    <definedName name="DATA38" localSheetId="11">'[2]Marengo II'!#REF!</definedName>
    <definedName name="DATA38" localSheetId="12">'[2]Marengo II'!#REF!</definedName>
    <definedName name="DATA38">'[2]Marengo II'!#REF!</definedName>
    <definedName name="DATA39" localSheetId="6">'[2]Marengo II'!#REF!</definedName>
    <definedName name="DATA39" localSheetId="7">'[2]Marengo II'!#REF!</definedName>
    <definedName name="DATA39" localSheetId="8">'[2]Marengo II'!#REF!</definedName>
    <definedName name="DATA39" localSheetId="9">'[2]Marengo II'!#REF!</definedName>
    <definedName name="DATA39" localSheetId="10">'[2]Marengo II'!#REF!</definedName>
    <definedName name="DATA39" localSheetId="11">'[2]Marengo II'!#REF!</definedName>
    <definedName name="DATA39" localSheetId="12">'[2]Marengo II'!#REF!</definedName>
    <definedName name="DATA39">'[2]Marengo II'!#REF!</definedName>
    <definedName name="DATA4" localSheetId="6">'[1]OR RPS - Const cost'!#REF!</definedName>
    <definedName name="DATA4" localSheetId="7">'[1]OR RPS - Const cost'!#REF!</definedName>
    <definedName name="DATA4" localSheetId="8">'[1]OR RPS - Const cost'!#REF!</definedName>
    <definedName name="DATA4" localSheetId="9">'[1]OR RPS - Const cost'!#REF!</definedName>
    <definedName name="DATA4" localSheetId="10">'[1]OR RPS - Const cost'!#REF!</definedName>
    <definedName name="DATA4" localSheetId="11">'[1]OR RPS - Const cost'!#REF!</definedName>
    <definedName name="DATA4" localSheetId="12">'[1]OR RPS - Const cost'!#REF!</definedName>
    <definedName name="DATA4">'[1]OR RPS - Const cost'!#REF!</definedName>
    <definedName name="DATA40" localSheetId="6">'[2]Marengo II'!#REF!</definedName>
    <definedName name="DATA40" localSheetId="7">'[2]Marengo II'!#REF!</definedName>
    <definedName name="DATA40" localSheetId="8">'[2]Marengo II'!#REF!</definedName>
    <definedName name="DATA40" localSheetId="9">'[2]Marengo II'!#REF!</definedName>
    <definedName name="DATA40" localSheetId="10">'[2]Marengo II'!#REF!</definedName>
    <definedName name="DATA40" localSheetId="11">'[2]Marengo II'!#REF!</definedName>
    <definedName name="DATA40" localSheetId="12">'[2]Marengo II'!#REF!</definedName>
    <definedName name="DATA40">'[2]Marengo II'!#REF!</definedName>
    <definedName name="DATA41" localSheetId="6">'[2]Marengo II'!#REF!</definedName>
    <definedName name="DATA41" localSheetId="7">'[2]Marengo II'!#REF!</definedName>
    <definedName name="DATA41" localSheetId="8">'[2]Marengo II'!#REF!</definedName>
    <definedName name="DATA41" localSheetId="9">'[2]Marengo II'!#REF!</definedName>
    <definedName name="DATA41" localSheetId="10">'[2]Marengo II'!#REF!</definedName>
    <definedName name="DATA41" localSheetId="11">'[2]Marengo II'!#REF!</definedName>
    <definedName name="DATA41" localSheetId="12">'[2]Marengo II'!#REF!</definedName>
    <definedName name="DATA41">'[2]Marengo II'!#REF!</definedName>
    <definedName name="DATA42" localSheetId="6">'[2]Marengo II'!#REF!</definedName>
    <definedName name="DATA42" localSheetId="7">'[2]Marengo II'!#REF!</definedName>
    <definedName name="DATA42" localSheetId="8">'[2]Marengo II'!#REF!</definedName>
    <definedName name="DATA42" localSheetId="9">'[2]Marengo II'!#REF!</definedName>
    <definedName name="DATA42" localSheetId="10">'[2]Marengo II'!#REF!</definedName>
    <definedName name="DATA42" localSheetId="11">'[2]Marengo II'!#REF!</definedName>
    <definedName name="DATA42" localSheetId="12">'[2]Marengo II'!#REF!</definedName>
    <definedName name="DATA42">'[2]Marengo II'!#REF!</definedName>
    <definedName name="DATA43" localSheetId="6">'[2]Marengo II'!#REF!</definedName>
    <definedName name="DATA43" localSheetId="7">'[2]Marengo II'!#REF!</definedName>
    <definedName name="DATA43" localSheetId="8">'[2]Marengo II'!#REF!</definedName>
    <definedName name="DATA43" localSheetId="9">'[2]Marengo II'!#REF!</definedName>
    <definedName name="DATA43" localSheetId="10">'[2]Marengo II'!#REF!</definedName>
    <definedName name="DATA43" localSheetId="11">'[2]Marengo II'!#REF!</definedName>
    <definedName name="DATA43" localSheetId="12">'[2]Marengo II'!#REF!</definedName>
    <definedName name="DATA43">'[2]Marengo II'!#REF!</definedName>
    <definedName name="DATA44" localSheetId="6">'[2]Marengo II'!#REF!</definedName>
    <definedName name="DATA44" localSheetId="7">'[2]Marengo II'!#REF!</definedName>
    <definedName name="DATA44" localSheetId="8">'[2]Marengo II'!#REF!</definedName>
    <definedName name="DATA44" localSheetId="9">'[2]Marengo II'!#REF!</definedName>
    <definedName name="DATA44" localSheetId="10">'[2]Marengo II'!#REF!</definedName>
    <definedName name="DATA44" localSheetId="11">'[2]Marengo II'!#REF!</definedName>
    <definedName name="DATA44" localSheetId="12">'[2]Marengo II'!#REF!</definedName>
    <definedName name="DATA44">'[2]Marengo II'!#REF!</definedName>
    <definedName name="DATA45" localSheetId="6">'[2]Marengo II'!#REF!</definedName>
    <definedName name="DATA45" localSheetId="7">'[2]Marengo II'!#REF!</definedName>
    <definedName name="DATA45" localSheetId="8">'[2]Marengo II'!#REF!</definedName>
    <definedName name="DATA45" localSheetId="9">'[2]Marengo II'!#REF!</definedName>
    <definedName name="DATA45" localSheetId="10">'[2]Marengo II'!#REF!</definedName>
    <definedName name="DATA45" localSheetId="11">'[2]Marengo II'!#REF!</definedName>
    <definedName name="DATA45" localSheetId="12">'[2]Marengo II'!#REF!</definedName>
    <definedName name="DATA45">'[2]Marengo II'!#REF!</definedName>
    <definedName name="DATA5" localSheetId="6">'[2]Marengo II'!#REF!</definedName>
    <definedName name="DATA5" localSheetId="7">'[2]Marengo II'!#REF!</definedName>
    <definedName name="DATA5" localSheetId="8">'[2]Marengo II'!#REF!</definedName>
    <definedName name="DATA5" localSheetId="9">'[2]Marengo II'!#REF!</definedName>
    <definedName name="DATA5" localSheetId="10">'[2]Marengo II'!#REF!</definedName>
    <definedName name="DATA5" localSheetId="11">'[2]Marengo II'!#REF!</definedName>
    <definedName name="DATA5" localSheetId="12">'[2]Marengo II'!#REF!</definedName>
    <definedName name="DATA5">'[2]Marengo II'!#REF!</definedName>
    <definedName name="DATA6" localSheetId="6">'[1]OR RPS - Const cost'!#REF!</definedName>
    <definedName name="DATA6" localSheetId="7">'[1]OR RPS - Const cost'!#REF!</definedName>
    <definedName name="DATA6" localSheetId="8">'[1]OR RPS - Const cost'!#REF!</definedName>
    <definedName name="DATA6" localSheetId="9">'[1]OR RPS - Const cost'!#REF!</definedName>
    <definedName name="DATA6" localSheetId="10">'[1]OR RPS - Const cost'!#REF!</definedName>
    <definedName name="DATA6" localSheetId="11">'[1]OR RPS - Const cost'!#REF!</definedName>
    <definedName name="DATA6" localSheetId="12">'[1]OR RPS - Const cost'!#REF!</definedName>
    <definedName name="DATA6">'[1]OR RPS - Const cost'!#REF!</definedName>
    <definedName name="DATA7" localSheetId="6">'[1]OR RPS - Const cost'!#REF!</definedName>
    <definedName name="DATA7" localSheetId="7">'[1]OR RPS - Const cost'!#REF!</definedName>
    <definedName name="DATA7" localSheetId="8">'[1]OR RPS - Const cost'!#REF!</definedName>
    <definedName name="DATA7" localSheetId="9">'[1]OR RPS - Const cost'!#REF!</definedName>
    <definedName name="DATA7" localSheetId="10">'[1]OR RPS - Const cost'!#REF!</definedName>
    <definedName name="DATA7" localSheetId="11">'[1]OR RPS - Const cost'!#REF!</definedName>
    <definedName name="DATA7" localSheetId="12">'[1]OR RPS - Const cost'!#REF!</definedName>
    <definedName name="DATA7">'[1]OR RPS - Const cost'!#REF!</definedName>
    <definedName name="DATA8" localSheetId="6">'[1]OR RPS - Const cost'!#REF!</definedName>
    <definedName name="DATA8" localSheetId="7">'[1]OR RPS - Const cost'!#REF!</definedName>
    <definedName name="DATA8" localSheetId="8">'[1]OR RPS - Const cost'!#REF!</definedName>
    <definedName name="DATA8" localSheetId="9">'[1]OR RPS - Const cost'!#REF!</definedName>
    <definedName name="DATA8" localSheetId="10">'[1]OR RPS - Const cost'!#REF!</definedName>
    <definedName name="DATA8" localSheetId="11">'[1]OR RPS - Const cost'!#REF!</definedName>
    <definedName name="DATA8" localSheetId="12">'[1]OR RPS - Const cost'!#REF!</definedName>
    <definedName name="DATA8">'[1]OR RPS - Const cost'!#REF!</definedName>
    <definedName name="DATA9" localSheetId="6">'[2]Marengo II'!#REF!</definedName>
    <definedName name="DATA9" localSheetId="7">'[2]Marengo II'!#REF!</definedName>
    <definedName name="DATA9" localSheetId="8">'[2]Marengo II'!#REF!</definedName>
    <definedName name="DATA9" localSheetId="9">'[2]Marengo II'!#REF!</definedName>
    <definedName name="DATA9" localSheetId="10">'[2]Marengo II'!#REF!</definedName>
    <definedName name="DATA9" localSheetId="11">'[2]Marengo II'!#REF!</definedName>
    <definedName name="DATA9" localSheetId="12">'[2]Marengo II'!#REF!</definedName>
    <definedName name="DATA9">'[2]Marengo II'!#REF!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uel_Scenario_Name">'[3](1.a) Filing Summary'!$C$3</definedName>
    <definedName name="Gas_Sce_Number">'[3](1.a) Filing Summary'!$B$3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localSheetId="5" hidden="1">{#N/A,#N/A,FALSE,"Summary";#N/A,#N/A,FALSE,"SmPlants";#N/A,#N/A,FALSE,"Utah";#N/A,#N/A,FALSE,"Idaho";#N/A,#N/A,FALSE,"Lewis River";#N/A,#N/A,FALSE,"NrthUmpq";#N/A,#N/A,FALSE,"KlamRog"}</definedName>
    <definedName name="HROptim" localSheetId="6" hidden="1">{#N/A,#N/A,FALSE,"Summary";#N/A,#N/A,FALSE,"SmPlants";#N/A,#N/A,FALSE,"Utah";#N/A,#N/A,FALSE,"Idaho";#N/A,#N/A,FALSE,"Lewis River";#N/A,#N/A,FALSE,"NrthUmpq";#N/A,#N/A,FALSE,"KlamRog"}</definedName>
    <definedName name="HROptim" localSheetId="7" hidden="1">{#N/A,#N/A,FALSE,"Summary";#N/A,#N/A,FALSE,"SmPlants";#N/A,#N/A,FALSE,"Utah";#N/A,#N/A,FALSE,"Idaho";#N/A,#N/A,FALSE,"Lewis River";#N/A,#N/A,FALSE,"NrthUmpq";#N/A,#N/A,FALSE,"KlamRog"}</definedName>
    <definedName name="HROptim" localSheetId="8" hidden="1">{#N/A,#N/A,FALSE,"Summary";#N/A,#N/A,FALSE,"SmPlants";#N/A,#N/A,FALSE,"Utah";#N/A,#N/A,FALSE,"Idaho";#N/A,#N/A,FALSE,"Lewis River";#N/A,#N/A,FALSE,"NrthUmpq";#N/A,#N/A,FALSE,"KlamRog"}</definedName>
    <definedName name="HROptim" localSheetId="13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ROptim_1" localSheetId="1" hidden="1">{#N/A,#N/A,FALSE,"Summary";#N/A,#N/A,FALSE,"SmPlants";#N/A,#N/A,FALSE,"Utah";#N/A,#N/A,FALSE,"Idaho";#N/A,#N/A,FALSE,"Lewis River";#N/A,#N/A,FALSE,"NrthUmpq";#N/A,#N/A,FALSE,"KlamRog"}</definedName>
    <definedName name="HROptim_1" localSheetId="3" hidden="1">{#N/A,#N/A,FALSE,"Summary";#N/A,#N/A,FALSE,"SmPlants";#N/A,#N/A,FALSE,"Utah";#N/A,#N/A,FALSE,"Idaho";#N/A,#N/A,FALSE,"Lewis River";#N/A,#N/A,FALSE,"NrthUmpq";#N/A,#N/A,FALSE,"KlamRog"}</definedName>
    <definedName name="HROptim_1" localSheetId="4" hidden="1">{#N/A,#N/A,FALSE,"Summary";#N/A,#N/A,FALSE,"SmPlants";#N/A,#N/A,FALSE,"Utah";#N/A,#N/A,FALSE,"Idaho";#N/A,#N/A,FALSE,"Lewis River";#N/A,#N/A,FALSE,"NrthUmpq";#N/A,#N/A,FALSE,"KlamRog"}</definedName>
    <definedName name="HROptim_1" localSheetId="5" hidden="1">{#N/A,#N/A,FALSE,"Summary";#N/A,#N/A,FALSE,"SmPlants";#N/A,#N/A,FALSE,"Utah";#N/A,#N/A,FALSE,"Idaho";#N/A,#N/A,FALSE,"Lewis River";#N/A,#N/A,FALSE,"NrthUmpq";#N/A,#N/A,FALSE,"KlamRog"}</definedName>
    <definedName name="HROptim_1" localSheetId="6" hidden="1">{#N/A,#N/A,FALSE,"Summary";#N/A,#N/A,FALSE,"SmPlants";#N/A,#N/A,FALSE,"Utah";#N/A,#N/A,FALSE,"Idaho";#N/A,#N/A,FALSE,"Lewis River";#N/A,#N/A,FALSE,"NrthUmpq";#N/A,#N/A,FALSE,"KlamRog"}</definedName>
    <definedName name="HROptim_1" localSheetId="7" hidden="1">{#N/A,#N/A,FALSE,"Summary";#N/A,#N/A,FALSE,"SmPlants";#N/A,#N/A,FALSE,"Utah";#N/A,#N/A,FALSE,"Idaho";#N/A,#N/A,FALSE,"Lewis River";#N/A,#N/A,FALSE,"NrthUmpq";#N/A,#N/A,FALSE,"KlamRog"}</definedName>
    <definedName name="HROptim_1" localSheetId="8" hidden="1">{#N/A,#N/A,FALSE,"Summary";#N/A,#N/A,FALSE,"SmPlants";#N/A,#N/A,FALSE,"Utah";#N/A,#N/A,FALSE,"Idaho";#N/A,#N/A,FALSE,"Lewis River";#N/A,#N/A,FALSE,"NrthUmpq";#N/A,#N/A,FALSE,"KlamRog"}</definedName>
    <definedName name="HROptim_1" localSheetId="13" hidden="1">{#N/A,#N/A,FALSE,"Summary";#N/A,#N/A,FALSE,"SmPlants";#N/A,#N/A,FALSE,"Utah";#N/A,#N/A,FALSE,"Idaho";#N/A,#N/A,FALSE,"Lewis River";#N/A,#N/A,FALSE,"NrthUmpq";#N/A,#N/A,FALSE,"KlamRog"}</definedName>
    <definedName name="HROptim_1" localSheetId="0" hidden="1">{#N/A,#N/A,FALSE,"Summary";#N/A,#N/A,FALSE,"SmPlants";#N/A,#N/A,FALSE,"Utah";#N/A,#N/A,FALSE,"Idaho";#N/A,#N/A,FALSE,"Lewis River";#N/A,#N/A,FALSE,"NrthUmpq";#N/A,#N/A,FALSE,"KlamRog"}</definedName>
    <definedName name="HROptim_1" hidden="1">{#N/A,#N/A,FALSE,"Summary";#N/A,#N/A,FALSE,"SmPlants";#N/A,#N/A,FALSE,"Utah";#N/A,#N/A,FALSE,"Idaho";#N/A,#N/A,FALSE,"Lewis River";#N/A,#N/A,FALSE,"NrthUmpq";#N/A,#N/A,FALSE,"KlamRog"}</definedName>
    <definedName name="HROptim_2" localSheetId="1" hidden="1">{#N/A,#N/A,FALSE,"Summary";#N/A,#N/A,FALSE,"SmPlants";#N/A,#N/A,FALSE,"Utah";#N/A,#N/A,FALSE,"Idaho";#N/A,#N/A,FALSE,"Lewis River";#N/A,#N/A,FALSE,"NrthUmpq";#N/A,#N/A,FALSE,"KlamRog"}</definedName>
    <definedName name="HROptim_2" localSheetId="3" hidden="1">{#N/A,#N/A,FALSE,"Summary";#N/A,#N/A,FALSE,"SmPlants";#N/A,#N/A,FALSE,"Utah";#N/A,#N/A,FALSE,"Idaho";#N/A,#N/A,FALSE,"Lewis River";#N/A,#N/A,FALSE,"NrthUmpq";#N/A,#N/A,FALSE,"KlamRog"}</definedName>
    <definedName name="HROptim_2" localSheetId="4" hidden="1">{#N/A,#N/A,FALSE,"Summary";#N/A,#N/A,FALSE,"SmPlants";#N/A,#N/A,FALSE,"Utah";#N/A,#N/A,FALSE,"Idaho";#N/A,#N/A,FALSE,"Lewis River";#N/A,#N/A,FALSE,"NrthUmpq";#N/A,#N/A,FALSE,"KlamRog"}</definedName>
    <definedName name="HROptim_2" localSheetId="5" hidden="1">{#N/A,#N/A,FALSE,"Summary";#N/A,#N/A,FALSE,"SmPlants";#N/A,#N/A,FALSE,"Utah";#N/A,#N/A,FALSE,"Idaho";#N/A,#N/A,FALSE,"Lewis River";#N/A,#N/A,FALSE,"NrthUmpq";#N/A,#N/A,FALSE,"KlamRog"}</definedName>
    <definedName name="HROptim_2" localSheetId="6" hidden="1">{#N/A,#N/A,FALSE,"Summary";#N/A,#N/A,FALSE,"SmPlants";#N/A,#N/A,FALSE,"Utah";#N/A,#N/A,FALSE,"Idaho";#N/A,#N/A,FALSE,"Lewis River";#N/A,#N/A,FALSE,"NrthUmpq";#N/A,#N/A,FALSE,"KlamRog"}</definedName>
    <definedName name="HROptim_2" localSheetId="7" hidden="1">{#N/A,#N/A,FALSE,"Summary";#N/A,#N/A,FALSE,"SmPlants";#N/A,#N/A,FALSE,"Utah";#N/A,#N/A,FALSE,"Idaho";#N/A,#N/A,FALSE,"Lewis River";#N/A,#N/A,FALSE,"NrthUmpq";#N/A,#N/A,FALSE,"KlamRog"}</definedName>
    <definedName name="HROptim_2" localSheetId="8" hidden="1">{#N/A,#N/A,FALSE,"Summary";#N/A,#N/A,FALSE,"SmPlants";#N/A,#N/A,FALSE,"Utah";#N/A,#N/A,FALSE,"Idaho";#N/A,#N/A,FALSE,"Lewis River";#N/A,#N/A,FALSE,"NrthUmpq";#N/A,#N/A,FALSE,"KlamRog"}</definedName>
    <definedName name="HROptim_2" localSheetId="13" hidden="1">{#N/A,#N/A,FALSE,"Summary";#N/A,#N/A,FALSE,"SmPlants";#N/A,#N/A,FALSE,"Utah";#N/A,#N/A,FALSE,"Idaho";#N/A,#N/A,FALSE,"Lewis River";#N/A,#N/A,FALSE,"NrthUmpq";#N/A,#N/A,FALSE,"KlamRog"}</definedName>
    <definedName name="HROptim_2" localSheetId="0" hidden="1">{#N/A,#N/A,FALSE,"Summary";#N/A,#N/A,FALSE,"SmPlants";#N/A,#N/A,FALSE,"Utah";#N/A,#N/A,FALSE,"Idaho";#N/A,#N/A,FALSE,"Lewis River";#N/A,#N/A,FALSE,"NrthUmpq";#N/A,#N/A,FALSE,"KlamRog"}</definedName>
    <definedName name="HROptim_2" hidden="1">{#N/A,#N/A,FALSE,"Summary";#N/A,#N/A,FALSE,"SmPlants";#N/A,#N/A,FALSE,"Utah";#N/A,#N/A,FALSE,"Idaho";#N/A,#N/A,FALSE,"Lewis River";#N/A,#N/A,FALSE,"NrthUmpq";#N/A,#N/A,FALSE,"KlamRog"}</definedName>
    <definedName name="HROptim_3" localSheetId="1" hidden="1">{#N/A,#N/A,FALSE,"Summary";#N/A,#N/A,FALSE,"SmPlants";#N/A,#N/A,FALSE,"Utah";#N/A,#N/A,FALSE,"Idaho";#N/A,#N/A,FALSE,"Lewis River";#N/A,#N/A,FALSE,"NrthUmpq";#N/A,#N/A,FALSE,"KlamRog"}</definedName>
    <definedName name="HROptim_3" localSheetId="3" hidden="1">{#N/A,#N/A,FALSE,"Summary";#N/A,#N/A,FALSE,"SmPlants";#N/A,#N/A,FALSE,"Utah";#N/A,#N/A,FALSE,"Idaho";#N/A,#N/A,FALSE,"Lewis River";#N/A,#N/A,FALSE,"NrthUmpq";#N/A,#N/A,FALSE,"KlamRog"}</definedName>
    <definedName name="HROptim_3" localSheetId="4" hidden="1">{#N/A,#N/A,FALSE,"Summary";#N/A,#N/A,FALSE,"SmPlants";#N/A,#N/A,FALSE,"Utah";#N/A,#N/A,FALSE,"Idaho";#N/A,#N/A,FALSE,"Lewis River";#N/A,#N/A,FALSE,"NrthUmpq";#N/A,#N/A,FALSE,"KlamRog"}</definedName>
    <definedName name="HROptim_3" localSheetId="5" hidden="1">{#N/A,#N/A,FALSE,"Summary";#N/A,#N/A,FALSE,"SmPlants";#N/A,#N/A,FALSE,"Utah";#N/A,#N/A,FALSE,"Idaho";#N/A,#N/A,FALSE,"Lewis River";#N/A,#N/A,FALSE,"NrthUmpq";#N/A,#N/A,FALSE,"KlamRog"}</definedName>
    <definedName name="HROptim_3" localSheetId="6" hidden="1">{#N/A,#N/A,FALSE,"Summary";#N/A,#N/A,FALSE,"SmPlants";#N/A,#N/A,FALSE,"Utah";#N/A,#N/A,FALSE,"Idaho";#N/A,#N/A,FALSE,"Lewis River";#N/A,#N/A,FALSE,"NrthUmpq";#N/A,#N/A,FALSE,"KlamRog"}</definedName>
    <definedName name="HROptim_3" localSheetId="7" hidden="1">{#N/A,#N/A,FALSE,"Summary";#N/A,#N/A,FALSE,"SmPlants";#N/A,#N/A,FALSE,"Utah";#N/A,#N/A,FALSE,"Idaho";#N/A,#N/A,FALSE,"Lewis River";#N/A,#N/A,FALSE,"NrthUmpq";#N/A,#N/A,FALSE,"KlamRog"}</definedName>
    <definedName name="HROptim_3" localSheetId="8" hidden="1">{#N/A,#N/A,FALSE,"Summary";#N/A,#N/A,FALSE,"SmPlants";#N/A,#N/A,FALSE,"Utah";#N/A,#N/A,FALSE,"Idaho";#N/A,#N/A,FALSE,"Lewis River";#N/A,#N/A,FALSE,"NrthUmpq";#N/A,#N/A,FALSE,"KlamRog"}</definedName>
    <definedName name="HROptim_3" localSheetId="13" hidden="1">{#N/A,#N/A,FALSE,"Summary";#N/A,#N/A,FALSE,"SmPlants";#N/A,#N/A,FALSE,"Utah";#N/A,#N/A,FALSE,"Idaho";#N/A,#N/A,FALSE,"Lewis River";#N/A,#N/A,FALSE,"NrthUmpq";#N/A,#N/A,FALSE,"KlamRog"}</definedName>
    <definedName name="HROptim_3" localSheetId="0" hidden="1">{#N/A,#N/A,FALSE,"Summary";#N/A,#N/A,FALSE,"SmPlants";#N/A,#N/A,FALSE,"Utah";#N/A,#N/A,FALSE,"Idaho";#N/A,#N/A,FALSE,"Lewis River";#N/A,#N/A,FALSE,"NrthUmpq";#N/A,#N/A,FALSE,"KlamRog"}</definedName>
    <definedName name="HROptim_3" hidden="1">{#N/A,#N/A,FALSE,"Summary";#N/A,#N/A,FALSE,"SmPlants";#N/A,#N/A,FALSE,"Utah";#N/A,#N/A,FALSE,"Idaho";#N/A,#N/A,FALSE,"Lewis River";#N/A,#N/A,FALSE,"NrthUmpq";#N/A,#N/A,FALSE,"KlamRog"}</definedName>
    <definedName name="HROptim_4" localSheetId="1" hidden="1">{#N/A,#N/A,FALSE,"Summary";#N/A,#N/A,FALSE,"SmPlants";#N/A,#N/A,FALSE,"Utah";#N/A,#N/A,FALSE,"Idaho";#N/A,#N/A,FALSE,"Lewis River";#N/A,#N/A,FALSE,"NrthUmpq";#N/A,#N/A,FALSE,"KlamRog"}</definedName>
    <definedName name="HROptim_4" localSheetId="3" hidden="1">{#N/A,#N/A,FALSE,"Summary";#N/A,#N/A,FALSE,"SmPlants";#N/A,#N/A,FALSE,"Utah";#N/A,#N/A,FALSE,"Idaho";#N/A,#N/A,FALSE,"Lewis River";#N/A,#N/A,FALSE,"NrthUmpq";#N/A,#N/A,FALSE,"KlamRog"}</definedName>
    <definedName name="HROptim_4" localSheetId="4" hidden="1">{#N/A,#N/A,FALSE,"Summary";#N/A,#N/A,FALSE,"SmPlants";#N/A,#N/A,FALSE,"Utah";#N/A,#N/A,FALSE,"Idaho";#N/A,#N/A,FALSE,"Lewis River";#N/A,#N/A,FALSE,"NrthUmpq";#N/A,#N/A,FALSE,"KlamRog"}</definedName>
    <definedName name="HROptim_4" localSheetId="5" hidden="1">{#N/A,#N/A,FALSE,"Summary";#N/A,#N/A,FALSE,"SmPlants";#N/A,#N/A,FALSE,"Utah";#N/A,#N/A,FALSE,"Idaho";#N/A,#N/A,FALSE,"Lewis River";#N/A,#N/A,FALSE,"NrthUmpq";#N/A,#N/A,FALSE,"KlamRog"}</definedName>
    <definedName name="HROptim_4" localSheetId="6" hidden="1">{#N/A,#N/A,FALSE,"Summary";#N/A,#N/A,FALSE,"SmPlants";#N/A,#N/A,FALSE,"Utah";#N/A,#N/A,FALSE,"Idaho";#N/A,#N/A,FALSE,"Lewis River";#N/A,#N/A,FALSE,"NrthUmpq";#N/A,#N/A,FALSE,"KlamRog"}</definedName>
    <definedName name="HROptim_4" localSheetId="7" hidden="1">{#N/A,#N/A,FALSE,"Summary";#N/A,#N/A,FALSE,"SmPlants";#N/A,#N/A,FALSE,"Utah";#N/A,#N/A,FALSE,"Idaho";#N/A,#N/A,FALSE,"Lewis River";#N/A,#N/A,FALSE,"NrthUmpq";#N/A,#N/A,FALSE,"KlamRog"}</definedName>
    <definedName name="HROptim_4" localSheetId="8" hidden="1">{#N/A,#N/A,FALSE,"Summary";#N/A,#N/A,FALSE,"SmPlants";#N/A,#N/A,FALSE,"Utah";#N/A,#N/A,FALSE,"Idaho";#N/A,#N/A,FALSE,"Lewis River";#N/A,#N/A,FALSE,"NrthUmpq";#N/A,#N/A,FALSE,"KlamRog"}</definedName>
    <definedName name="HROptim_4" localSheetId="13" hidden="1">{#N/A,#N/A,FALSE,"Summary";#N/A,#N/A,FALSE,"SmPlants";#N/A,#N/A,FALSE,"Utah";#N/A,#N/A,FALSE,"Idaho";#N/A,#N/A,FALSE,"Lewis River";#N/A,#N/A,FALSE,"NrthUmpq";#N/A,#N/A,FALSE,"KlamRog"}</definedName>
    <definedName name="HROptim_4" localSheetId="0" hidden="1">{#N/A,#N/A,FALSE,"Summary";#N/A,#N/A,FALSE,"SmPlants";#N/A,#N/A,FALSE,"Utah";#N/A,#N/A,FALSE,"Idaho";#N/A,#N/A,FALSE,"Lewis River";#N/A,#N/A,FALSE,"NrthUmpq";#N/A,#N/A,FALSE,"KlamRog"}</definedName>
    <definedName name="HROptim_4" hidden="1">{#N/A,#N/A,FALSE,"Summary";#N/A,#N/A,FALSE,"SmPlants";#N/A,#N/A,FALSE,"Utah";#N/A,#N/A,FALSE,"Idaho";#N/A,#N/A,FALSE,"Lewis River";#N/A,#N/A,FALSE,"NrthUmpq";#N/A,#N/A,FALSE,"KlamRog"}</definedName>
    <definedName name="HROptim_5" localSheetId="1" hidden="1">{#N/A,#N/A,FALSE,"Summary";#N/A,#N/A,FALSE,"SmPlants";#N/A,#N/A,FALSE,"Utah";#N/A,#N/A,FALSE,"Idaho";#N/A,#N/A,FALSE,"Lewis River";#N/A,#N/A,FALSE,"NrthUmpq";#N/A,#N/A,FALSE,"KlamRog"}</definedName>
    <definedName name="HROptim_5" localSheetId="3" hidden="1">{#N/A,#N/A,FALSE,"Summary";#N/A,#N/A,FALSE,"SmPlants";#N/A,#N/A,FALSE,"Utah";#N/A,#N/A,FALSE,"Idaho";#N/A,#N/A,FALSE,"Lewis River";#N/A,#N/A,FALSE,"NrthUmpq";#N/A,#N/A,FALSE,"KlamRog"}</definedName>
    <definedName name="HROptim_5" localSheetId="4" hidden="1">{#N/A,#N/A,FALSE,"Summary";#N/A,#N/A,FALSE,"SmPlants";#N/A,#N/A,FALSE,"Utah";#N/A,#N/A,FALSE,"Idaho";#N/A,#N/A,FALSE,"Lewis River";#N/A,#N/A,FALSE,"NrthUmpq";#N/A,#N/A,FALSE,"KlamRog"}</definedName>
    <definedName name="HROptim_5" localSheetId="5" hidden="1">{#N/A,#N/A,FALSE,"Summary";#N/A,#N/A,FALSE,"SmPlants";#N/A,#N/A,FALSE,"Utah";#N/A,#N/A,FALSE,"Idaho";#N/A,#N/A,FALSE,"Lewis River";#N/A,#N/A,FALSE,"NrthUmpq";#N/A,#N/A,FALSE,"KlamRog"}</definedName>
    <definedName name="HROptim_5" localSheetId="6" hidden="1">{#N/A,#N/A,FALSE,"Summary";#N/A,#N/A,FALSE,"SmPlants";#N/A,#N/A,FALSE,"Utah";#N/A,#N/A,FALSE,"Idaho";#N/A,#N/A,FALSE,"Lewis River";#N/A,#N/A,FALSE,"NrthUmpq";#N/A,#N/A,FALSE,"KlamRog"}</definedName>
    <definedName name="HROptim_5" localSheetId="7" hidden="1">{#N/A,#N/A,FALSE,"Summary";#N/A,#N/A,FALSE,"SmPlants";#N/A,#N/A,FALSE,"Utah";#N/A,#N/A,FALSE,"Idaho";#N/A,#N/A,FALSE,"Lewis River";#N/A,#N/A,FALSE,"NrthUmpq";#N/A,#N/A,FALSE,"KlamRog"}</definedName>
    <definedName name="HROptim_5" localSheetId="8" hidden="1">{#N/A,#N/A,FALSE,"Summary";#N/A,#N/A,FALSE,"SmPlants";#N/A,#N/A,FALSE,"Utah";#N/A,#N/A,FALSE,"Idaho";#N/A,#N/A,FALSE,"Lewis River";#N/A,#N/A,FALSE,"NrthUmpq";#N/A,#N/A,FALSE,"KlamRog"}</definedName>
    <definedName name="HROptim_5" localSheetId="13" hidden="1">{#N/A,#N/A,FALSE,"Summary";#N/A,#N/A,FALSE,"SmPlants";#N/A,#N/A,FALSE,"Utah";#N/A,#N/A,FALSE,"Idaho";#N/A,#N/A,FALSE,"Lewis River";#N/A,#N/A,FALSE,"NrthUmpq";#N/A,#N/A,FALSE,"KlamRog"}</definedName>
    <definedName name="HROptim_5" localSheetId="0" hidden="1">{#N/A,#N/A,FALSE,"Summary";#N/A,#N/A,FALSE,"SmPlants";#N/A,#N/A,FALSE,"Utah";#N/A,#N/A,FALSE,"Idaho";#N/A,#N/A,FALSE,"Lewis River";#N/A,#N/A,FALSE,"NrthUmpq";#N/A,#N/A,FALSE,"KlamRog"}</definedName>
    <definedName name="HROptim_5" hidden="1">{#N/A,#N/A,FALSE,"Summary";#N/A,#N/A,FALSE,"SmPlants";#N/A,#N/A,FALSE,"Utah";#N/A,#N/A,FALSE,"Idaho";#N/A,#N/A,FALSE,"Lewis River";#N/A,#N/A,FALSE,"NrthUmpq";#N/A,#N/A,FALSE,"KlamRog"}</definedName>
    <definedName name="Infl_Rate_2008">'[3]Forward Price Curve'!$W$14</definedName>
    <definedName name="Infl_Rate_2009">'[3]Forward Price Curve'!$W$15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localSheetId="5" hidden="1">{#N/A,#N/A,FALSE,"Summary";#N/A,#N/A,FALSE,"SmPlants";#N/A,#N/A,FALSE,"Utah";#N/A,#N/A,FALSE,"Idaho";#N/A,#N/A,FALSE,"Lewis River";#N/A,#N/A,FALSE,"NrthUmpq";#N/A,#N/A,FALSE,"KlamRog"}</definedName>
    <definedName name="inventory" localSheetId="6" hidden="1">{#N/A,#N/A,FALSE,"Summary";#N/A,#N/A,FALSE,"SmPlants";#N/A,#N/A,FALSE,"Utah";#N/A,#N/A,FALSE,"Idaho";#N/A,#N/A,FALSE,"Lewis River";#N/A,#N/A,FALSE,"NrthUmpq";#N/A,#N/A,FALSE,"KlamRog"}</definedName>
    <definedName name="inventory" localSheetId="7" hidden="1">{#N/A,#N/A,FALSE,"Summary";#N/A,#N/A,FALSE,"SmPlants";#N/A,#N/A,FALSE,"Utah";#N/A,#N/A,FALSE,"Idaho";#N/A,#N/A,FALSE,"Lewis River";#N/A,#N/A,FALSE,"NrthUmpq";#N/A,#N/A,FALSE,"KlamRog"}</definedName>
    <definedName name="inventory" localSheetId="8" hidden="1">{#N/A,#N/A,FALSE,"Summary";#N/A,#N/A,FALSE,"SmPlants";#N/A,#N/A,FALSE,"Utah";#N/A,#N/A,FALSE,"Idaho";#N/A,#N/A,FALSE,"Lewis River";#N/A,#N/A,FALSE,"NrthUmpq";#N/A,#N/A,FALSE,"KlamRog"}</definedName>
    <definedName name="inventory" localSheetId="13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nventory_1" localSheetId="1" hidden="1">{#N/A,#N/A,FALSE,"Summary";#N/A,#N/A,FALSE,"SmPlants";#N/A,#N/A,FALSE,"Utah";#N/A,#N/A,FALSE,"Idaho";#N/A,#N/A,FALSE,"Lewis River";#N/A,#N/A,FALSE,"NrthUmpq";#N/A,#N/A,FALSE,"KlamRog"}</definedName>
    <definedName name="inventory_1" localSheetId="3" hidden="1">{#N/A,#N/A,FALSE,"Summary";#N/A,#N/A,FALSE,"SmPlants";#N/A,#N/A,FALSE,"Utah";#N/A,#N/A,FALSE,"Idaho";#N/A,#N/A,FALSE,"Lewis River";#N/A,#N/A,FALSE,"NrthUmpq";#N/A,#N/A,FALSE,"KlamRog"}</definedName>
    <definedName name="inventory_1" localSheetId="4" hidden="1">{#N/A,#N/A,FALSE,"Summary";#N/A,#N/A,FALSE,"SmPlants";#N/A,#N/A,FALSE,"Utah";#N/A,#N/A,FALSE,"Idaho";#N/A,#N/A,FALSE,"Lewis River";#N/A,#N/A,FALSE,"NrthUmpq";#N/A,#N/A,FALSE,"KlamRog"}</definedName>
    <definedName name="inventory_1" localSheetId="5" hidden="1">{#N/A,#N/A,FALSE,"Summary";#N/A,#N/A,FALSE,"SmPlants";#N/A,#N/A,FALSE,"Utah";#N/A,#N/A,FALSE,"Idaho";#N/A,#N/A,FALSE,"Lewis River";#N/A,#N/A,FALSE,"NrthUmpq";#N/A,#N/A,FALSE,"KlamRog"}</definedName>
    <definedName name="inventory_1" localSheetId="6" hidden="1">{#N/A,#N/A,FALSE,"Summary";#N/A,#N/A,FALSE,"SmPlants";#N/A,#N/A,FALSE,"Utah";#N/A,#N/A,FALSE,"Idaho";#N/A,#N/A,FALSE,"Lewis River";#N/A,#N/A,FALSE,"NrthUmpq";#N/A,#N/A,FALSE,"KlamRog"}</definedName>
    <definedName name="inventory_1" localSheetId="7" hidden="1">{#N/A,#N/A,FALSE,"Summary";#N/A,#N/A,FALSE,"SmPlants";#N/A,#N/A,FALSE,"Utah";#N/A,#N/A,FALSE,"Idaho";#N/A,#N/A,FALSE,"Lewis River";#N/A,#N/A,FALSE,"NrthUmpq";#N/A,#N/A,FALSE,"KlamRog"}</definedName>
    <definedName name="inventory_1" localSheetId="8" hidden="1">{#N/A,#N/A,FALSE,"Summary";#N/A,#N/A,FALSE,"SmPlants";#N/A,#N/A,FALSE,"Utah";#N/A,#N/A,FALSE,"Idaho";#N/A,#N/A,FALSE,"Lewis River";#N/A,#N/A,FALSE,"NrthUmpq";#N/A,#N/A,FALSE,"KlamRog"}</definedName>
    <definedName name="inventory_1" localSheetId="13" hidden="1">{#N/A,#N/A,FALSE,"Summary";#N/A,#N/A,FALSE,"SmPlants";#N/A,#N/A,FALSE,"Utah";#N/A,#N/A,FALSE,"Idaho";#N/A,#N/A,FALSE,"Lewis River";#N/A,#N/A,FALSE,"NrthUmpq";#N/A,#N/A,FALSE,"KlamRog"}</definedName>
    <definedName name="inventory_1" localSheetId="0" hidden="1">{#N/A,#N/A,FALSE,"Summary";#N/A,#N/A,FALSE,"SmPlants";#N/A,#N/A,FALSE,"Utah";#N/A,#N/A,FALSE,"Idaho";#N/A,#N/A,FALSE,"Lewis River";#N/A,#N/A,FALSE,"NrthUmpq";#N/A,#N/A,FALSE,"KlamRog"}</definedName>
    <definedName name="inventory_1" hidden="1">{#N/A,#N/A,FALSE,"Summary";#N/A,#N/A,FALSE,"SmPlants";#N/A,#N/A,FALSE,"Utah";#N/A,#N/A,FALSE,"Idaho";#N/A,#N/A,FALSE,"Lewis River";#N/A,#N/A,FALSE,"NrthUmpq";#N/A,#N/A,FALSE,"KlamRog"}</definedName>
    <definedName name="inventory_2" localSheetId="1" hidden="1">{#N/A,#N/A,FALSE,"Summary";#N/A,#N/A,FALSE,"SmPlants";#N/A,#N/A,FALSE,"Utah";#N/A,#N/A,FALSE,"Idaho";#N/A,#N/A,FALSE,"Lewis River";#N/A,#N/A,FALSE,"NrthUmpq";#N/A,#N/A,FALSE,"KlamRog"}</definedName>
    <definedName name="inventory_2" localSheetId="3" hidden="1">{#N/A,#N/A,FALSE,"Summary";#N/A,#N/A,FALSE,"SmPlants";#N/A,#N/A,FALSE,"Utah";#N/A,#N/A,FALSE,"Idaho";#N/A,#N/A,FALSE,"Lewis River";#N/A,#N/A,FALSE,"NrthUmpq";#N/A,#N/A,FALSE,"KlamRog"}</definedName>
    <definedName name="inventory_2" localSheetId="4" hidden="1">{#N/A,#N/A,FALSE,"Summary";#N/A,#N/A,FALSE,"SmPlants";#N/A,#N/A,FALSE,"Utah";#N/A,#N/A,FALSE,"Idaho";#N/A,#N/A,FALSE,"Lewis River";#N/A,#N/A,FALSE,"NrthUmpq";#N/A,#N/A,FALSE,"KlamRog"}</definedName>
    <definedName name="inventory_2" localSheetId="5" hidden="1">{#N/A,#N/A,FALSE,"Summary";#N/A,#N/A,FALSE,"SmPlants";#N/A,#N/A,FALSE,"Utah";#N/A,#N/A,FALSE,"Idaho";#N/A,#N/A,FALSE,"Lewis River";#N/A,#N/A,FALSE,"NrthUmpq";#N/A,#N/A,FALSE,"KlamRog"}</definedName>
    <definedName name="inventory_2" localSheetId="6" hidden="1">{#N/A,#N/A,FALSE,"Summary";#N/A,#N/A,FALSE,"SmPlants";#N/A,#N/A,FALSE,"Utah";#N/A,#N/A,FALSE,"Idaho";#N/A,#N/A,FALSE,"Lewis River";#N/A,#N/A,FALSE,"NrthUmpq";#N/A,#N/A,FALSE,"KlamRog"}</definedName>
    <definedName name="inventory_2" localSheetId="7" hidden="1">{#N/A,#N/A,FALSE,"Summary";#N/A,#N/A,FALSE,"SmPlants";#N/A,#N/A,FALSE,"Utah";#N/A,#N/A,FALSE,"Idaho";#N/A,#N/A,FALSE,"Lewis River";#N/A,#N/A,FALSE,"NrthUmpq";#N/A,#N/A,FALSE,"KlamRog"}</definedName>
    <definedName name="inventory_2" localSheetId="8" hidden="1">{#N/A,#N/A,FALSE,"Summary";#N/A,#N/A,FALSE,"SmPlants";#N/A,#N/A,FALSE,"Utah";#N/A,#N/A,FALSE,"Idaho";#N/A,#N/A,FALSE,"Lewis River";#N/A,#N/A,FALSE,"NrthUmpq";#N/A,#N/A,FALSE,"KlamRog"}</definedName>
    <definedName name="inventory_2" localSheetId="13" hidden="1">{#N/A,#N/A,FALSE,"Summary";#N/A,#N/A,FALSE,"SmPlants";#N/A,#N/A,FALSE,"Utah";#N/A,#N/A,FALSE,"Idaho";#N/A,#N/A,FALSE,"Lewis River";#N/A,#N/A,FALSE,"NrthUmpq";#N/A,#N/A,FALSE,"KlamRog"}</definedName>
    <definedName name="inventory_2" localSheetId="0" hidden="1">{#N/A,#N/A,FALSE,"Summary";#N/A,#N/A,FALSE,"SmPlants";#N/A,#N/A,FALSE,"Utah";#N/A,#N/A,FALSE,"Idaho";#N/A,#N/A,FALSE,"Lewis River";#N/A,#N/A,FALSE,"NrthUmpq";#N/A,#N/A,FALSE,"KlamRog"}</definedName>
    <definedName name="inventory_2" hidden="1">{#N/A,#N/A,FALSE,"Summary";#N/A,#N/A,FALSE,"SmPlants";#N/A,#N/A,FALSE,"Utah";#N/A,#N/A,FALSE,"Idaho";#N/A,#N/A,FALSE,"Lewis River";#N/A,#N/A,FALSE,"NrthUmpq";#N/A,#N/A,FALSE,"KlamRog"}</definedName>
    <definedName name="inventory_3" localSheetId="1" hidden="1">{#N/A,#N/A,FALSE,"Summary";#N/A,#N/A,FALSE,"SmPlants";#N/A,#N/A,FALSE,"Utah";#N/A,#N/A,FALSE,"Idaho";#N/A,#N/A,FALSE,"Lewis River";#N/A,#N/A,FALSE,"NrthUmpq";#N/A,#N/A,FALSE,"KlamRog"}</definedName>
    <definedName name="inventory_3" localSheetId="3" hidden="1">{#N/A,#N/A,FALSE,"Summary";#N/A,#N/A,FALSE,"SmPlants";#N/A,#N/A,FALSE,"Utah";#N/A,#N/A,FALSE,"Idaho";#N/A,#N/A,FALSE,"Lewis River";#N/A,#N/A,FALSE,"NrthUmpq";#N/A,#N/A,FALSE,"KlamRog"}</definedName>
    <definedName name="inventory_3" localSheetId="4" hidden="1">{#N/A,#N/A,FALSE,"Summary";#N/A,#N/A,FALSE,"SmPlants";#N/A,#N/A,FALSE,"Utah";#N/A,#N/A,FALSE,"Idaho";#N/A,#N/A,FALSE,"Lewis River";#N/A,#N/A,FALSE,"NrthUmpq";#N/A,#N/A,FALSE,"KlamRog"}</definedName>
    <definedName name="inventory_3" localSheetId="5" hidden="1">{#N/A,#N/A,FALSE,"Summary";#N/A,#N/A,FALSE,"SmPlants";#N/A,#N/A,FALSE,"Utah";#N/A,#N/A,FALSE,"Idaho";#N/A,#N/A,FALSE,"Lewis River";#N/A,#N/A,FALSE,"NrthUmpq";#N/A,#N/A,FALSE,"KlamRog"}</definedName>
    <definedName name="inventory_3" localSheetId="6" hidden="1">{#N/A,#N/A,FALSE,"Summary";#N/A,#N/A,FALSE,"SmPlants";#N/A,#N/A,FALSE,"Utah";#N/A,#N/A,FALSE,"Idaho";#N/A,#N/A,FALSE,"Lewis River";#N/A,#N/A,FALSE,"NrthUmpq";#N/A,#N/A,FALSE,"KlamRog"}</definedName>
    <definedName name="inventory_3" localSheetId="7" hidden="1">{#N/A,#N/A,FALSE,"Summary";#N/A,#N/A,FALSE,"SmPlants";#N/A,#N/A,FALSE,"Utah";#N/A,#N/A,FALSE,"Idaho";#N/A,#N/A,FALSE,"Lewis River";#N/A,#N/A,FALSE,"NrthUmpq";#N/A,#N/A,FALSE,"KlamRog"}</definedName>
    <definedName name="inventory_3" localSheetId="8" hidden="1">{#N/A,#N/A,FALSE,"Summary";#N/A,#N/A,FALSE,"SmPlants";#N/A,#N/A,FALSE,"Utah";#N/A,#N/A,FALSE,"Idaho";#N/A,#N/A,FALSE,"Lewis River";#N/A,#N/A,FALSE,"NrthUmpq";#N/A,#N/A,FALSE,"KlamRog"}</definedName>
    <definedName name="inventory_3" localSheetId="13" hidden="1">{#N/A,#N/A,FALSE,"Summary";#N/A,#N/A,FALSE,"SmPlants";#N/A,#N/A,FALSE,"Utah";#N/A,#N/A,FALSE,"Idaho";#N/A,#N/A,FALSE,"Lewis River";#N/A,#N/A,FALSE,"NrthUmpq";#N/A,#N/A,FALSE,"KlamRog"}</definedName>
    <definedName name="inventory_3" localSheetId="0" hidden="1">{#N/A,#N/A,FALSE,"Summary";#N/A,#N/A,FALSE,"SmPlants";#N/A,#N/A,FALSE,"Utah";#N/A,#N/A,FALSE,"Idaho";#N/A,#N/A,FALSE,"Lewis River";#N/A,#N/A,FALSE,"NrthUmpq";#N/A,#N/A,FALSE,"KlamRog"}</definedName>
    <definedName name="inventory_3" hidden="1">{#N/A,#N/A,FALSE,"Summary";#N/A,#N/A,FALSE,"SmPlants";#N/A,#N/A,FALSE,"Utah";#N/A,#N/A,FALSE,"Idaho";#N/A,#N/A,FALSE,"Lewis River";#N/A,#N/A,FALSE,"NrthUmpq";#N/A,#N/A,FALSE,"KlamRog"}</definedName>
    <definedName name="inventory_4" localSheetId="1" hidden="1">{#N/A,#N/A,FALSE,"Summary";#N/A,#N/A,FALSE,"SmPlants";#N/A,#N/A,FALSE,"Utah";#N/A,#N/A,FALSE,"Idaho";#N/A,#N/A,FALSE,"Lewis River";#N/A,#N/A,FALSE,"NrthUmpq";#N/A,#N/A,FALSE,"KlamRog"}</definedName>
    <definedName name="inventory_4" localSheetId="3" hidden="1">{#N/A,#N/A,FALSE,"Summary";#N/A,#N/A,FALSE,"SmPlants";#N/A,#N/A,FALSE,"Utah";#N/A,#N/A,FALSE,"Idaho";#N/A,#N/A,FALSE,"Lewis River";#N/A,#N/A,FALSE,"NrthUmpq";#N/A,#N/A,FALSE,"KlamRog"}</definedName>
    <definedName name="inventory_4" localSheetId="4" hidden="1">{#N/A,#N/A,FALSE,"Summary";#N/A,#N/A,FALSE,"SmPlants";#N/A,#N/A,FALSE,"Utah";#N/A,#N/A,FALSE,"Idaho";#N/A,#N/A,FALSE,"Lewis River";#N/A,#N/A,FALSE,"NrthUmpq";#N/A,#N/A,FALSE,"KlamRog"}</definedName>
    <definedName name="inventory_4" localSheetId="5" hidden="1">{#N/A,#N/A,FALSE,"Summary";#N/A,#N/A,FALSE,"SmPlants";#N/A,#N/A,FALSE,"Utah";#N/A,#N/A,FALSE,"Idaho";#N/A,#N/A,FALSE,"Lewis River";#N/A,#N/A,FALSE,"NrthUmpq";#N/A,#N/A,FALSE,"KlamRog"}</definedName>
    <definedName name="inventory_4" localSheetId="6" hidden="1">{#N/A,#N/A,FALSE,"Summary";#N/A,#N/A,FALSE,"SmPlants";#N/A,#N/A,FALSE,"Utah";#N/A,#N/A,FALSE,"Idaho";#N/A,#N/A,FALSE,"Lewis River";#N/A,#N/A,FALSE,"NrthUmpq";#N/A,#N/A,FALSE,"KlamRog"}</definedName>
    <definedName name="inventory_4" localSheetId="7" hidden="1">{#N/A,#N/A,FALSE,"Summary";#N/A,#N/A,FALSE,"SmPlants";#N/A,#N/A,FALSE,"Utah";#N/A,#N/A,FALSE,"Idaho";#N/A,#N/A,FALSE,"Lewis River";#N/A,#N/A,FALSE,"NrthUmpq";#N/A,#N/A,FALSE,"KlamRog"}</definedName>
    <definedName name="inventory_4" localSheetId="8" hidden="1">{#N/A,#N/A,FALSE,"Summary";#N/A,#N/A,FALSE,"SmPlants";#N/A,#N/A,FALSE,"Utah";#N/A,#N/A,FALSE,"Idaho";#N/A,#N/A,FALSE,"Lewis River";#N/A,#N/A,FALSE,"NrthUmpq";#N/A,#N/A,FALSE,"KlamRog"}</definedName>
    <definedName name="inventory_4" localSheetId="13" hidden="1">{#N/A,#N/A,FALSE,"Summary";#N/A,#N/A,FALSE,"SmPlants";#N/A,#N/A,FALSE,"Utah";#N/A,#N/A,FALSE,"Idaho";#N/A,#N/A,FALSE,"Lewis River";#N/A,#N/A,FALSE,"NrthUmpq";#N/A,#N/A,FALSE,"KlamRog"}</definedName>
    <definedName name="inventory_4" localSheetId="0" hidden="1">{#N/A,#N/A,FALSE,"Summary";#N/A,#N/A,FALSE,"SmPlants";#N/A,#N/A,FALSE,"Utah";#N/A,#N/A,FALSE,"Idaho";#N/A,#N/A,FALSE,"Lewis River";#N/A,#N/A,FALSE,"NrthUmpq";#N/A,#N/A,FALSE,"KlamRog"}</definedName>
    <definedName name="inventory_4" hidden="1">{#N/A,#N/A,FALSE,"Summary";#N/A,#N/A,FALSE,"SmPlants";#N/A,#N/A,FALSE,"Utah";#N/A,#N/A,FALSE,"Idaho";#N/A,#N/A,FALSE,"Lewis River";#N/A,#N/A,FALSE,"NrthUmpq";#N/A,#N/A,FALSE,"KlamRog"}</definedName>
    <definedName name="inventory_5" localSheetId="1" hidden="1">{#N/A,#N/A,FALSE,"Summary";#N/A,#N/A,FALSE,"SmPlants";#N/A,#N/A,FALSE,"Utah";#N/A,#N/A,FALSE,"Idaho";#N/A,#N/A,FALSE,"Lewis River";#N/A,#N/A,FALSE,"NrthUmpq";#N/A,#N/A,FALSE,"KlamRog"}</definedName>
    <definedName name="inventory_5" localSheetId="3" hidden="1">{#N/A,#N/A,FALSE,"Summary";#N/A,#N/A,FALSE,"SmPlants";#N/A,#N/A,FALSE,"Utah";#N/A,#N/A,FALSE,"Idaho";#N/A,#N/A,FALSE,"Lewis River";#N/A,#N/A,FALSE,"NrthUmpq";#N/A,#N/A,FALSE,"KlamRog"}</definedName>
    <definedName name="inventory_5" localSheetId="4" hidden="1">{#N/A,#N/A,FALSE,"Summary";#N/A,#N/A,FALSE,"SmPlants";#N/A,#N/A,FALSE,"Utah";#N/A,#N/A,FALSE,"Idaho";#N/A,#N/A,FALSE,"Lewis River";#N/A,#N/A,FALSE,"NrthUmpq";#N/A,#N/A,FALSE,"KlamRog"}</definedName>
    <definedName name="inventory_5" localSheetId="5" hidden="1">{#N/A,#N/A,FALSE,"Summary";#N/A,#N/A,FALSE,"SmPlants";#N/A,#N/A,FALSE,"Utah";#N/A,#N/A,FALSE,"Idaho";#N/A,#N/A,FALSE,"Lewis River";#N/A,#N/A,FALSE,"NrthUmpq";#N/A,#N/A,FALSE,"KlamRog"}</definedName>
    <definedName name="inventory_5" localSheetId="6" hidden="1">{#N/A,#N/A,FALSE,"Summary";#N/A,#N/A,FALSE,"SmPlants";#N/A,#N/A,FALSE,"Utah";#N/A,#N/A,FALSE,"Idaho";#N/A,#N/A,FALSE,"Lewis River";#N/A,#N/A,FALSE,"NrthUmpq";#N/A,#N/A,FALSE,"KlamRog"}</definedName>
    <definedName name="inventory_5" localSheetId="7" hidden="1">{#N/A,#N/A,FALSE,"Summary";#N/A,#N/A,FALSE,"SmPlants";#N/A,#N/A,FALSE,"Utah";#N/A,#N/A,FALSE,"Idaho";#N/A,#N/A,FALSE,"Lewis River";#N/A,#N/A,FALSE,"NrthUmpq";#N/A,#N/A,FALSE,"KlamRog"}</definedName>
    <definedName name="inventory_5" localSheetId="8" hidden="1">{#N/A,#N/A,FALSE,"Summary";#N/A,#N/A,FALSE,"SmPlants";#N/A,#N/A,FALSE,"Utah";#N/A,#N/A,FALSE,"Idaho";#N/A,#N/A,FALSE,"Lewis River";#N/A,#N/A,FALSE,"NrthUmpq";#N/A,#N/A,FALSE,"KlamRog"}</definedName>
    <definedName name="inventory_5" localSheetId="13" hidden="1">{#N/A,#N/A,FALSE,"Summary";#N/A,#N/A,FALSE,"SmPlants";#N/A,#N/A,FALSE,"Utah";#N/A,#N/A,FALSE,"Idaho";#N/A,#N/A,FALSE,"Lewis River";#N/A,#N/A,FALSE,"NrthUmpq";#N/A,#N/A,FALSE,"KlamRog"}</definedName>
    <definedName name="inventory_5" localSheetId="0" hidden="1">{#N/A,#N/A,FALSE,"Summary";#N/A,#N/A,FALSE,"SmPlants";#N/A,#N/A,FALSE,"Utah";#N/A,#N/A,FALSE,"Idaho";#N/A,#N/A,FALSE,"Lewis River";#N/A,#N/A,FALSE,"NrthUmpq";#N/A,#N/A,FALSE,"KlamRog"}</definedName>
    <definedName name="inventory_5" hidden="1">{#N/A,#N/A,FALSE,"Summary";#N/A,#N/A,FALSE,"SmPlants";#N/A,#N/A,FALSE,"Utah";#N/A,#N/A,FALSE,"Idaho";#N/A,#N/A,FALSE,"Lewis River";#N/A,#N/A,FALSE,"NrthUmpq";#N/A,#N/A,FALSE,"KlamRog"}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localSheetId="8" hidden="1">{"PRINT",#N/A,TRUE,"APPA";"PRINT",#N/A,TRUE,"APS";"PRINT",#N/A,TRUE,"BHPL";"PRINT",#N/A,TRUE,"BHPL2";"PRINT",#N/A,TRUE,"CDWR";"PRINT",#N/A,TRUE,"EWEB";"PRINT",#N/A,TRUE,"LADWP";"PRINT",#N/A,TRUE,"NEVBASE"}</definedName>
    <definedName name="Keep" localSheetId="13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_1" localSheetId="1" hidden="1">{"PRINT",#N/A,TRUE,"APPA";"PRINT",#N/A,TRUE,"APS";"PRINT",#N/A,TRUE,"BHPL";"PRINT",#N/A,TRUE,"BHPL2";"PRINT",#N/A,TRUE,"CDWR";"PRINT",#N/A,TRUE,"EWEB";"PRINT",#N/A,TRUE,"LADWP";"PRINT",#N/A,TRUE,"NEVBASE"}</definedName>
    <definedName name="Keep_1" localSheetId="3" hidden="1">{"PRINT",#N/A,TRUE,"APPA";"PRINT",#N/A,TRUE,"APS";"PRINT",#N/A,TRUE,"BHPL";"PRINT",#N/A,TRUE,"BHPL2";"PRINT",#N/A,TRUE,"CDWR";"PRINT",#N/A,TRUE,"EWEB";"PRINT",#N/A,TRUE,"LADWP";"PRINT",#N/A,TRUE,"NEVBASE"}</definedName>
    <definedName name="Keep_1" localSheetId="4" hidden="1">{"PRINT",#N/A,TRUE,"APPA";"PRINT",#N/A,TRUE,"APS";"PRINT",#N/A,TRUE,"BHPL";"PRINT",#N/A,TRUE,"BHPL2";"PRINT",#N/A,TRUE,"CDWR";"PRINT",#N/A,TRUE,"EWEB";"PRINT",#N/A,TRUE,"LADWP";"PRINT",#N/A,TRUE,"NEVBASE"}</definedName>
    <definedName name="Keep_1" localSheetId="5" hidden="1">{"PRINT",#N/A,TRUE,"APPA";"PRINT",#N/A,TRUE,"APS";"PRINT",#N/A,TRUE,"BHPL";"PRINT",#N/A,TRUE,"BHPL2";"PRINT",#N/A,TRUE,"CDWR";"PRINT",#N/A,TRUE,"EWEB";"PRINT",#N/A,TRUE,"LADWP";"PRINT",#N/A,TRUE,"NEVBASE"}</definedName>
    <definedName name="Keep_1" localSheetId="6" hidden="1">{"PRINT",#N/A,TRUE,"APPA";"PRINT",#N/A,TRUE,"APS";"PRINT",#N/A,TRUE,"BHPL";"PRINT",#N/A,TRUE,"BHPL2";"PRINT",#N/A,TRUE,"CDWR";"PRINT",#N/A,TRUE,"EWEB";"PRINT",#N/A,TRUE,"LADWP";"PRINT",#N/A,TRUE,"NEVBASE"}</definedName>
    <definedName name="Keep_1" localSheetId="7" hidden="1">{"PRINT",#N/A,TRUE,"APPA";"PRINT",#N/A,TRUE,"APS";"PRINT",#N/A,TRUE,"BHPL";"PRINT",#N/A,TRUE,"BHPL2";"PRINT",#N/A,TRUE,"CDWR";"PRINT",#N/A,TRUE,"EWEB";"PRINT",#N/A,TRUE,"LADWP";"PRINT",#N/A,TRUE,"NEVBASE"}</definedName>
    <definedName name="Keep_1" localSheetId="8" hidden="1">{"PRINT",#N/A,TRUE,"APPA";"PRINT",#N/A,TRUE,"APS";"PRINT",#N/A,TRUE,"BHPL";"PRINT",#N/A,TRUE,"BHPL2";"PRINT",#N/A,TRUE,"CDWR";"PRINT",#N/A,TRUE,"EWEB";"PRINT",#N/A,TRUE,"LADWP";"PRINT",#N/A,TRUE,"NEVBASE"}</definedName>
    <definedName name="Keep_1" localSheetId="13" hidden="1">{"PRINT",#N/A,TRUE,"APPA";"PRINT",#N/A,TRUE,"APS";"PRINT",#N/A,TRUE,"BHPL";"PRINT",#N/A,TRUE,"BHPL2";"PRINT",#N/A,TRUE,"CDWR";"PRINT",#N/A,TRUE,"EWEB";"PRINT",#N/A,TRUE,"LADWP";"PRINT",#N/A,TRUE,"NEVBASE"}</definedName>
    <definedName name="Keep_1" localSheetId="0" hidden="1">{"PRINT",#N/A,TRUE,"APPA";"PRINT",#N/A,TRUE,"APS";"PRINT",#N/A,TRUE,"BHPL";"PRINT",#N/A,TRUE,"BHPL2";"PRINT",#N/A,TRUE,"CDWR";"PRINT",#N/A,TRUE,"EWEB";"PRINT",#N/A,TRUE,"LADWP";"PRINT",#N/A,TRUE,"NEVBASE"}</definedName>
    <definedName name="Keep_1" hidden="1">{"PRINT",#N/A,TRUE,"APPA";"PRINT",#N/A,TRUE,"APS";"PRINT",#N/A,TRUE,"BHPL";"PRINT",#N/A,TRUE,"BHPL2";"PRINT",#N/A,TRUE,"CDWR";"PRINT",#N/A,TRUE,"EWEB";"PRINT",#N/A,TRUE,"LADWP";"PRINT",#N/A,TRUE,"NEVBASE"}</definedName>
    <definedName name="Keep_2" localSheetId="1" hidden="1">{"PRINT",#N/A,TRUE,"APPA";"PRINT",#N/A,TRUE,"APS";"PRINT",#N/A,TRUE,"BHPL";"PRINT",#N/A,TRUE,"BHPL2";"PRINT",#N/A,TRUE,"CDWR";"PRINT",#N/A,TRUE,"EWEB";"PRINT",#N/A,TRUE,"LADWP";"PRINT",#N/A,TRUE,"NEVBASE"}</definedName>
    <definedName name="Keep_2" localSheetId="3" hidden="1">{"PRINT",#N/A,TRUE,"APPA";"PRINT",#N/A,TRUE,"APS";"PRINT",#N/A,TRUE,"BHPL";"PRINT",#N/A,TRUE,"BHPL2";"PRINT",#N/A,TRUE,"CDWR";"PRINT",#N/A,TRUE,"EWEB";"PRINT",#N/A,TRUE,"LADWP";"PRINT",#N/A,TRUE,"NEVBASE"}</definedName>
    <definedName name="Keep_2" localSheetId="4" hidden="1">{"PRINT",#N/A,TRUE,"APPA";"PRINT",#N/A,TRUE,"APS";"PRINT",#N/A,TRUE,"BHPL";"PRINT",#N/A,TRUE,"BHPL2";"PRINT",#N/A,TRUE,"CDWR";"PRINT",#N/A,TRUE,"EWEB";"PRINT",#N/A,TRUE,"LADWP";"PRINT",#N/A,TRUE,"NEVBASE"}</definedName>
    <definedName name="Keep_2" localSheetId="5" hidden="1">{"PRINT",#N/A,TRUE,"APPA";"PRINT",#N/A,TRUE,"APS";"PRINT",#N/A,TRUE,"BHPL";"PRINT",#N/A,TRUE,"BHPL2";"PRINT",#N/A,TRUE,"CDWR";"PRINT",#N/A,TRUE,"EWEB";"PRINT",#N/A,TRUE,"LADWP";"PRINT",#N/A,TRUE,"NEVBASE"}</definedName>
    <definedName name="Keep_2" localSheetId="6" hidden="1">{"PRINT",#N/A,TRUE,"APPA";"PRINT",#N/A,TRUE,"APS";"PRINT",#N/A,TRUE,"BHPL";"PRINT",#N/A,TRUE,"BHPL2";"PRINT",#N/A,TRUE,"CDWR";"PRINT",#N/A,TRUE,"EWEB";"PRINT",#N/A,TRUE,"LADWP";"PRINT",#N/A,TRUE,"NEVBASE"}</definedName>
    <definedName name="Keep_2" localSheetId="7" hidden="1">{"PRINT",#N/A,TRUE,"APPA";"PRINT",#N/A,TRUE,"APS";"PRINT",#N/A,TRUE,"BHPL";"PRINT",#N/A,TRUE,"BHPL2";"PRINT",#N/A,TRUE,"CDWR";"PRINT",#N/A,TRUE,"EWEB";"PRINT",#N/A,TRUE,"LADWP";"PRINT",#N/A,TRUE,"NEVBASE"}</definedName>
    <definedName name="Keep_2" localSheetId="8" hidden="1">{"PRINT",#N/A,TRUE,"APPA";"PRINT",#N/A,TRUE,"APS";"PRINT",#N/A,TRUE,"BHPL";"PRINT",#N/A,TRUE,"BHPL2";"PRINT",#N/A,TRUE,"CDWR";"PRINT",#N/A,TRUE,"EWEB";"PRINT",#N/A,TRUE,"LADWP";"PRINT",#N/A,TRUE,"NEVBASE"}</definedName>
    <definedName name="Keep_2" localSheetId="13" hidden="1">{"PRINT",#N/A,TRUE,"APPA";"PRINT",#N/A,TRUE,"APS";"PRINT",#N/A,TRUE,"BHPL";"PRINT",#N/A,TRUE,"BHPL2";"PRINT",#N/A,TRUE,"CDWR";"PRINT",#N/A,TRUE,"EWEB";"PRINT",#N/A,TRUE,"LADWP";"PRINT",#N/A,TRUE,"NEVBASE"}</definedName>
    <definedName name="Keep_2" localSheetId="0" hidden="1">{"PRINT",#N/A,TRUE,"APPA";"PRINT",#N/A,TRUE,"APS";"PRINT",#N/A,TRUE,"BHPL";"PRINT",#N/A,TRUE,"BHPL2";"PRINT",#N/A,TRUE,"CDWR";"PRINT",#N/A,TRUE,"EWEB";"PRINT",#N/A,TRUE,"LADWP";"PRINT",#N/A,TRUE,"NEVBASE"}</definedName>
    <definedName name="Keep_2" hidden="1">{"PRINT",#N/A,TRUE,"APPA";"PRINT",#N/A,TRUE,"APS";"PRINT",#N/A,TRUE,"BHPL";"PRINT",#N/A,TRUE,"BHPL2";"PRINT",#N/A,TRUE,"CDWR";"PRINT",#N/A,TRUE,"EWEB";"PRINT",#N/A,TRUE,"LADWP";"PRINT",#N/A,TRUE,"NEVBASE"}</definedName>
    <definedName name="Keep_3" localSheetId="1" hidden="1">{"PRINT",#N/A,TRUE,"APPA";"PRINT",#N/A,TRUE,"APS";"PRINT",#N/A,TRUE,"BHPL";"PRINT",#N/A,TRUE,"BHPL2";"PRINT",#N/A,TRUE,"CDWR";"PRINT",#N/A,TRUE,"EWEB";"PRINT",#N/A,TRUE,"LADWP";"PRINT",#N/A,TRUE,"NEVBASE"}</definedName>
    <definedName name="Keep_3" localSheetId="3" hidden="1">{"PRINT",#N/A,TRUE,"APPA";"PRINT",#N/A,TRUE,"APS";"PRINT",#N/A,TRUE,"BHPL";"PRINT",#N/A,TRUE,"BHPL2";"PRINT",#N/A,TRUE,"CDWR";"PRINT",#N/A,TRUE,"EWEB";"PRINT",#N/A,TRUE,"LADWP";"PRINT",#N/A,TRUE,"NEVBASE"}</definedName>
    <definedName name="Keep_3" localSheetId="4" hidden="1">{"PRINT",#N/A,TRUE,"APPA";"PRINT",#N/A,TRUE,"APS";"PRINT",#N/A,TRUE,"BHPL";"PRINT",#N/A,TRUE,"BHPL2";"PRINT",#N/A,TRUE,"CDWR";"PRINT",#N/A,TRUE,"EWEB";"PRINT",#N/A,TRUE,"LADWP";"PRINT",#N/A,TRUE,"NEVBASE"}</definedName>
    <definedName name="Keep_3" localSheetId="5" hidden="1">{"PRINT",#N/A,TRUE,"APPA";"PRINT",#N/A,TRUE,"APS";"PRINT",#N/A,TRUE,"BHPL";"PRINT",#N/A,TRUE,"BHPL2";"PRINT",#N/A,TRUE,"CDWR";"PRINT",#N/A,TRUE,"EWEB";"PRINT",#N/A,TRUE,"LADWP";"PRINT",#N/A,TRUE,"NEVBASE"}</definedName>
    <definedName name="Keep_3" localSheetId="6" hidden="1">{"PRINT",#N/A,TRUE,"APPA";"PRINT",#N/A,TRUE,"APS";"PRINT",#N/A,TRUE,"BHPL";"PRINT",#N/A,TRUE,"BHPL2";"PRINT",#N/A,TRUE,"CDWR";"PRINT",#N/A,TRUE,"EWEB";"PRINT",#N/A,TRUE,"LADWP";"PRINT",#N/A,TRUE,"NEVBASE"}</definedName>
    <definedName name="Keep_3" localSheetId="7" hidden="1">{"PRINT",#N/A,TRUE,"APPA";"PRINT",#N/A,TRUE,"APS";"PRINT",#N/A,TRUE,"BHPL";"PRINT",#N/A,TRUE,"BHPL2";"PRINT",#N/A,TRUE,"CDWR";"PRINT",#N/A,TRUE,"EWEB";"PRINT",#N/A,TRUE,"LADWP";"PRINT",#N/A,TRUE,"NEVBASE"}</definedName>
    <definedName name="Keep_3" localSheetId="8" hidden="1">{"PRINT",#N/A,TRUE,"APPA";"PRINT",#N/A,TRUE,"APS";"PRINT",#N/A,TRUE,"BHPL";"PRINT",#N/A,TRUE,"BHPL2";"PRINT",#N/A,TRUE,"CDWR";"PRINT",#N/A,TRUE,"EWEB";"PRINT",#N/A,TRUE,"LADWP";"PRINT",#N/A,TRUE,"NEVBASE"}</definedName>
    <definedName name="Keep_3" localSheetId="13" hidden="1">{"PRINT",#N/A,TRUE,"APPA";"PRINT",#N/A,TRUE,"APS";"PRINT",#N/A,TRUE,"BHPL";"PRINT",#N/A,TRUE,"BHPL2";"PRINT",#N/A,TRUE,"CDWR";"PRINT",#N/A,TRUE,"EWEB";"PRINT",#N/A,TRUE,"LADWP";"PRINT",#N/A,TRUE,"NEVBASE"}</definedName>
    <definedName name="Keep_3" localSheetId="0" hidden="1">{"PRINT",#N/A,TRUE,"APPA";"PRINT",#N/A,TRUE,"APS";"PRINT",#N/A,TRUE,"BHPL";"PRINT",#N/A,TRUE,"BHPL2";"PRINT",#N/A,TRUE,"CDWR";"PRINT",#N/A,TRUE,"EWEB";"PRINT",#N/A,TRUE,"LADWP";"PRINT",#N/A,TRUE,"NEVBASE"}</definedName>
    <definedName name="Keep_3" hidden="1">{"PRINT",#N/A,TRUE,"APPA";"PRINT",#N/A,TRUE,"APS";"PRINT",#N/A,TRUE,"BHPL";"PRINT",#N/A,TRUE,"BHPL2";"PRINT",#N/A,TRUE,"CDWR";"PRINT",#N/A,TRUE,"EWEB";"PRINT",#N/A,TRUE,"LADWP";"PRINT",#N/A,TRUE,"NEVBASE"}</definedName>
    <definedName name="Keep_4" localSheetId="1" hidden="1">{"PRINT",#N/A,TRUE,"APPA";"PRINT",#N/A,TRUE,"APS";"PRINT",#N/A,TRUE,"BHPL";"PRINT",#N/A,TRUE,"BHPL2";"PRINT",#N/A,TRUE,"CDWR";"PRINT",#N/A,TRUE,"EWEB";"PRINT",#N/A,TRUE,"LADWP";"PRINT",#N/A,TRUE,"NEVBASE"}</definedName>
    <definedName name="Keep_4" localSheetId="3" hidden="1">{"PRINT",#N/A,TRUE,"APPA";"PRINT",#N/A,TRUE,"APS";"PRINT",#N/A,TRUE,"BHPL";"PRINT",#N/A,TRUE,"BHPL2";"PRINT",#N/A,TRUE,"CDWR";"PRINT",#N/A,TRUE,"EWEB";"PRINT",#N/A,TRUE,"LADWP";"PRINT",#N/A,TRUE,"NEVBASE"}</definedName>
    <definedName name="Keep_4" localSheetId="4" hidden="1">{"PRINT",#N/A,TRUE,"APPA";"PRINT",#N/A,TRUE,"APS";"PRINT",#N/A,TRUE,"BHPL";"PRINT",#N/A,TRUE,"BHPL2";"PRINT",#N/A,TRUE,"CDWR";"PRINT",#N/A,TRUE,"EWEB";"PRINT",#N/A,TRUE,"LADWP";"PRINT",#N/A,TRUE,"NEVBASE"}</definedName>
    <definedName name="Keep_4" localSheetId="5" hidden="1">{"PRINT",#N/A,TRUE,"APPA";"PRINT",#N/A,TRUE,"APS";"PRINT",#N/A,TRUE,"BHPL";"PRINT",#N/A,TRUE,"BHPL2";"PRINT",#N/A,TRUE,"CDWR";"PRINT",#N/A,TRUE,"EWEB";"PRINT",#N/A,TRUE,"LADWP";"PRINT",#N/A,TRUE,"NEVBASE"}</definedName>
    <definedName name="Keep_4" localSheetId="6" hidden="1">{"PRINT",#N/A,TRUE,"APPA";"PRINT",#N/A,TRUE,"APS";"PRINT",#N/A,TRUE,"BHPL";"PRINT",#N/A,TRUE,"BHPL2";"PRINT",#N/A,TRUE,"CDWR";"PRINT",#N/A,TRUE,"EWEB";"PRINT",#N/A,TRUE,"LADWP";"PRINT",#N/A,TRUE,"NEVBASE"}</definedName>
    <definedName name="Keep_4" localSheetId="7" hidden="1">{"PRINT",#N/A,TRUE,"APPA";"PRINT",#N/A,TRUE,"APS";"PRINT",#N/A,TRUE,"BHPL";"PRINT",#N/A,TRUE,"BHPL2";"PRINT",#N/A,TRUE,"CDWR";"PRINT",#N/A,TRUE,"EWEB";"PRINT",#N/A,TRUE,"LADWP";"PRINT",#N/A,TRUE,"NEVBASE"}</definedName>
    <definedName name="Keep_4" localSheetId="8" hidden="1">{"PRINT",#N/A,TRUE,"APPA";"PRINT",#N/A,TRUE,"APS";"PRINT",#N/A,TRUE,"BHPL";"PRINT",#N/A,TRUE,"BHPL2";"PRINT",#N/A,TRUE,"CDWR";"PRINT",#N/A,TRUE,"EWEB";"PRINT",#N/A,TRUE,"LADWP";"PRINT",#N/A,TRUE,"NEVBASE"}</definedName>
    <definedName name="Keep_4" localSheetId="13" hidden="1">{"PRINT",#N/A,TRUE,"APPA";"PRINT",#N/A,TRUE,"APS";"PRINT",#N/A,TRUE,"BHPL";"PRINT",#N/A,TRUE,"BHPL2";"PRINT",#N/A,TRUE,"CDWR";"PRINT",#N/A,TRUE,"EWEB";"PRINT",#N/A,TRUE,"LADWP";"PRINT",#N/A,TRUE,"NEVBASE"}</definedName>
    <definedName name="Keep_4" localSheetId="0" hidden="1">{"PRINT",#N/A,TRUE,"APPA";"PRINT",#N/A,TRUE,"APS";"PRINT",#N/A,TRUE,"BHPL";"PRINT",#N/A,TRUE,"BHPL2";"PRINT",#N/A,TRUE,"CDWR";"PRINT",#N/A,TRUE,"EWEB";"PRINT",#N/A,TRUE,"LADWP";"PRINT",#N/A,TRUE,"NEVBASE"}</definedName>
    <definedName name="Keep_4" hidden="1">{"PRINT",#N/A,TRUE,"APPA";"PRINT",#N/A,TRUE,"APS";"PRINT",#N/A,TRUE,"BHPL";"PRINT",#N/A,TRUE,"BHPL2";"PRINT",#N/A,TRUE,"CDWR";"PRINT",#N/A,TRUE,"EWEB";"PRINT",#N/A,TRUE,"LADWP";"PRINT",#N/A,TRUE,"NEVBASE"}</definedName>
    <definedName name="Keep_5" localSheetId="1" hidden="1">{"PRINT",#N/A,TRUE,"APPA";"PRINT",#N/A,TRUE,"APS";"PRINT",#N/A,TRUE,"BHPL";"PRINT",#N/A,TRUE,"BHPL2";"PRINT",#N/A,TRUE,"CDWR";"PRINT",#N/A,TRUE,"EWEB";"PRINT",#N/A,TRUE,"LADWP";"PRINT",#N/A,TRUE,"NEVBASE"}</definedName>
    <definedName name="Keep_5" localSheetId="3" hidden="1">{"PRINT",#N/A,TRUE,"APPA";"PRINT",#N/A,TRUE,"APS";"PRINT",#N/A,TRUE,"BHPL";"PRINT",#N/A,TRUE,"BHPL2";"PRINT",#N/A,TRUE,"CDWR";"PRINT",#N/A,TRUE,"EWEB";"PRINT",#N/A,TRUE,"LADWP";"PRINT",#N/A,TRUE,"NEVBASE"}</definedName>
    <definedName name="Keep_5" localSheetId="4" hidden="1">{"PRINT",#N/A,TRUE,"APPA";"PRINT",#N/A,TRUE,"APS";"PRINT",#N/A,TRUE,"BHPL";"PRINT",#N/A,TRUE,"BHPL2";"PRINT",#N/A,TRUE,"CDWR";"PRINT",#N/A,TRUE,"EWEB";"PRINT",#N/A,TRUE,"LADWP";"PRINT",#N/A,TRUE,"NEVBASE"}</definedName>
    <definedName name="Keep_5" localSheetId="5" hidden="1">{"PRINT",#N/A,TRUE,"APPA";"PRINT",#N/A,TRUE,"APS";"PRINT",#N/A,TRUE,"BHPL";"PRINT",#N/A,TRUE,"BHPL2";"PRINT",#N/A,TRUE,"CDWR";"PRINT",#N/A,TRUE,"EWEB";"PRINT",#N/A,TRUE,"LADWP";"PRINT",#N/A,TRUE,"NEVBASE"}</definedName>
    <definedName name="Keep_5" localSheetId="6" hidden="1">{"PRINT",#N/A,TRUE,"APPA";"PRINT",#N/A,TRUE,"APS";"PRINT",#N/A,TRUE,"BHPL";"PRINT",#N/A,TRUE,"BHPL2";"PRINT",#N/A,TRUE,"CDWR";"PRINT",#N/A,TRUE,"EWEB";"PRINT",#N/A,TRUE,"LADWP";"PRINT",#N/A,TRUE,"NEVBASE"}</definedName>
    <definedName name="Keep_5" localSheetId="7" hidden="1">{"PRINT",#N/A,TRUE,"APPA";"PRINT",#N/A,TRUE,"APS";"PRINT",#N/A,TRUE,"BHPL";"PRINT",#N/A,TRUE,"BHPL2";"PRINT",#N/A,TRUE,"CDWR";"PRINT",#N/A,TRUE,"EWEB";"PRINT",#N/A,TRUE,"LADWP";"PRINT",#N/A,TRUE,"NEVBASE"}</definedName>
    <definedName name="Keep_5" localSheetId="8" hidden="1">{"PRINT",#N/A,TRUE,"APPA";"PRINT",#N/A,TRUE,"APS";"PRINT",#N/A,TRUE,"BHPL";"PRINT",#N/A,TRUE,"BHPL2";"PRINT",#N/A,TRUE,"CDWR";"PRINT",#N/A,TRUE,"EWEB";"PRINT",#N/A,TRUE,"LADWP";"PRINT",#N/A,TRUE,"NEVBASE"}</definedName>
    <definedName name="Keep_5" localSheetId="13" hidden="1">{"PRINT",#N/A,TRUE,"APPA";"PRINT",#N/A,TRUE,"APS";"PRINT",#N/A,TRUE,"BHPL";"PRINT",#N/A,TRUE,"BHPL2";"PRINT",#N/A,TRUE,"CDWR";"PRINT",#N/A,TRUE,"EWEB";"PRINT",#N/A,TRUE,"LADWP";"PRINT",#N/A,TRUE,"NEVBASE"}</definedName>
    <definedName name="Keep_5" localSheetId="0" hidden="1">{"PRINT",#N/A,TRUE,"APPA";"PRINT",#N/A,TRUE,"APS";"PRINT",#N/A,TRUE,"BHPL";"PRINT",#N/A,TRUE,"BHPL2";"PRINT",#N/A,TRUE,"CDWR";"PRINT",#N/A,TRUE,"EWEB";"PRINT",#N/A,TRUE,"LADWP";"PRINT",#N/A,TRUE,"NEVBASE"}</definedName>
    <definedName name="Keep_5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localSheetId="8" hidden="1">{"PRINT",#N/A,TRUE,"APPA";"PRINT",#N/A,TRUE,"APS";"PRINT",#N/A,TRUE,"BHPL";"PRINT",#N/A,TRUE,"BHPL2";"PRINT",#N/A,TRUE,"CDWR";"PRINT",#N/A,TRUE,"EWEB";"PRINT",#N/A,TRUE,"LADWP";"PRINT",#N/A,TRUE,"NEVBASE"}</definedName>
    <definedName name="keep2" localSheetId="13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eep2_1" localSheetId="1" hidden="1">{"PRINT",#N/A,TRUE,"APPA";"PRINT",#N/A,TRUE,"APS";"PRINT",#N/A,TRUE,"BHPL";"PRINT",#N/A,TRUE,"BHPL2";"PRINT",#N/A,TRUE,"CDWR";"PRINT",#N/A,TRUE,"EWEB";"PRINT",#N/A,TRUE,"LADWP";"PRINT",#N/A,TRUE,"NEVBASE"}</definedName>
    <definedName name="keep2_1" localSheetId="3" hidden="1">{"PRINT",#N/A,TRUE,"APPA";"PRINT",#N/A,TRUE,"APS";"PRINT",#N/A,TRUE,"BHPL";"PRINT",#N/A,TRUE,"BHPL2";"PRINT",#N/A,TRUE,"CDWR";"PRINT",#N/A,TRUE,"EWEB";"PRINT",#N/A,TRUE,"LADWP";"PRINT",#N/A,TRUE,"NEVBASE"}</definedName>
    <definedName name="keep2_1" localSheetId="4" hidden="1">{"PRINT",#N/A,TRUE,"APPA";"PRINT",#N/A,TRUE,"APS";"PRINT",#N/A,TRUE,"BHPL";"PRINT",#N/A,TRUE,"BHPL2";"PRINT",#N/A,TRUE,"CDWR";"PRINT",#N/A,TRUE,"EWEB";"PRINT",#N/A,TRUE,"LADWP";"PRINT",#N/A,TRUE,"NEVBASE"}</definedName>
    <definedName name="keep2_1" localSheetId="5" hidden="1">{"PRINT",#N/A,TRUE,"APPA";"PRINT",#N/A,TRUE,"APS";"PRINT",#N/A,TRUE,"BHPL";"PRINT",#N/A,TRUE,"BHPL2";"PRINT",#N/A,TRUE,"CDWR";"PRINT",#N/A,TRUE,"EWEB";"PRINT",#N/A,TRUE,"LADWP";"PRINT",#N/A,TRUE,"NEVBASE"}</definedName>
    <definedName name="keep2_1" localSheetId="6" hidden="1">{"PRINT",#N/A,TRUE,"APPA";"PRINT",#N/A,TRUE,"APS";"PRINT",#N/A,TRUE,"BHPL";"PRINT",#N/A,TRUE,"BHPL2";"PRINT",#N/A,TRUE,"CDWR";"PRINT",#N/A,TRUE,"EWEB";"PRINT",#N/A,TRUE,"LADWP";"PRINT",#N/A,TRUE,"NEVBASE"}</definedName>
    <definedName name="keep2_1" localSheetId="7" hidden="1">{"PRINT",#N/A,TRUE,"APPA";"PRINT",#N/A,TRUE,"APS";"PRINT",#N/A,TRUE,"BHPL";"PRINT",#N/A,TRUE,"BHPL2";"PRINT",#N/A,TRUE,"CDWR";"PRINT",#N/A,TRUE,"EWEB";"PRINT",#N/A,TRUE,"LADWP";"PRINT",#N/A,TRUE,"NEVBASE"}</definedName>
    <definedName name="keep2_1" localSheetId="8" hidden="1">{"PRINT",#N/A,TRUE,"APPA";"PRINT",#N/A,TRUE,"APS";"PRINT",#N/A,TRUE,"BHPL";"PRINT",#N/A,TRUE,"BHPL2";"PRINT",#N/A,TRUE,"CDWR";"PRINT",#N/A,TRUE,"EWEB";"PRINT",#N/A,TRUE,"LADWP";"PRINT",#N/A,TRUE,"NEVBASE"}</definedName>
    <definedName name="keep2_1" localSheetId="13" hidden="1">{"PRINT",#N/A,TRUE,"APPA";"PRINT",#N/A,TRUE,"APS";"PRINT",#N/A,TRUE,"BHPL";"PRINT",#N/A,TRUE,"BHPL2";"PRINT",#N/A,TRUE,"CDWR";"PRINT",#N/A,TRUE,"EWEB";"PRINT",#N/A,TRUE,"LADWP";"PRINT",#N/A,TRUE,"NEVBASE"}</definedName>
    <definedName name="keep2_1" localSheetId="0" hidden="1">{"PRINT",#N/A,TRUE,"APPA";"PRINT",#N/A,TRUE,"APS";"PRINT",#N/A,TRUE,"BHPL";"PRINT",#N/A,TRUE,"BHPL2";"PRINT",#N/A,TRUE,"CDWR";"PRINT",#N/A,TRUE,"EWEB";"PRINT",#N/A,TRUE,"LADWP";"PRINT",#N/A,TRUE,"NEVBASE"}</definedName>
    <definedName name="keep2_1" hidden="1">{"PRINT",#N/A,TRUE,"APPA";"PRINT",#N/A,TRUE,"APS";"PRINT",#N/A,TRUE,"BHPL";"PRINT",#N/A,TRUE,"BHPL2";"PRINT",#N/A,TRUE,"CDWR";"PRINT",#N/A,TRUE,"EWEB";"PRINT",#N/A,TRUE,"LADWP";"PRINT",#N/A,TRUE,"NEVBASE"}</definedName>
    <definedName name="keep2_2" localSheetId="1" hidden="1">{"PRINT",#N/A,TRUE,"APPA";"PRINT",#N/A,TRUE,"APS";"PRINT",#N/A,TRUE,"BHPL";"PRINT",#N/A,TRUE,"BHPL2";"PRINT",#N/A,TRUE,"CDWR";"PRINT",#N/A,TRUE,"EWEB";"PRINT",#N/A,TRUE,"LADWP";"PRINT",#N/A,TRUE,"NEVBASE"}</definedName>
    <definedName name="keep2_2" localSheetId="3" hidden="1">{"PRINT",#N/A,TRUE,"APPA";"PRINT",#N/A,TRUE,"APS";"PRINT",#N/A,TRUE,"BHPL";"PRINT",#N/A,TRUE,"BHPL2";"PRINT",#N/A,TRUE,"CDWR";"PRINT",#N/A,TRUE,"EWEB";"PRINT",#N/A,TRUE,"LADWP";"PRINT",#N/A,TRUE,"NEVBASE"}</definedName>
    <definedName name="keep2_2" localSheetId="4" hidden="1">{"PRINT",#N/A,TRUE,"APPA";"PRINT",#N/A,TRUE,"APS";"PRINT",#N/A,TRUE,"BHPL";"PRINT",#N/A,TRUE,"BHPL2";"PRINT",#N/A,TRUE,"CDWR";"PRINT",#N/A,TRUE,"EWEB";"PRINT",#N/A,TRUE,"LADWP";"PRINT",#N/A,TRUE,"NEVBASE"}</definedName>
    <definedName name="keep2_2" localSheetId="5" hidden="1">{"PRINT",#N/A,TRUE,"APPA";"PRINT",#N/A,TRUE,"APS";"PRINT",#N/A,TRUE,"BHPL";"PRINT",#N/A,TRUE,"BHPL2";"PRINT",#N/A,TRUE,"CDWR";"PRINT",#N/A,TRUE,"EWEB";"PRINT",#N/A,TRUE,"LADWP";"PRINT",#N/A,TRUE,"NEVBASE"}</definedName>
    <definedName name="keep2_2" localSheetId="6" hidden="1">{"PRINT",#N/A,TRUE,"APPA";"PRINT",#N/A,TRUE,"APS";"PRINT",#N/A,TRUE,"BHPL";"PRINT",#N/A,TRUE,"BHPL2";"PRINT",#N/A,TRUE,"CDWR";"PRINT",#N/A,TRUE,"EWEB";"PRINT",#N/A,TRUE,"LADWP";"PRINT",#N/A,TRUE,"NEVBASE"}</definedName>
    <definedName name="keep2_2" localSheetId="7" hidden="1">{"PRINT",#N/A,TRUE,"APPA";"PRINT",#N/A,TRUE,"APS";"PRINT",#N/A,TRUE,"BHPL";"PRINT",#N/A,TRUE,"BHPL2";"PRINT",#N/A,TRUE,"CDWR";"PRINT",#N/A,TRUE,"EWEB";"PRINT",#N/A,TRUE,"LADWP";"PRINT",#N/A,TRUE,"NEVBASE"}</definedName>
    <definedName name="keep2_2" localSheetId="8" hidden="1">{"PRINT",#N/A,TRUE,"APPA";"PRINT",#N/A,TRUE,"APS";"PRINT",#N/A,TRUE,"BHPL";"PRINT",#N/A,TRUE,"BHPL2";"PRINT",#N/A,TRUE,"CDWR";"PRINT",#N/A,TRUE,"EWEB";"PRINT",#N/A,TRUE,"LADWP";"PRINT",#N/A,TRUE,"NEVBASE"}</definedName>
    <definedName name="keep2_2" localSheetId="13" hidden="1">{"PRINT",#N/A,TRUE,"APPA";"PRINT",#N/A,TRUE,"APS";"PRINT",#N/A,TRUE,"BHPL";"PRINT",#N/A,TRUE,"BHPL2";"PRINT",#N/A,TRUE,"CDWR";"PRINT",#N/A,TRUE,"EWEB";"PRINT",#N/A,TRUE,"LADWP";"PRINT",#N/A,TRUE,"NEVBASE"}</definedName>
    <definedName name="keep2_2" localSheetId="0" hidden="1">{"PRINT",#N/A,TRUE,"APPA";"PRINT",#N/A,TRUE,"APS";"PRINT",#N/A,TRUE,"BHPL";"PRINT",#N/A,TRUE,"BHPL2";"PRINT",#N/A,TRUE,"CDWR";"PRINT",#N/A,TRUE,"EWEB";"PRINT",#N/A,TRUE,"LADWP";"PRINT",#N/A,TRUE,"NEVBASE"}</definedName>
    <definedName name="keep2_2" hidden="1">{"PRINT",#N/A,TRUE,"APPA";"PRINT",#N/A,TRUE,"APS";"PRINT",#N/A,TRUE,"BHPL";"PRINT",#N/A,TRUE,"BHPL2";"PRINT",#N/A,TRUE,"CDWR";"PRINT",#N/A,TRUE,"EWEB";"PRINT",#N/A,TRUE,"LADWP";"PRINT",#N/A,TRUE,"NEVBASE"}</definedName>
    <definedName name="keep2_3" localSheetId="1" hidden="1">{"PRINT",#N/A,TRUE,"APPA";"PRINT",#N/A,TRUE,"APS";"PRINT",#N/A,TRUE,"BHPL";"PRINT",#N/A,TRUE,"BHPL2";"PRINT",#N/A,TRUE,"CDWR";"PRINT",#N/A,TRUE,"EWEB";"PRINT",#N/A,TRUE,"LADWP";"PRINT",#N/A,TRUE,"NEVBASE"}</definedName>
    <definedName name="keep2_3" localSheetId="3" hidden="1">{"PRINT",#N/A,TRUE,"APPA";"PRINT",#N/A,TRUE,"APS";"PRINT",#N/A,TRUE,"BHPL";"PRINT",#N/A,TRUE,"BHPL2";"PRINT",#N/A,TRUE,"CDWR";"PRINT",#N/A,TRUE,"EWEB";"PRINT",#N/A,TRUE,"LADWP";"PRINT",#N/A,TRUE,"NEVBASE"}</definedName>
    <definedName name="keep2_3" localSheetId="4" hidden="1">{"PRINT",#N/A,TRUE,"APPA";"PRINT",#N/A,TRUE,"APS";"PRINT",#N/A,TRUE,"BHPL";"PRINT",#N/A,TRUE,"BHPL2";"PRINT",#N/A,TRUE,"CDWR";"PRINT",#N/A,TRUE,"EWEB";"PRINT",#N/A,TRUE,"LADWP";"PRINT",#N/A,TRUE,"NEVBASE"}</definedName>
    <definedName name="keep2_3" localSheetId="5" hidden="1">{"PRINT",#N/A,TRUE,"APPA";"PRINT",#N/A,TRUE,"APS";"PRINT",#N/A,TRUE,"BHPL";"PRINT",#N/A,TRUE,"BHPL2";"PRINT",#N/A,TRUE,"CDWR";"PRINT",#N/A,TRUE,"EWEB";"PRINT",#N/A,TRUE,"LADWP";"PRINT",#N/A,TRUE,"NEVBASE"}</definedName>
    <definedName name="keep2_3" localSheetId="6" hidden="1">{"PRINT",#N/A,TRUE,"APPA";"PRINT",#N/A,TRUE,"APS";"PRINT",#N/A,TRUE,"BHPL";"PRINT",#N/A,TRUE,"BHPL2";"PRINT",#N/A,TRUE,"CDWR";"PRINT",#N/A,TRUE,"EWEB";"PRINT",#N/A,TRUE,"LADWP";"PRINT",#N/A,TRUE,"NEVBASE"}</definedName>
    <definedName name="keep2_3" localSheetId="7" hidden="1">{"PRINT",#N/A,TRUE,"APPA";"PRINT",#N/A,TRUE,"APS";"PRINT",#N/A,TRUE,"BHPL";"PRINT",#N/A,TRUE,"BHPL2";"PRINT",#N/A,TRUE,"CDWR";"PRINT",#N/A,TRUE,"EWEB";"PRINT",#N/A,TRUE,"LADWP";"PRINT",#N/A,TRUE,"NEVBASE"}</definedName>
    <definedName name="keep2_3" localSheetId="8" hidden="1">{"PRINT",#N/A,TRUE,"APPA";"PRINT",#N/A,TRUE,"APS";"PRINT",#N/A,TRUE,"BHPL";"PRINT",#N/A,TRUE,"BHPL2";"PRINT",#N/A,TRUE,"CDWR";"PRINT",#N/A,TRUE,"EWEB";"PRINT",#N/A,TRUE,"LADWP";"PRINT",#N/A,TRUE,"NEVBASE"}</definedName>
    <definedName name="keep2_3" localSheetId="13" hidden="1">{"PRINT",#N/A,TRUE,"APPA";"PRINT",#N/A,TRUE,"APS";"PRINT",#N/A,TRUE,"BHPL";"PRINT",#N/A,TRUE,"BHPL2";"PRINT",#N/A,TRUE,"CDWR";"PRINT",#N/A,TRUE,"EWEB";"PRINT",#N/A,TRUE,"LADWP";"PRINT",#N/A,TRUE,"NEVBASE"}</definedName>
    <definedName name="keep2_3" localSheetId="0" hidden="1">{"PRINT",#N/A,TRUE,"APPA";"PRINT",#N/A,TRUE,"APS";"PRINT",#N/A,TRUE,"BHPL";"PRINT",#N/A,TRUE,"BHPL2";"PRINT",#N/A,TRUE,"CDWR";"PRINT",#N/A,TRUE,"EWEB";"PRINT",#N/A,TRUE,"LADWP";"PRINT",#N/A,TRUE,"NEVBASE"}</definedName>
    <definedName name="keep2_3" hidden="1">{"PRINT",#N/A,TRUE,"APPA";"PRINT",#N/A,TRUE,"APS";"PRINT",#N/A,TRUE,"BHPL";"PRINT",#N/A,TRUE,"BHPL2";"PRINT",#N/A,TRUE,"CDWR";"PRINT",#N/A,TRUE,"EWEB";"PRINT",#N/A,TRUE,"LADWP";"PRINT",#N/A,TRUE,"NEVBASE"}</definedName>
    <definedName name="keep2_4" localSheetId="1" hidden="1">{"PRINT",#N/A,TRUE,"APPA";"PRINT",#N/A,TRUE,"APS";"PRINT",#N/A,TRUE,"BHPL";"PRINT",#N/A,TRUE,"BHPL2";"PRINT",#N/A,TRUE,"CDWR";"PRINT",#N/A,TRUE,"EWEB";"PRINT",#N/A,TRUE,"LADWP";"PRINT",#N/A,TRUE,"NEVBASE"}</definedName>
    <definedName name="keep2_4" localSheetId="3" hidden="1">{"PRINT",#N/A,TRUE,"APPA";"PRINT",#N/A,TRUE,"APS";"PRINT",#N/A,TRUE,"BHPL";"PRINT",#N/A,TRUE,"BHPL2";"PRINT",#N/A,TRUE,"CDWR";"PRINT",#N/A,TRUE,"EWEB";"PRINT",#N/A,TRUE,"LADWP";"PRINT",#N/A,TRUE,"NEVBASE"}</definedName>
    <definedName name="keep2_4" localSheetId="4" hidden="1">{"PRINT",#N/A,TRUE,"APPA";"PRINT",#N/A,TRUE,"APS";"PRINT",#N/A,TRUE,"BHPL";"PRINT",#N/A,TRUE,"BHPL2";"PRINT",#N/A,TRUE,"CDWR";"PRINT",#N/A,TRUE,"EWEB";"PRINT",#N/A,TRUE,"LADWP";"PRINT",#N/A,TRUE,"NEVBASE"}</definedName>
    <definedName name="keep2_4" localSheetId="5" hidden="1">{"PRINT",#N/A,TRUE,"APPA";"PRINT",#N/A,TRUE,"APS";"PRINT",#N/A,TRUE,"BHPL";"PRINT",#N/A,TRUE,"BHPL2";"PRINT",#N/A,TRUE,"CDWR";"PRINT",#N/A,TRUE,"EWEB";"PRINT",#N/A,TRUE,"LADWP";"PRINT",#N/A,TRUE,"NEVBASE"}</definedName>
    <definedName name="keep2_4" localSheetId="6" hidden="1">{"PRINT",#N/A,TRUE,"APPA";"PRINT",#N/A,TRUE,"APS";"PRINT",#N/A,TRUE,"BHPL";"PRINT",#N/A,TRUE,"BHPL2";"PRINT",#N/A,TRUE,"CDWR";"PRINT",#N/A,TRUE,"EWEB";"PRINT",#N/A,TRUE,"LADWP";"PRINT",#N/A,TRUE,"NEVBASE"}</definedName>
    <definedName name="keep2_4" localSheetId="7" hidden="1">{"PRINT",#N/A,TRUE,"APPA";"PRINT",#N/A,TRUE,"APS";"PRINT",#N/A,TRUE,"BHPL";"PRINT",#N/A,TRUE,"BHPL2";"PRINT",#N/A,TRUE,"CDWR";"PRINT",#N/A,TRUE,"EWEB";"PRINT",#N/A,TRUE,"LADWP";"PRINT",#N/A,TRUE,"NEVBASE"}</definedName>
    <definedName name="keep2_4" localSheetId="8" hidden="1">{"PRINT",#N/A,TRUE,"APPA";"PRINT",#N/A,TRUE,"APS";"PRINT",#N/A,TRUE,"BHPL";"PRINT",#N/A,TRUE,"BHPL2";"PRINT",#N/A,TRUE,"CDWR";"PRINT",#N/A,TRUE,"EWEB";"PRINT",#N/A,TRUE,"LADWP";"PRINT",#N/A,TRUE,"NEVBASE"}</definedName>
    <definedName name="keep2_4" localSheetId="13" hidden="1">{"PRINT",#N/A,TRUE,"APPA";"PRINT",#N/A,TRUE,"APS";"PRINT",#N/A,TRUE,"BHPL";"PRINT",#N/A,TRUE,"BHPL2";"PRINT",#N/A,TRUE,"CDWR";"PRINT",#N/A,TRUE,"EWEB";"PRINT",#N/A,TRUE,"LADWP";"PRINT",#N/A,TRUE,"NEVBASE"}</definedName>
    <definedName name="keep2_4" localSheetId="0" hidden="1">{"PRINT",#N/A,TRUE,"APPA";"PRINT",#N/A,TRUE,"APS";"PRINT",#N/A,TRUE,"BHPL";"PRINT",#N/A,TRUE,"BHPL2";"PRINT",#N/A,TRUE,"CDWR";"PRINT",#N/A,TRUE,"EWEB";"PRINT",#N/A,TRUE,"LADWP";"PRINT",#N/A,TRUE,"NEVBASE"}</definedName>
    <definedName name="keep2_4" hidden="1">{"PRINT",#N/A,TRUE,"APPA";"PRINT",#N/A,TRUE,"APS";"PRINT",#N/A,TRUE,"BHPL";"PRINT",#N/A,TRUE,"BHPL2";"PRINT",#N/A,TRUE,"CDWR";"PRINT",#N/A,TRUE,"EWEB";"PRINT",#N/A,TRUE,"LADWP";"PRINT",#N/A,TRUE,"NEVBASE"}</definedName>
    <definedName name="keep2_5" localSheetId="1" hidden="1">{"PRINT",#N/A,TRUE,"APPA";"PRINT",#N/A,TRUE,"APS";"PRINT",#N/A,TRUE,"BHPL";"PRINT",#N/A,TRUE,"BHPL2";"PRINT",#N/A,TRUE,"CDWR";"PRINT",#N/A,TRUE,"EWEB";"PRINT",#N/A,TRUE,"LADWP";"PRINT",#N/A,TRUE,"NEVBASE"}</definedName>
    <definedName name="keep2_5" localSheetId="3" hidden="1">{"PRINT",#N/A,TRUE,"APPA";"PRINT",#N/A,TRUE,"APS";"PRINT",#N/A,TRUE,"BHPL";"PRINT",#N/A,TRUE,"BHPL2";"PRINT",#N/A,TRUE,"CDWR";"PRINT",#N/A,TRUE,"EWEB";"PRINT",#N/A,TRUE,"LADWP";"PRINT",#N/A,TRUE,"NEVBASE"}</definedName>
    <definedName name="keep2_5" localSheetId="4" hidden="1">{"PRINT",#N/A,TRUE,"APPA";"PRINT",#N/A,TRUE,"APS";"PRINT",#N/A,TRUE,"BHPL";"PRINT",#N/A,TRUE,"BHPL2";"PRINT",#N/A,TRUE,"CDWR";"PRINT",#N/A,TRUE,"EWEB";"PRINT",#N/A,TRUE,"LADWP";"PRINT",#N/A,TRUE,"NEVBASE"}</definedName>
    <definedName name="keep2_5" localSheetId="5" hidden="1">{"PRINT",#N/A,TRUE,"APPA";"PRINT",#N/A,TRUE,"APS";"PRINT",#N/A,TRUE,"BHPL";"PRINT",#N/A,TRUE,"BHPL2";"PRINT",#N/A,TRUE,"CDWR";"PRINT",#N/A,TRUE,"EWEB";"PRINT",#N/A,TRUE,"LADWP";"PRINT",#N/A,TRUE,"NEVBASE"}</definedName>
    <definedName name="keep2_5" localSheetId="6" hidden="1">{"PRINT",#N/A,TRUE,"APPA";"PRINT",#N/A,TRUE,"APS";"PRINT",#N/A,TRUE,"BHPL";"PRINT",#N/A,TRUE,"BHPL2";"PRINT",#N/A,TRUE,"CDWR";"PRINT",#N/A,TRUE,"EWEB";"PRINT",#N/A,TRUE,"LADWP";"PRINT",#N/A,TRUE,"NEVBASE"}</definedName>
    <definedName name="keep2_5" localSheetId="7" hidden="1">{"PRINT",#N/A,TRUE,"APPA";"PRINT",#N/A,TRUE,"APS";"PRINT",#N/A,TRUE,"BHPL";"PRINT",#N/A,TRUE,"BHPL2";"PRINT",#N/A,TRUE,"CDWR";"PRINT",#N/A,TRUE,"EWEB";"PRINT",#N/A,TRUE,"LADWP";"PRINT",#N/A,TRUE,"NEVBASE"}</definedName>
    <definedName name="keep2_5" localSheetId="8" hidden="1">{"PRINT",#N/A,TRUE,"APPA";"PRINT",#N/A,TRUE,"APS";"PRINT",#N/A,TRUE,"BHPL";"PRINT",#N/A,TRUE,"BHPL2";"PRINT",#N/A,TRUE,"CDWR";"PRINT",#N/A,TRUE,"EWEB";"PRINT",#N/A,TRUE,"LADWP";"PRINT",#N/A,TRUE,"NEVBASE"}</definedName>
    <definedName name="keep2_5" localSheetId="13" hidden="1">{"PRINT",#N/A,TRUE,"APPA";"PRINT",#N/A,TRUE,"APS";"PRINT",#N/A,TRUE,"BHPL";"PRINT",#N/A,TRUE,"BHPL2";"PRINT",#N/A,TRUE,"CDWR";"PRINT",#N/A,TRUE,"EWEB";"PRINT",#N/A,TRUE,"LADWP";"PRINT",#N/A,TRUE,"NEVBASE"}</definedName>
    <definedName name="keep2_5" localSheetId="0" hidden="1">{"PRINT",#N/A,TRUE,"APPA";"PRINT",#N/A,TRUE,"APS";"PRINT",#N/A,TRUE,"BHPL";"PRINT",#N/A,TRUE,"BHPL2";"PRINT",#N/A,TRUE,"CDWR";"PRINT",#N/A,TRUE,"EWEB";"PRINT",#N/A,TRUE,"LADWP";"PRINT",#N/A,TRUE,"NEVBASE"}</definedName>
    <definedName name="keep2_5" hidden="1">{"PRINT",#N/A,TRUE,"APPA";"PRINT",#N/A,TRUE,"APS";"PRINT",#N/A,TRUE,"BHPL";"PRINT",#N/A,TRUE,"BHPL2";"PRINT",#N/A,TRUE,"CDWR";"PRINT",#N/A,TRUE,"EWEB";"PRINT",#N/A,TRUE,"LADWP";"PRINT",#N/A,TRUE,"NEVBASE"}</definedName>
    <definedName name="Master" localSheetId="1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localSheetId="4" hidden="1">{#N/A,#N/A,FALSE,"Actual";#N/A,#N/A,FALSE,"Normalized";#N/A,#N/A,FALSE,"Electric Actual";#N/A,#N/A,FALSE,"Electric Normalized"}</definedName>
    <definedName name="Master" localSheetId="5" hidden="1">{#N/A,#N/A,FALSE,"Actual";#N/A,#N/A,FALSE,"Normalized";#N/A,#N/A,FALSE,"Electric Actual";#N/A,#N/A,FALSE,"Electric Normalized"}</definedName>
    <definedName name="Master" localSheetId="6" hidden="1">{#N/A,#N/A,FALSE,"Actual";#N/A,#N/A,FALSE,"Normalized";#N/A,#N/A,FALSE,"Electric Actual";#N/A,#N/A,FALSE,"Electric Normalized"}</definedName>
    <definedName name="Master" localSheetId="7" hidden="1">{#N/A,#N/A,FALSE,"Actual";#N/A,#N/A,FALSE,"Normalized";#N/A,#N/A,FALSE,"Electric Actual";#N/A,#N/A,FALSE,"Electric Normalized"}</definedName>
    <definedName name="Master" localSheetId="8" hidden="1">{#N/A,#N/A,FALSE,"Actual";#N/A,#N/A,FALSE,"Normalized";#N/A,#N/A,FALSE,"Electric Actual";#N/A,#N/A,FALSE,"Electric Normalized"}</definedName>
    <definedName name="Master" localSheetId="13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_1" localSheetId="1" hidden="1">{#N/A,#N/A,FALSE,"Actual";#N/A,#N/A,FALSE,"Normalized";#N/A,#N/A,FALSE,"Electric Actual";#N/A,#N/A,FALSE,"Electric Normalized"}</definedName>
    <definedName name="Master_1" localSheetId="3" hidden="1">{#N/A,#N/A,FALSE,"Actual";#N/A,#N/A,FALSE,"Normalized";#N/A,#N/A,FALSE,"Electric Actual";#N/A,#N/A,FALSE,"Electric Normalized"}</definedName>
    <definedName name="Master_1" localSheetId="4" hidden="1">{#N/A,#N/A,FALSE,"Actual";#N/A,#N/A,FALSE,"Normalized";#N/A,#N/A,FALSE,"Electric Actual";#N/A,#N/A,FALSE,"Electric Normalized"}</definedName>
    <definedName name="Master_1" localSheetId="5" hidden="1">{#N/A,#N/A,FALSE,"Actual";#N/A,#N/A,FALSE,"Normalized";#N/A,#N/A,FALSE,"Electric Actual";#N/A,#N/A,FALSE,"Electric Normalized"}</definedName>
    <definedName name="Master_1" localSheetId="6" hidden="1">{#N/A,#N/A,FALSE,"Actual";#N/A,#N/A,FALSE,"Normalized";#N/A,#N/A,FALSE,"Electric Actual";#N/A,#N/A,FALSE,"Electric Normalized"}</definedName>
    <definedName name="Master_1" localSheetId="7" hidden="1">{#N/A,#N/A,FALSE,"Actual";#N/A,#N/A,FALSE,"Normalized";#N/A,#N/A,FALSE,"Electric Actual";#N/A,#N/A,FALSE,"Electric Normalized"}</definedName>
    <definedName name="Master_1" localSheetId="8" hidden="1">{#N/A,#N/A,FALSE,"Actual";#N/A,#N/A,FALSE,"Normalized";#N/A,#N/A,FALSE,"Electric Actual";#N/A,#N/A,FALSE,"Electric Normalized"}</definedName>
    <definedName name="Master_1" localSheetId="13" hidden="1">{#N/A,#N/A,FALSE,"Actual";#N/A,#N/A,FALSE,"Normalized";#N/A,#N/A,FALSE,"Electric Actual";#N/A,#N/A,FALSE,"Electric Normalized"}</definedName>
    <definedName name="Master_1" localSheetId="0" hidden="1">{#N/A,#N/A,FALSE,"Actual";#N/A,#N/A,FALSE,"Normalized";#N/A,#N/A,FALSE,"Electric Actual";#N/A,#N/A,FALSE,"Electric Normalized"}</definedName>
    <definedName name="Master_1" hidden="1">{#N/A,#N/A,FALSE,"Actual";#N/A,#N/A,FALSE,"Normalized";#N/A,#N/A,FALSE,"Electric Actual";#N/A,#N/A,FALSE,"Electric Normalized"}</definedName>
    <definedName name="Master_2" localSheetId="1" hidden="1">{#N/A,#N/A,FALSE,"Actual";#N/A,#N/A,FALSE,"Normalized";#N/A,#N/A,FALSE,"Electric Actual";#N/A,#N/A,FALSE,"Electric Normalized"}</definedName>
    <definedName name="Master_2" localSheetId="3" hidden="1">{#N/A,#N/A,FALSE,"Actual";#N/A,#N/A,FALSE,"Normalized";#N/A,#N/A,FALSE,"Electric Actual";#N/A,#N/A,FALSE,"Electric Normalized"}</definedName>
    <definedName name="Master_2" localSheetId="4" hidden="1">{#N/A,#N/A,FALSE,"Actual";#N/A,#N/A,FALSE,"Normalized";#N/A,#N/A,FALSE,"Electric Actual";#N/A,#N/A,FALSE,"Electric Normalized"}</definedName>
    <definedName name="Master_2" localSheetId="5" hidden="1">{#N/A,#N/A,FALSE,"Actual";#N/A,#N/A,FALSE,"Normalized";#N/A,#N/A,FALSE,"Electric Actual";#N/A,#N/A,FALSE,"Electric Normalized"}</definedName>
    <definedName name="Master_2" localSheetId="6" hidden="1">{#N/A,#N/A,FALSE,"Actual";#N/A,#N/A,FALSE,"Normalized";#N/A,#N/A,FALSE,"Electric Actual";#N/A,#N/A,FALSE,"Electric Normalized"}</definedName>
    <definedName name="Master_2" localSheetId="7" hidden="1">{#N/A,#N/A,FALSE,"Actual";#N/A,#N/A,FALSE,"Normalized";#N/A,#N/A,FALSE,"Electric Actual";#N/A,#N/A,FALSE,"Electric Normalized"}</definedName>
    <definedName name="Master_2" localSheetId="8" hidden="1">{#N/A,#N/A,FALSE,"Actual";#N/A,#N/A,FALSE,"Normalized";#N/A,#N/A,FALSE,"Electric Actual";#N/A,#N/A,FALSE,"Electric Normalized"}</definedName>
    <definedName name="Master_2" localSheetId="13" hidden="1">{#N/A,#N/A,FALSE,"Actual";#N/A,#N/A,FALSE,"Normalized";#N/A,#N/A,FALSE,"Electric Actual";#N/A,#N/A,FALSE,"Electric Normalized"}</definedName>
    <definedName name="Master_2" localSheetId="0" hidden="1">{#N/A,#N/A,FALSE,"Actual";#N/A,#N/A,FALSE,"Normalized";#N/A,#N/A,FALSE,"Electric Actual";#N/A,#N/A,FALSE,"Electric Normalized"}</definedName>
    <definedName name="Master_2" hidden="1">{#N/A,#N/A,FALSE,"Actual";#N/A,#N/A,FALSE,"Normalized";#N/A,#N/A,FALSE,"Electric Actual";#N/A,#N/A,FALSE,"Electric Normalized"}</definedName>
    <definedName name="Master_3" localSheetId="1" hidden="1">{#N/A,#N/A,FALSE,"Actual";#N/A,#N/A,FALSE,"Normalized";#N/A,#N/A,FALSE,"Electric Actual";#N/A,#N/A,FALSE,"Electric Normalized"}</definedName>
    <definedName name="Master_3" localSheetId="3" hidden="1">{#N/A,#N/A,FALSE,"Actual";#N/A,#N/A,FALSE,"Normalized";#N/A,#N/A,FALSE,"Electric Actual";#N/A,#N/A,FALSE,"Electric Normalized"}</definedName>
    <definedName name="Master_3" localSheetId="4" hidden="1">{#N/A,#N/A,FALSE,"Actual";#N/A,#N/A,FALSE,"Normalized";#N/A,#N/A,FALSE,"Electric Actual";#N/A,#N/A,FALSE,"Electric Normalized"}</definedName>
    <definedName name="Master_3" localSheetId="5" hidden="1">{#N/A,#N/A,FALSE,"Actual";#N/A,#N/A,FALSE,"Normalized";#N/A,#N/A,FALSE,"Electric Actual";#N/A,#N/A,FALSE,"Electric Normalized"}</definedName>
    <definedName name="Master_3" localSheetId="6" hidden="1">{#N/A,#N/A,FALSE,"Actual";#N/A,#N/A,FALSE,"Normalized";#N/A,#N/A,FALSE,"Electric Actual";#N/A,#N/A,FALSE,"Electric Normalized"}</definedName>
    <definedName name="Master_3" localSheetId="7" hidden="1">{#N/A,#N/A,FALSE,"Actual";#N/A,#N/A,FALSE,"Normalized";#N/A,#N/A,FALSE,"Electric Actual";#N/A,#N/A,FALSE,"Electric Normalized"}</definedName>
    <definedName name="Master_3" localSheetId="8" hidden="1">{#N/A,#N/A,FALSE,"Actual";#N/A,#N/A,FALSE,"Normalized";#N/A,#N/A,FALSE,"Electric Actual";#N/A,#N/A,FALSE,"Electric Normalized"}</definedName>
    <definedName name="Master_3" localSheetId="13" hidden="1">{#N/A,#N/A,FALSE,"Actual";#N/A,#N/A,FALSE,"Normalized";#N/A,#N/A,FALSE,"Electric Actual";#N/A,#N/A,FALSE,"Electric Normalized"}</definedName>
    <definedName name="Master_3" localSheetId="0" hidden="1">{#N/A,#N/A,FALSE,"Actual";#N/A,#N/A,FALSE,"Normalized";#N/A,#N/A,FALSE,"Electric Actual";#N/A,#N/A,FALSE,"Electric Normalized"}</definedName>
    <definedName name="Master_3" hidden="1">{#N/A,#N/A,FALSE,"Actual";#N/A,#N/A,FALSE,"Normalized";#N/A,#N/A,FALSE,"Electric Actual";#N/A,#N/A,FALSE,"Electric Normalized"}</definedName>
    <definedName name="Master_4" localSheetId="1" hidden="1">{#N/A,#N/A,FALSE,"Actual";#N/A,#N/A,FALSE,"Normalized";#N/A,#N/A,FALSE,"Electric Actual";#N/A,#N/A,FALSE,"Electric Normalized"}</definedName>
    <definedName name="Master_4" localSheetId="3" hidden="1">{#N/A,#N/A,FALSE,"Actual";#N/A,#N/A,FALSE,"Normalized";#N/A,#N/A,FALSE,"Electric Actual";#N/A,#N/A,FALSE,"Electric Normalized"}</definedName>
    <definedName name="Master_4" localSheetId="4" hidden="1">{#N/A,#N/A,FALSE,"Actual";#N/A,#N/A,FALSE,"Normalized";#N/A,#N/A,FALSE,"Electric Actual";#N/A,#N/A,FALSE,"Electric Normalized"}</definedName>
    <definedName name="Master_4" localSheetId="5" hidden="1">{#N/A,#N/A,FALSE,"Actual";#N/A,#N/A,FALSE,"Normalized";#N/A,#N/A,FALSE,"Electric Actual";#N/A,#N/A,FALSE,"Electric Normalized"}</definedName>
    <definedName name="Master_4" localSheetId="6" hidden="1">{#N/A,#N/A,FALSE,"Actual";#N/A,#N/A,FALSE,"Normalized";#N/A,#N/A,FALSE,"Electric Actual";#N/A,#N/A,FALSE,"Electric Normalized"}</definedName>
    <definedName name="Master_4" localSheetId="7" hidden="1">{#N/A,#N/A,FALSE,"Actual";#N/A,#N/A,FALSE,"Normalized";#N/A,#N/A,FALSE,"Electric Actual";#N/A,#N/A,FALSE,"Electric Normalized"}</definedName>
    <definedName name="Master_4" localSheetId="8" hidden="1">{#N/A,#N/A,FALSE,"Actual";#N/A,#N/A,FALSE,"Normalized";#N/A,#N/A,FALSE,"Electric Actual";#N/A,#N/A,FALSE,"Electric Normalized"}</definedName>
    <definedName name="Master_4" localSheetId="13" hidden="1">{#N/A,#N/A,FALSE,"Actual";#N/A,#N/A,FALSE,"Normalized";#N/A,#N/A,FALSE,"Electric Actual";#N/A,#N/A,FALSE,"Electric Normalized"}</definedName>
    <definedName name="Master_4" localSheetId="0" hidden="1">{#N/A,#N/A,FALSE,"Actual";#N/A,#N/A,FALSE,"Normalized";#N/A,#N/A,FALSE,"Electric Actual";#N/A,#N/A,FALSE,"Electric Normalized"}</definedName>
    <definedName name="Master_4" hidden="1">{#N/A,#N/A,FALSE,"Actual";#N/A,#N/A,FALSE,"Normalized";#N/A,#N/A,FALSE,"Electric Actual";#N/A,#N/A,FALSE,"Electric Normalized"}</definedName>
    <definedName name="Master_5" localSheetId="1" hidden="1">{#N/A,#N/A,FALSE,"Actual";#N/A,#N/A,FALSE,"Normalized";#N/A,#N/A,FALSE,"Electric Actual";#N/A,#N/A,FALSE,"Electric Normalized"}</definedName>
    <definedName name="Master_5" localSheetId="3" hidden="1">{#N/A,#N/A,FALSE,"Actual";#N/A,#N/A,FALSE,"Normalized";#N/A,#N/A,FALSE,"Electric Actual";#N/A,#N/A,FALSE,"Electric Normalized"}</definedName>
    <definedName name="Master_5" localSheetId="4" hidden="1">{#N/A,#N/A,FALSE,"Actual";#N/A,#N/A,FALSE,"Normalized";#N/A,#N/A,FALSE,"Electric Actual";#N/A,#N/A,FALSE,"Electric Normalized"}</definedName>
    <definedName name="Master_5" localSheetId="5" hidden="1">{#N/A,#N/A,FALSE,"Actual";#N/A,#N/A,FALSE,"Normalized";#N/A,#N/A,FALSE,"Electric Actual";#N/A,#N/A,FALSE,"Electric Normalized"}</definedName>
    <definedName name="Master_5" localSheetId="6" hidden="1">{#N/A,#N/A,FALSE,"Actual";#N/A,#N/A,FALSE,"Normalized";#N/A,#N/A,FALSE,"Electric Actual";#N/A,#N/A,FALSE,"Electric Normalized"}</definedName>
    <definedName name="Master_5" localSheetId="7" hidden="1">{#N/A,#N/A,FALSE,"Actual";#N/A,#N/A,FALSE,"Normalized";#N/A,#N/A,FALSE,"Electric Actual";#N/A,#N/A,FALSE,"Electric Normalized"}</definedName>
    <definedName name="Master_5" localSheetId="8" hidden="1">{#N/A,#N/A,FALSE,"Actual";#N/A,#N/A,FALSE,"Normalized";#N/A,#N/A,FALSE,"Electric Actual";#N/A,#N/A,FALSE,"Electric Normalized"}</definedName>
    <definedName name="Master_5" localSheetId="13" hidden="1">{#N/A,#N/A,FALSE,"Actual";#N/A,#N/A,FALSE,"Normalized";#N/A,#N/A,FALSE,"Electric Actual";#N/A,#N/A,FALSE,"Electric Normalized"}</definedName>
    <definedName name="Master_5" localSheetId="0" hidden="1">{#N/A,#N/A,FALSE,"Actual";#N/A,#N/A,FALSE,"Normalized";#N/A,#N/A,FALSE,"Electric Actual";#N/A,#N/A,FALSE,"Electric Normalized"}</definedName>
    <definedName name="Master_5" hidden="1">{#N/A,#N/A,FALSE,"Actual";#N/A,#N/A,FALSE,"Normalized";#N/A,#N/A,FALSE,"Electric Actual";#N/A,#N/A,FALSE,"Electric Normalized"}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localSheetId="5" hidden="1">{#N/A,#N/A,FALSE,"Summary";#N/A,#N/A,FALSE,"SmPlants";#N/A,#N/A,FALSE,"Utah";#N/A,#N/A,FALSE,"Idaho";#N/A,#N/A,FALSE,"Lewis River";#N/A,#N/A,FALSE,"NrthUmpq";#N/A,#N/A,FALSE,"KlamRog"}</definedName>
    <definedName name="OHSch10YR" localSheetId="6" hidden="1">{#N/A,#N/A,FALSE,"Summary";#N/A,#N/A,FALSE,"SmPlants";#N/A,#N/A,FALSE,"Utah";#N/A,#N/A,FALSE,"Idaho";#N/A,#N/A,FALSE,"Lewis River";#N/A,#N/A,FALSE,"NrthUmpq";#N/A,#N/A,FALSE,"KlamRog"}</definedName>
    <definedName name="OHSch10YR" localSheetId="7" hidden="1">{#N/A,#N/A,FALSE,"Summary";#N/A,#N/A,FALSE,"SmPlants";#N/A,#N/A,FALSE,"Utah";#N/A,#N/A,FALSE,"Idaho";#N/A,#N/A,FALSE,"Lewis River";#N/A,#N/A,FALSE,"NrthUmpq";#N/A,#N/A,FALSE,"KlamRog"}</definedName>
    <definedName name="OHSch10YR" localSheetId="8" hidden="1">{#N/A,#N/A,FALSE,"Summary";#N/A,#N/A,FALSE,"SmPlants";#N/A,#N/A,FALSE,"Utah";#N/A,#N/A,FALSE,"Idaho";#N/A,#N/A,FALSE,"Lewis River";#N/A,#N/A,FALSE,"NrthUmpq";#N/A,#N/A,FALSE,"KlamRog"}</definedName>
    <definedName name="OHSch10YR" localSheetId="13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HSch10YR_1" localSheetId="1" hidden="1">{#N/A,#N/A,FALSE,"Summary";#N/A,#N/A,FALSE,"SmPlants";#N/A,#N/A,FALSE,"Utah";#N/A,#N/A,FALSE,"Idaho";#N/A,#N/A,FALSE,"Lewis River";#N/A,#N/A,FALSE,"NrthUmpq";#N/A,#N/A,FALSE,"KlamRog"}</definedName>
    <definedName name="OHSch10YR_1" localSheetId="3" hidden="1">{#N/A,#N/A,FALSE,"Summary";#N/A,#N/A,FALSE,"SmPlants";#N/A,#N/A,FALSE,"Utah";#N/A,#N/A,FALSE,"Idaho";#N/A,#N/A,FALSE,"Lewis River";#N/A,#N/A,FALSE,"NrthUmpq";#N/A,#N/A,FALSE,"KlamRog"}</definedName>
    <definedName name="OHSch10YR_1" localSheetId="4" hidden="1">{#N/A,#N/A,FALSE,"Summary";#N/A,#N/A,FALSE,"SmPlants";#N/A,#N/A,FALSE,"Utah";#N/A,#N/A,FALSE,"Idaho";#N/A,#N/A,FALSE,"Lewis River";#N/A,#N/A,FALSE,"NrthUmpq";#N/A,#N/A,FALSE,"KlamRog"}</definedName>
    <definedName name="OHSch10YR_1" localSheetId="5" hidden="1">{#N/A,#N/A,FALSE,"Summary";#N/A,#N/A,FALSE,"SmPlants";#N/A,#N/A,FALSE,"Utah";#N/A,#N/A,FALSE,"Idaho";#N/A,#N/A,FALSE,"Lewis River";#N/A,#N/A,FALSE,"NrthUmpq";#N/A,#N/A,FALSE,"KlamRog"}</definedName>
    <definedName name="OHSch10YR_1" localSheetId="6" hidden="1">{#N/A,#N/A,FALSE,"Summary";#N/A,#N/A,FALSE,"SmPlants";#N/A,#N/A,FALSE,"Utah";#N/A,#N/A,FALSE,"Idaho";#N/A,#N/A,FALSE,"Lewis River";#N/A,#N/A,FALSE,"NrthUmpq";#N/A,#N/A,FALSE,"KlamRog"}</definedName>
    <definedName name="OHSch10YR_1" localSheetId="7" hidden="1">{#N/A,#N/A,FALSE,"Summary";#N/A,#N/A,FALSE,"SmPlants";#N/A,#N/A,FALSE,"Utah";#N/A,#N/A,FALSE,"Idaho";#N/A,#N/A,FALSE,"Lewis River";#N/A,#N/A,FALSE,"NrthUmpq";#N/A,#N/A,FALSE,"KlamRog"}</definedName>
    <definedName name="OHSch10YR_1" localSheetId="8" hidden="1">{#N/A,#N/A,FALSE,"Summary";#N/A,#N/A,FALSE,"SmPlants";#N/A,#N/A,FALSE,"Utah";#N/A,#N/A,FALSE,"Idaho";#N/A,#N/A,FALSE,"Lewis River";#N/A,#N/A,FALSE,"NrthUmpq";#N/A,#N/A,FALSE,"KlamRog"}</definedName>
    <definedName name="OHSch10YR_1" localSheetId="13" hidden="1">{#N/A,#N/A,FALSE,"Summary";#N/A,#N/A,FALSE,"SmPlants";#N/A,#N/A,FALSE,"Utah";#N/A,#N/A,FALSE,"Idaho";#N/A,#N/A,FALSE,"Lewis River";#N/A,#N/A,FALSE,"NrthUmpq";#N/A,#N/A,FALSE,"KlamRog"}</definedName>
    <definedName name="OHSch10YR_1" localSheetId="0" hidden="1">{#N/A,#N/A,FALSE,"Summary";#N/A,#N/A,FALSE,"SmPlants";#N/A,#N/A,FALSE,"Utah";#N/A,#N/A,FALSE,"Idaho";#N/A,#N/A,FALSE,"Lewis River";#N/A,#N/A,FALSE,"NrthUmpq";#N/A,#N/A,FALSE,"KlamRog"}</definedName>
    <definedName name="OHSch10YR_1" hidden="1">{#N/A,#N/A,FALSE,"Summary";#N/A,#N/A,FALSE,"SmPlants";#N/A,#N/A,FALSE,"Utah";#N/A,#N/A,FALSE,"Idaho";#N/A,#N/A,FALSE,"Lewis River";#N/A,#N/A,FALSE,"NrthUmpq";#N/A,#N/A,FALSE,"KlamRog"}</definedName>
    <definedName name="OHSch10YR_2" localSheetId="1" hidden="1">{#N/A,#N/A,FALSE,"Summary";#N/A,#N/A,FALSE,"SmPlants";#N/A,#N/A,FALSE,"Utah";#N/A,#N/A,FALSE,"Idaho";#N/A,#N/A,FALSE,"Lewis River";#N/A,#N/A,FALSE,"NrthUmpq";#N/A,#N/A,FALSE,"KlamRog"}</definedName>
    <definedName name="OHSch10YR_2" localSheetId="3" hidden="1">{#N/A,#N/A,FALSE,"Summary";#N/A,#N/A,FALSE,"SmPlants";#N/A,#N/A,FALSE,"Utah";#N/A,#N/A,FALSE,"Idaho";#N/A,#N/A,FALSE,"Lewis River";#N/A,#N/A,FALSE,"NrthUmpq";#N/A,#N/A,FALSE,"KlamRog"}</definedName>
    <definedName name="OHSch10YR_2" localSheetId="4" hidden="1">{#N/A,#N/A,FALSE,"Summary";#N/A,#N/A,FALSE,"SmPlants";#N/A,#N/A,FALSE,"Utah";#N/A,#N/A,FALSE,"Idaho";#N/A,#N/A,FALSE,"Lewis River";#N/A,#N/A,FALSE,"NrthUmpq";#N/A,#N/A,FALSE,"KlamRog"}</definedName>
    <definedName name="OHSch10YR_2" localSheetId="5" hidden="1">{#N/A,#N/A,FALSE,"Summary";#N/A,#N/A,FALSE,"SmPlants";#N/A,#N/A,FALSE,"Utah";#N/A,#N/A,FALSE,"Idaho";#N/A,#N/A,FALSE,"Lewis River";#N/A,#N/A,FALSE,"NrthUmpq";#N/A,#N/A,FALSE,"KlamRog"}</definedName>
    <definedName name="OHSch10YR_2" localSheetId="6" hidden="1">{#N/A,#N/A,FALSE,"Summary";#N/A,#N/A,FALSE,"SmPlants";#N/A,#N/A,FALSE,"Utah";#N/A,#N/A,FALSE,"Idaho";#N/A,#N/A,FALSE,"Lewis River";#N/A,#N/A,FALSE,"NrthUmpq";#N/A,#N/A,FALSE,"KlamRog"}</definedName>
    <definedName name="OHSch10YR_2" localSheetId="7" hidden="1">{#N/A,#N/A,FALSE,"Summary";#N/A,#N/A,FALSE,"SmPlants";#N/A,#N/A,FALSE,"Utah";#N/A,#N/A,FALSE,"Idaho";#N/A,#N/A,FALSE,"Lewis River";#N/A,#N/A,FALSE,"NrthUmpq";#N/A,#N/A,FALSE,"KlamRog"}</definedName>
    <definedName name="OHSch10YR_2" localSheetId="8" hidden="1">{#N/A,#N/A,FALSE,"Summary";#N/A,#N/A,FALSE,"SmPlants";#N/A,#N/A,FALSE,"Utah";#N/A,#N/A,FALSE,"Idaho";#N/A,#N/A,FALSE,"Lewis River";#N/A,#N/A,FALSE,"NrthUmpq";#N/A,#N/A,FALSE,"KlamRog"}</definedName>
    <definedName name="OHSch10YR_2" localSheetId="13" hidden="1">{#N/A,#N/A,FALSE,"Summary";#N/A,#N/A,FALSE,"SmPlants";#N/A,#N/A,FALSE,"Utah";#N/A,#N/A,FALSE,"Idaho";#N/A,#N/A,FALSE,"Lewis River";#N/A,#N/A,FALSE,"NrthUmpq";#N/A,#N/A,FALSE,"KlamRog"}</definedName>
    <definedName name="OHSch10YR_2" localSheetId="0" hidden="1">{#N/A,#N/A,FALSE,"Summary";#N/A,#N/A,FALSE,"SmPlants";#N/A,#N/A,FALSE,"Utah";#N/A,#N/A,FALSE,"Idaho";#N/A,#N/A,FALSE,"Lewis River";#N/A,#N/A,FALSE,"NrthUmpq";#N/A,#N/A,FALSE,"KlamRog"}</definedName>
    <definedName name="OHSch10YR_2" hidden="1">{#N/A,#N/A,FALSE,"Summary";#N/A,#N/A,FALSE,"SmPlants";#N/A,#N/A,FALSE,"Utah";#N/A,#N/A,FALSE,"Idaho";#N/A,#N/A,FALSE,"Lewis River";#N/A,#N/A,FALSE,"NrthUmpq";#N/A,#N/A,FALSE,"KlamRog"}</definedName>
    <definedName name="OHSch10YR_3" localSheetId="1" hidden="1">{#N/A,#N/A,FALSE,"Summary";#N/A,#N/A,FALSE,"SmPlants";#N/A,#N/A,FALSE,"Utah";#N/A,#N/A,FALSE,"Idaho";#N/A,#N/A,FALSE,"Lewis River";#N/A,#N/A,FALSE,"NrthUmpq";#N/A,#N/A,FALSE,"KlamRog"}</definedName>
    <definedName name="OHSch10YR_3" localSheetId="3" hidden="1">{#N/A,#N/A,FALSE,"Summary";#N/A,#N/A,FALSE,"SmPlants";#N/A,#N/A,FALSE,"Utah";#N/A,#N/A,FALSE,"Idaho";#N/A,#N/A,FALSE,"Lewis River";#N/A,#N/A,FALSE,"NrthUmpq";#N/A,#N/A,FALSE,"KlamRog"}</definedName>
    <definedName name="OHSch10YR_3" localSheetId="4" hidden="1">{#N/A,#N/A,FALSE,"Summary";#N/A,#N/A,FALSE,"SmPlants";#N/A,#N/A,FALSE,"Utah";#N/A,#N/A,FALSE,"Idaho";#N/A,#N/A,FALSE,"Lewis River";#N/A,#N/A,FALSE,"NrthUmpq";#N/A,#N/A,FALSE,"KlamRog"}</definedName>
    <definedName name="OHSch10YR_3" localSheetId="5" hidden="1">{#N/A,#N/A,FALSE,"Summary";#N/A,#N/A,FALSE,"SmPlants";#N/A,#N/A,FALSE,"Utah";#N/A,#N/A,FALSE,"Idaho";#N/A,#N/A,FALSE,"Lewis River";#N/A,#N/A,FALSE,"NrthUmpq";#N/A,#N/A,FALSE,"KlamRog"}</definedName>
    <definedName name="OHSch10YR_3" localSheetId="6" hidden="1">{#N/A,#N/A,FALSE,"Summary";#N/A,#N/A,FALSE,"SmPlants";#N/A,#N/A,FALSE,"Utah";#N/A,#N/A,FALSE,"Idaho";#N/A,#N/A,FALSE,"Lewis River";#N/A,#N/A,FALSE,"NrthUmpq";#N/A,#N/A,FALSE,"KlamRog"}</definedName>
    <definedName name="OHSch10YR_3" localSheetId="7" hidden="1">{#N/A,#N/A,FALSE,"Summary";#N/A,#N/A,FALSE,"SmPlants";#N/A,#N/A,FALSE,"Utah";#N/A,#N/A,FALSE,"Idaho";#N/A,#N/A,FALSE,"Lewis River";#N/A,#N/A,FALSE,"NrthUmpq";#N/A,#N/A,FALSE,"KlamRog"}</definedName>
    <definedName name="OHSch10YR_3" localSheetId="8" hidden="1">{#N/A,#N/A,FALSE,"Summary";#N/A,#N/A,FALSE,"SmPlants";#N/A,#N/A,FALSE,"Utah";#N/A,#N/A,FALSE,"Idaho";#N/A,#N/A,FALSE,"Lewis River";#N/A,#N/A,FALSE,"NrthUmpq";#N/A,#N/A,FALSE,"KlamRog"}</definedName>
    <definedName name="OHSch10YR_3" localSheetId="13" hidden="1">{#N/A,#N/A,FALSE,"Summary";#N/A,#N/A,FALSE,"SmPlants";#N/A,#N/A,FALSE,"Utah";#N/A,#N/A,FALSE,"Idaho";#N/A,#N/A,FALSE,"Lewis River";#N/A,#N/A,FALSE,"NrthUmpq";#N/A,#N/A,FALSE,"KlamRog"}</definedName>
    <definedName name="OHSch10YR_3" localSheetId="0" hidden="1">{#N/A,#N/A,FALSE,"Summary";#N/A,#N/A,FALSE,"SmPlants";#N/A,#N/A,FALSE,"Utah";#N/A,#N/A,FALSE,"Idaho";#N/A,#N/A,FALSE,"Lewis River";#N/A,#N/A,FALSE,"NrthUmpq";#N/A,#N/A,FALSE,"KlamRog"}</definedName>
    <definedName name="OHSch10YR_3" hidden="1">{#N/A,#N/A,FALSE,"Summary";#N/A,#N/A,FALSE,"SmPlants";#N/A,#N/A,FALSE,"Utah";#N/A,#N/A,FALSE,"Idaho";#N/A,#N/A,FALSE,"Lewis River";#N/A,#N/A,FALSE,"NrthUmpq";#N/A,#N/A,FALSE,"KlamRog"}</definedName>
    <definedName name="OHSch10YR_4" localSheetId="1" hidden="1">{#N/A,#N/A,FALSE,"Summary";#N/A,#N/A,FALSE,"SmPlants";#N/A,#N/A,FALSE,"Utah";#N/A,#N/A,FALSE,"Idaho";#N/A,#N/A,FALSE,"Lewis River";#N/A,#N/A,FALSE,"NrthUmpq";#N/A,#N/A,FALSE,"KlamRog"}</definedName>
    <definedName name="OHSch10YR_4" localSheetId="3" hidden="1">{#N/A,#N/A,FALSE,"Summary";#N/A,#N/A,FALSE,"SmPlants";#N/A,#N/A,FALSE,"Utah";#N/A,#N/A,FALSE,"Idaho";#N/A,#N/A,FALSE,"Lewis River";#N/A,#N/A,FALSE,"NrthUmpq";#N/A,#N/A,FALSE,"KlamRog"}</definedName>
    <definedName name="OHSch10YR_4" localSheetId="4" hidden="1">{#N/A,#N/A,FALSE,"Summary";#N/A,#N/A,FALSE,"SmPlants";#N/A,#N/A,FALSE,"Utah";#N/A,#N/A,FALSE,"Idaho";#N/A,#N/A,FALSE,"Lewis River";#N/A,#N/A,FALSE,"NrthUmpq";#N/A,#N/A,FALSE,"KlamRog"}</definedName>
    <definedName name="OHSch10YR_4" localSheetId="5" hidden="1">{#N/A,#N/A,FALSE,"Summary";#N/A,#N/A,FALSE,"SmPlants";#N/A,#N/A,FALSE,"Utah";#N/A,#N/A,FALSE,"Idaho";#N/A,#N/A,FALSE,"Lewis River";#N/A,#N/A,FALSE,"NrthUmpq";#N/A,#N/A,FALSE,"KlamRog"}</definedName>
    <definedName name="OHSch10YR_4" localSheetId="6" hidden="1">{#N/A,#N/A,FALSE,"Summary";#N/A,#N/A,FALSE,"SmPlants";#N/A,#N/A,FALSE,"Utah";#N/A,#N/A,FALSE,"Idaho";#N/A,#N/A,FALSE,"Lewis River";#N/A,#N/A,FALSE,"NrthUmpq";#N/A,#N/A,FALSE,"KlamRog"}</definedName>
    <definedName name="OHSch10YR_4" localSheetId="7" hidden="1">{#N/A,#N/A,FALSE,"Summary";#N/A,#N/A,FALSE,"SmPlants";#N/A,#N/A,FALSE,"Utah";#N/A,#N/A,FALSE,"Idaho";#N/A,#N/A,FALSE,"Lewis River";#N/A,#N/A,FALSE,"NrthUmpq";#N/A,#N/A,FALSE,"KlamRog"}</definedName>
    <definedName name="OHSch10YR_4" localSheetId="8" hidden="1">{#N/A,#N/A,FALSE,"Summary";#N/A,#N/A,FALSE,"SmPlants";#N/A,#N/A,FALSE,"Utah";#N/A,#N/A,FALSE,"Idaho";#N/A,#N/A,FALSE,"Lewis River";#N/A,#N/A,FALSE,"NrthUmpq";#N/A,#N/A,FALSE,"KlamRog"}</definedName>
    <definedName name="OHSch10YR_4" localSheetId="13" hidden="1">{#N/A,#N/A,FALSE,"Summary";#N/A,#N/A,FALSE,"SmPlants";#N/A,#N/A,FALSE,"Utah";#N/A,#N/A,FALSE,"Idaho";#N/A,#N/A,FALSE,"Lewis River";#N/A,#N/A,FALSE,"NrthUmpq";#N/A,#N/A,FALSE,"KlamRog"}</definedName>
    <definedName name="OHSch10YR_4" localSheetId="0" hidden="1">{#N/A,#N/A,FALSE,"Summary";#N/A,#N/A,FALSE,"SmPlants";#N/A,#N/A,FALSE,"Utah";#N/A,#N/A,FALSE,"Idaho";#N/A,#N/A,FALSE,"Lewis River";#N/A,#N/A,FALSE,"NrthUmpq";#N/A,#N/A,FALSE,"KlamRog"}</definedName>
    <definedName name="OHSch10YR_4" hidden="1">{#N/A,#N/A,FALSE,"Summary";#N/A,#N/A,FALSE,"SmPlants";#N/A,#N/A,FALSE,"Utah";#N/A,#N/A,FALSE,"Idaho";#N/A,#N/A,FALSE,"Lewis River";#N/A,#N/A,FALSE,"NrthUmpq";#N/A,#N/A,FALSE,"KlamRog"}</definedName>
    <definedName name="OHSch10YR_5" localSheetId="1" hidden="1">{#N/A,#N/A,FALSE,"Summary";#N/A,#N/A,FALSE,"SmPlants";#N/A,#N/A,FALSE,"Utah";#N/A,#N/A,FALSE,"Idaho";#N/A,#N/A,FALSE,"Lewis River";#N/A,#N/A,FALSE,"NrthUmpq";#N/A,#N/A,FALSE,"KlamRog"}</definedName>
    <definedName name="OHSch10YR_5" localSheetId="3" hidden="1">{#N/A,#N/A,FALSE,"Summary";#N/A,#N/A,FALSE,"SmPlants";#N/A,#N/A,FALSE,"Utah";#N/A,#N/A,FALSE,"Idaho";#N/A,#N/A,FALSE,"Lewis River";#N/A,#N/A,FALSE,"NrthUmpq";#N/A,#N/A,FALSE,"KlamRog"}</definedName>
    <definedName name="OHSch10YR_5" localSheetId="4" hidden="1">{#N/A,#N/A,FALSE,"Summary";#N/A,#N/A,FALSE,"SmPlants";#N/A,#N/A,FALSE,"Utah";#N/A,#N/A,FALSE,"Idaho";#N/A,#N/A,FALSE,"Lewis River";#N/A,#N/A,FALSE,"NrthUmpq";#N/A,#N/A,FALSE,"KlamRog"}</definedName>
    <definedName name="OHSch10YR_5" localSheetId="5" hidden="1">{#N/A,#N/A,FALSE,"Summary";#N/A,#N/A,FALSE,"SmPlants";#N/A,#N/A,FALSE,"Utah";#N/A,#N/A,FALSE,"Idaho";#N/A,#N/A,FALSE,"Lewis River";#N/A,#N/A,FALSE,"NrthUmpq";#N/A,#N/A,FALSE,"KlamRog"}</definedName>
    <definedName name="OHSch10YR_5" localSheetId="6" hidden="1">{#N/A,#N/A,FALSE,"Summary";#N/A,#N/A,FALSE,"SmPlants";#N/A,#N/A,FALSE,"Utah";#N/A,#N/A,FALSE,"Idaho";#N/A,#N/A,FALSE,"Lewis River";#N/A,#N/A,FALSE,"NrthUmpq";#N/A,#N/A,FALSE,"KlamRog"}</definedName>
    <definedName name="OHSch10YR_5" localSheetId="7" hidden="1">{#N/A,#N/A,FALSE,"Summary";#N/A,#N/A,FALSE,"SmPlants";#N/A,#N/A,FALSE,"Utah";#N/A,#N/A,FALSE,"Idaho";#N/A,#N/A,FALSE,"Lewis River";#N/A,#N/A,FALSE,"NrthUmpq";#N/A,#N/A,FALSE,"KlamRog"}</definedName>
    <definedName name="OHSch10YR_5" localSheetId="8" hidden="1">{#N/A,#N/A,FALSE,"Summary";#N/A,#N/A,FALSE,"SmPlants";#N/A,#N/A,FALSE,"Utah";#N/A,#N/A,FALSE,"Idaho";#N/A,#N/A,FALSE,"Lewis River";#N/A,#N/A,FALSE,"NrthUmpq";#N/A,#N/A,FALSE,"KlamRog"}</definedName>
    <definedName name="OHSch10YR_5" localSheetId="13" hidden="1">{#N/A,#N/A,FALSE,"Summary";#N/A,#N/A,FALSE,"SmPlants";#N/A,#N/A,FALSE,"Utah";#N/A,#N/A,FALSE,"Idaho";#N/A,#N/A,FALSE,"Lewis River";#N/A,#N/A,FALSE,"NrthUmpq";#N/A,#N/A,FALSE,"KlamRog"}</definedName>
    <definedName name="OHSch10YR_5" localSheetId="0" hidden="1">{#N/A,#N/A,FALSE,"Summary";#N/A,#N/A,FALSE,"SmPlants";#N/A,#N/A,FALSE,"Utah";#N/A,#N/A,FALSE,"Idaho";#N/A,#N/A,FALSE,"Lewis River";#N/A,#N/A,FALSE,"NrthUmpq";#N/A,#N/A,FALSE,"KlamRog"}</definedName>
    <definedName name="OHSch10YR_5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localSheetId="5" hidden="1">{#N/A,#N/A,FALSE,"Summary";#N/A,#N/A,FALSE,"SmPlants";#N/A,#N/A,FALSE,"Utah";#N/A,#N/A,FALSE,"Idaho";#N/A,#N/A,FALSE,"Lewis River";#N/A,#N/A,FALSE,"NrthUmpq";#N/A,#N/A,FALSE,"KlamRog"}</definedName>
    <definedName name="om" localSheetId="6" hidden="1">{#N/A,#N/A,FALSE,"Summary";#N/A,#N/A,FALSE,"SmPlants";#N/A,#N/A,FALSE,"Utah";#N/A,#N/A,FALSE,"Idaho";#N/A,#N/A,FALSE,"Lewis River";#N/A,#N/A,FALSE,"NrthUmpq";#N/A,#N/A,FALSE,"KlamRog"}</definedName>
    <definedName name="om" localSheetId="7" hidden="1">{#N/A,#N/A,FALSE,"Summary";#N/A,#N/A,FALSE,"SmPlants";#N/A,#N/A,FALSE,"Utah";#N/A,#N/A,FALSE,"Idaho";#N/A,#N/A,FALSE,"Lewis River";#N/A,#N/A,FALSE,"NrthUmpq";#N/A,#N/A,FALSE,"KlamRog"}</definedName>
    <definedName name="om" localSheetId="8" hidden="1">{#N/A,#N/A,FALSE,"Summary";#N/A,#N/A,FALSE,"SmPlants";#N/A,#N/A,FALSE,"Utah";#N/A,#N/A,FALSE,"Idaho";#N/A,#N/A,FALSE,"Lewis River";#N/A,#N/A,FALSE,"NrthUmpq";#N/A,#N/A,FALSE,"KlamRog"}</definedName>
    <definedName name="om" localSheetId="13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_1" localSheetId="1" hidden="1">{#N/A,#N/A,FALSE,"Summary";#N/A,#N/A,FALSE,"SmPlants";#N/A,#N/A,FALSE,"Utah";#N/A,#N/A,FALSE,"Idaho";#N/A,#N/A,FALSE,"Lewis River";#N/A,#N/A,FALSE,"NrthUmpq";#N/A,#N/A,FALSE,"KlamRog"}</definedName>
    <definedName name="om_1" localSheetId="3" hidden="1">{#N/A,#N/A,FALSE,"Summary";#N/A,#N/A,FALSE,"SmPlants";#N/A,#N/A,FALSE,"Utah";#N/A,#N/A,FALSE,"Idaho";#N/A,#N/A,FALSE,"Lewis River";#N/A,#N/A,FALSE,"NrthUmpq";#N/A,#N/A,FALSE,"KlamRog"}</definedName>
    <definedName name="om_1" localSheetId="4" hidden="1">{#N/A,#N/A,FALSE,"Summary";#N/A,#N/A,FALSE,"SmPlants";#N/A,#N/A,FALSE,"Utah";#N/A,#N/A,FALSE,"Idaho";#N/A,#N/A,FALSE,"Lewis River";#N/A,#N/A,FALSE,"NrthUmpq";#N/A,#N/A,FALSE,"KlamRog"}</definedName>
    <definedName name="om_1" localSheetId="5" hidden="1">{#N/A,#N/A,FALSE,"Summary";#N/A,#N/A,FALSE,"SmPlants";#N/A,#N/A,FALSE,"Utah";#N/A,#N/A,FALSE,"Idaho";#N/A,#N/A,FALSE,"Lewis River";#N/A,#N/A,FALSE,"NrthUmpq";#N/A,#N/A,FALSE,"KlamRog"}</definedName>
    <definedName name="om_1" localSheetId="6" hidden="1">{#N/A,#N/A,FALSE,"Summary";#N/A,#N/A,FALSE,"SmPlants";#N/A,#N/A,FALSE,"Utah";#N/A,#N/A,FALSE,"Idaho";#N/A,#N/A,FALSE,"Lewis River";#N/A,#N/A,FALSE,"NrthUmpq";#N/A,#N/A,FALSE,"KlamRog"}</definedName>
    <definedName name="om_1" localSheetId="7" hidden="1">{#N/A,#N/A,FALSE,"Summary";#N/A,#N/A,FALSE,"SmPlants";#N/A,#N/A,FALSE,"Utah";#N/A,#N/A,FALSE,"Idaho";#N/A,#N/A,FALSE,"Lewis River";#N/A,#N/A,FALSE,"NrthUmpq";#N/A,#N/A,FALSE,"KlamRog"}</definedName>
    <definedName name="om_1" localSheetId="8" hidden="1">{#N/A,#N/A,FALSE,"Summary";#N/A,#N/A,FALSE,"SmPlants";#N/A,#N/A,FALSE,"Utah";#N/A,#N/A,FALSE,"Idaho";#N/A,#N/A,FALSE,"Lewis River";#N/A,#N/A,FALSE,"NrthUmpq";#N/A,#N/A,FALSE,"KlamRog"}</definedName>
    <definedName name="om_1" localSheetId="13" hidden="1">{#N/A,#N/A,FALSE,"Summary";#N/A,#N/A,FALSE,"SmPlants";#N/A,#N/A,FALSE,"Utah";#N/A,#N/A,FALSE,"Idaho";#N/A,#N/A,FALSE,"Lewis River";#N/A,#N/A,FALSE,"NrthUmpq";#N/A,#N/A,FALSE,"KlamRog"}</definedName>
    <definedName name="om_1" localSheetId="0" hidden="1">{#N/A,#N/A,FALSE,"Summary";#N/A,#N/A,FALSE,"SmPlants";#N/A,#N/A,FALSE,"Utah";#N/A,#N/A,FALSE,"Idaho";#N/A,#N/A,FALSE,"Lewis River";#N/A,#N/A,FALSE,"NrthUmpq";#N/A,#N/A,FALSE,"KlamRog"}</definedName>
    <definedName name="om_1" hidden="1">{#N/A,#N/A,FALSE,"Summary";#N/A,#N/A,FALSE,"SmPlants";#N/A,#N/A,FALSE,"Utah";#N/A,#N/A,FALSE,"Idaho";#N/A,#N/A,FALSE,"Lewis River";#N/A,#N/A,FALSE,"NrthUmpq";#N/A,#N/A,FALSE,"KlamRog"}</definedName>
    <definedName name="om_2" localSheetId="1" hidden="1">{#N/A,#N/A,FALSE,"Summary";#N/A,#N/A,FALSE,"SmPlants";#N/A,#N/A,FALSE,"Utah";#N/A,#N/A,FALSE,"Idaho";#N/A,#N/A,FALSE,"Lewis River";#N/A,#N/A,FALSE,"NrthUmpq";#N/A,#N/A,FALSE,"KlamRog"}</definedName>
    <definedName name="om_2" localSheetId="3" hidden="1">{#N/A,#N/A,FALSE,"Summary";#N/A,#N/A,FALSE,"SmPlants";#N/A,#N/A,FALSE,"Utah";#N/A,#N/A,FALSE,"Idaho";#N/A,#N/A,FALSE,"Lewis River";#N/A,#N/A,FALSE,"NrthUmpq";#N/A,#N/A,FALSE,"KlamRog"}</definedName>
    <definedName name="om_2" localSheetId="4" hidden="1">{#N/A,#N/A,FALSE,"Summary";#N/A,#N/A,FALSE,"SmPlants";#N/A,#N/A,FALSE,"Utah";#N/A,#N/A,FALSE,"Idaho";#N/A,#N/A,FALSE,"Lewis River";#N/A,#N/A,FALSE,"NrthUmpq";#N/A,#N/A,FALSE,"KlamRog"}</definedName>
    <definedName name="om_2" localSheetId="5" hidden="1">{#N/A,#N/A,FALSE,"Summary";#N/A,#N/A,FALSE,"SmPlants";#N/A,#N/A,FALSE,"Utah";#N/A,#N/A,FALSE,"Idaho";#N/A,#N/A,FALSE,"Lewis River";#N/A,#N/A,FALSE,"NrthUmpq";#N/A,#N/A,FALSE,"KlamRog"}</definedName>
    <definedName name="om_2" localSheetId="6" hidden="1">{#N/A,#N/A,FALSE,"Summary";#N/A,#N/A,FALSE,"SmPlants";#N/A,#N/A,FALSE,"Utah";#N/A,#N/A,FALSE,"Idaho";#N/A,#N/A,FALSE,"Lewis River";#N/A,#N/A,FALSE,"NrthUmpq";#N/A,#N/A,FALSE,"KlamRog"}</definedName>
    <definedName name="om_2" localSheetId="7" hidden="1">{#N/A,#N/A,FALSE,"Summary";#N/A,#N/A,FALSE,"SmPlants";#N/A,#N/A,FALSE,"Utah";#N/A,#N/A,FALSE,"Idaho";#N/A,#N/A,FALSE,"Lewis River";#N/A,#N/A,FALSE,"NrthUmpq";#N/A,#N/A,FALSE,"KlamRog"}</definedName>
    <definedName name="om_2" localSheetId="8" hidden="1">{#N/A,#N/A,FALSE,"Summary";#N/A,#N/A,FALSE,"SmPlants";#N/A,#N/A,FALSE,"Utah";#N/A,#N/A,FALSE,"Idaho";#N/A,#N/A,FALSE,"Lewis River";#N/A,#N/A,FALSE,"NrthUmpq";#N/A,#N/A,FALSE,"KlamRog"}</definedName>
    <definedName name="om_2" localSheetId="13" hidden="1">{#N/A,#N/A,FALSE,"Summary";#N/A,#N/A,FALSE,"SmPlants";#N/A,#N/A,FALSE,"Utah";#N/A,#N/A,FALSE,"Idaho";#N/A,#N/A,FALSE,"Lewis River";#N/A,#N/A,FALSE,"NrthUmpq";#N/A,#N/A,FALSE,"KlamRog"}</definedName>
    <definedName name="om_2" localSheetId="0" hidden="1">{#N/A,#N/A,FALSE,"Summary";#N/A,#N/A,FALSE,"SmPlants";#N/A,#N/A,FALSE,"Utah";#N/A,#N/A,FALSE,"Idaho";#N/A,#N/A,FALSE,"Lewis River";#N/A,#N/A,FALSE,"NrthUmpq";#N/A,#N/A,FALSE,"KlamRog"}</definedName>
    <definedName name="om_2" hidden="1">{#N/A,#N/A,FALSE,"Summary";#N/A,#N/A,FALSE,"SmPlants";#N/A,#N/A,FALSE,"Utah";#N/A,#N/A,FALSE,"Idaho";#N/A,#N/A,FALSE,"Lewis River";#N/A,#N/A,FALSE,"NrthUmpq";#N/A,#N/A,FALSE,"KlamRog"}</definedName>
    <definedName name="om_3" localSheetId="1" hidden="1">{#N/A,#N/A,FALSE,"Summary";#N/A,#N/A,FALSE,"SmPlants";#N/A,#N/A,FALSE,"Utah";#N/A,#N/A,FALSE,"Idaho";#N/A,#N/A,FALSE,"Lewis River";#N/A,#N/A,FALSE,"NrthUmpq";#N/A,#N/A,FALSE,"KlamRog"}</definedName>
    <definedName name="om_3" localSheetId="3" hidden="1">{#N/A,#N/A,FALSE,"Summary";#N/A,#N/A,FALSE,"SmPlants";#N/A,#N/A,FALSE,"Utah";#N/A,#N/A,FALSE,"Idaho";#N/A,#N/A,FALSE,"Lewis River";#N/A,#N/A,FALSE,"NrthUmpq";#N/A,#N/A,FALSE,"KlamRog"}</definedName>
    <definedName name="om_3" localSheetId="4" hidden="1">{#N/A,#N/A,FALSE,"Summary";#N/A,#N/A,FALSE,"SmPlants";#N/A,#N/A,FALSE,"Utah";#N/A,#N/A,FALSE,"Idaho";#N/A,#N/A,FALSE,"Lewis River";#N/A,#N/A,FALSE,"NrthUmpq";#N/A,#N/A,FALSE,"KlamRog"}</definedName>
    <definedName name="om_3" localSheetId="5" hidden="1">{#N/A,#N/A,FALSE,"Summary";#N/A,#N/A,FALSE,"SmPlants";#N/A,#N/A,FALSE,"Utah";#N/A,#N/A,FALSE,"Idaho";#N/A,#N/A,FALSE,"Lewis River";#N/A,#N/A,FALSE,"NrthUmpq";#N/A,#N/A,FALSE,"KlamRog"}</definedName>
    <definedName name="om_3" localSheetId="6" hidden="1">{#N/A,#N/A,FALSE,"Summary";#N/A,#N/A,FALSE,"SmPlants";#N/A,#N/A,FALSE,"Utah";#N/A,#N/A,FALSE,"Idaho";#N/A,#N/A,FALSE,"Lewis River";#N/A,#N/A,FALSE,"NrthUmpq";#N/A,#N/A,FALSE,"KlamRog"}</definedName>
    <definedName name="om_3" localSheetId="7" hidden="1">{#N/A,#N/A,FALSE,"Summary";#N/A,#N/A,FALSE,"SmPlants";#N/A,#N/A,FALSE,"Utah";#N/A,#N/A,FALSE,"Idaho";#N/A,#N/A,FALSE,"Lewis River";#N/A,#N/A,FALSE,"NrthUmpq";#N/A,#N/A,FALSE,"KlamRog"}</definedName>
    <definedName name="om_3" localSheetId="8" hidden="1">{#N/A,#N/A,FALSE,"Summary";#N/A,#N/A,FALSE,"SmPlants";#N/A,#N/A,FALSE,"Utah";#N/A,#N/A,FALSE,"Idaho";#N/A,#N/A,FALSE,"Lewis River";#N/A,#N/A,FALSE,"NrthUmpq";#N/A,#N/A,FALSE,"KlamRog"}</definedName>
    <definedName name="om_3" localSheetId="13" hidden="1">{#N/A,#N/A,FALSE,"Summary";#N/A,#N/A,FALSE,"SmPlants";#N/A,#N/A,FALSE,"Utah";#N/A,#N/A,FALSE,"Idaho";#N/A,#N/A,FALSE,"Lewis River";#N/A,#N/A,FALSE,"NrthUmpq";#N/A,#N/A,FALSE,"KlamRog"}</definedName>
    <definedName name="om_3" localSheetId="0" hidden="1">{#N/A,#N/A,FALSE,"Summary";#N/A,#N/A,FALSE,"SmPlants";#N/A,#N/A,FALSE,"Utah";#N/A,#N/A,FALSE,"Idaho";#N/A,#N/A,FALSE,"Lewis River";#N/A,#N/A,FALSE,"NrthUmpq";#N/A,#N/A,FALSE,"KlamRog"}</definedName>
    <definedName name="om_3" hidden="1">{#N/A,#N/A,FALSE,"Summary";#N/A,#N/A,FALSE,"SmPlants";#N/A,#N/A,FALSE,"Utah";#N/A,#N/A,FALSE,"Idaho";#N/A,#N/A,FALSE,"Lewis River";#N/A,#N/A,FALSE,"NrthUmpq";#N/A,#N/A,FALSE,"KlamRog"}</definedName>
    <definedName name="om_4" localSheetId="1" hidden="1">{#N/A,#N/A,FALSE,"Summary";#N/A,#N/A,FALSE,"SmPlants";#N/A,#N/A,FALSE,"Utah";#N/A,#N/A,FALSE,"Idaho";#N/A,#N/A,FALSE,"Lewis River";#N/A,#N/A,FALSE,"NrthUmpq";#N/A,#N/A,FALSE,"KlamRog"}</definedName>
    <definedName name="om_4" localSheetId="3" hidden="1">{#N/A,#N/A,FALSE,"Summary";#N/A,#N/A,FALSE,"SmPlants";#N/A,#N/A,FALSE,"Utah";#N/A,#N/A,FALSE,"Idaho";#N/A,#N/A,FALSE,"Lewis River";#N/A,#N/A,FALSE,"NrthUmpq";#N/A,#N/A,FALSE,"KlamRog"}</definedName>
    <definedName name="om_4" localSheetId="4" hidden="1">{#N/A,#N/A,FALSE,"Summary";#N/A,#N/A,FALSE,"SmPlants";#N/A,#N/A,FALSE,"Utah";#N/A,#N/A,FALSE,"Idaho";#N/A,#N/A,FALSE,"Lewis River";#N/A,#N/A,FALSE,"NrthUmpq";#N/A,#N/A,FALSE,"KlamRog"}</definedName>
    <definedName name="om_4" localSheetId="5" hidden="1">{#N/A,#N/A,FALSE,"Summary";#N/A,#N/A,FALSE,"SmPlants";#N/A,#N/A,FALSE,"Utah";#N/A,#N/A,FALSE,"Idaho";#N/A,#N/A,FALSE,"Lewis River";#N/A,#N/A,FALSE,"NrthUmpq";#N/A,#N/A,FALSE,"KlamRog"}</definedName>
    <definedName name="om_4" localSheetId="6" hidden="1">{#N/A,#N/A,FALSE,"Summary";#N/A,#N/A,FALSE,"SmPlants";#N/A,#N/A,FALSE,"Utah";#N/A,#N/A,FALSE,"Idaho";#N/A,#N/A,FALSE,"Lewis River";#N/A,#N/A,FALSE,"NrthUmpq";#N/A,#N/A,FALSE,"KlamRog"}</definedName>
    <definedName name="om_4" localSheetId="7" hidden="1">{#N/A,#N/A,FALSE,"Summary";#N/A,#N/A,FALSE,"SmPlants";#N/A,#N/A,FALSE,"Utah";#N/A,#N/A,FALSE,"Idaho";#N/A,#N/A,FALSE,"Lewis River";#N/A,#N/A,FALSE,"NrthUmpq";#N/A,#N/A,FALSE,"KlamRog"}</definedName>
    <definedName name="om_4" localSheetId="8" hidden="1">{#N/A,#N/A,FALSE,"Summary";#N/A,#N/A,FALSE,"SmPlants";#N/A,#N/A,FALSE,"Utah";#N/A,#N/A,FALSE,"Idaho";#N/A,#N/A,FALSE,"Lewis River";#N/A,#N/A,FALSE,"NrthUmpq";#N/A,#N/A,FALSE,"KlamRog"}</definedName>
    <definedName name="om_4" localSheetId="13" hidden="1">{#N/A,#N/A,FALSE,"Summary";#N/A,#N/A,FALSE,"SmPlants";#N/A,#N/A,FALSE,"Utah";#N/A,#N/A,FALSE,"Idaho";#N/A,#N/A,FALSE,"Lewis River";#N/A,#N/A,FALSE,"NrthUmpq";#N/A,#N/A,FALSE,"KlamRog"}</definedName>
    <definedName name="om_4" localSheetId="0" hidden="1">{#N/A,#N/A,FALSE,"Summary";#N/A,#N/A,FALSE,"SmPlants";#N/A,#N/A,FALSE,"Utah";#N/A,#N/A,FALSE,"Idaho";#N/A,#N/A,FALSE,"Lewis River";#N/A,#N/A,FALSE,"NrthUmpq";#N/A,#N/A,FALSE,"KlamRog"}</definedName>
    <definedName name="om_4" hidden="1">{#N/A,#N/A,FALSE,"Summary";#N/A,#N/A,FALSE,"SmPlants";#N/A,#N/A,FALSE,"Utah";#N/A,#N/A,FALSE,"Idaho";#N/A,#N/A,FALSE,"Lewis River";#N/A,#N/A,FALSE,"NrthUmpq";#N/A,#N/A,FALSE,"KlamRog"}</definedName>
    <definedName name="om_5" localSheetId="1" hidden="1">{#N/A,#N/A,FALSE,"Summary";#N/A,#N/A,FALSE,"SmPlants";#N/A,#N/A,FALSE,"Utah";#N/A,#N/A,FALSE,"Idaho";#N/A,#N/A,FALSE,"Lewis River";#N/A,#N/A,FALSE,"NrthUmpq";#N/A,#N/A,FALSE,"KlamRog"}</definedName>
    <definedName name="om_5" localSheetId="3" hidden="1">{#N/A,#N/A,FALSE,"Summary";#N/A,#N/A,FALSE,"SmPlants";#N/A,#N/A,FALSE,"Utah";#N/A,#N/A,FALSE,"Idaho";#N/A,#N/A,FALSE,"Lewis River";#N/A,#N/A,FALSE,"NrthUmpq";#N/A,#N/A,FALSE,"KlamRog"}</definedName>
    <definedName name="om_5" localSheetId="4" hidden="1">{#N/A,#N/A,FALSE,"Summary";#N/A,#N/A,FALSE,"SmPlants";#N/A,#N/A,FALSE,"Utah";#N/A,#N/A,FALSE,"Idaho";#N/A,#N/A,FALSE,"Lewis River";#N/A,#N/A,FALSE,"NrthUmpq";#N/A,#N/A,FALSE,"KlamRog"}</definedName>
    <definedName name="om_5" localSheetId="5" hidden="1">{#N/A,#N/A,FALSE,"Summary";#N/A,#N/A,FALSE,"SmPlants";#N/A,#N/A,FALSE,"Utah";#N/A,#N/A,FALSE,"Idaho";#N/A,#N/A,FALSE,"Lewis River";#N/A,#N/A,FALSE,"NrthUmpq";#N/A,#N/A,FALSE,"KlamRog"}</definedName>
    <definedName name="om_5" localSheetId="6" hidden="1">{#N/A,#N/A,FALSE,"Summary";#N/A,#N/A,FALSE,"SmPlants";#N/A,#N/A,FALSE,"Utah";#N/A,#N/A,FALSE,"Idaho";#N/A,#N/A,FALSE,"Lewis River";#N/A,#N/A,FALSE,"NrthUmpq";#N/A,#N/A,FALSE,"KlamRog"}</definedName>
    <definedName name="om_5" localSheetId="7" hidden="1">{#N/A,#N/A,FALSE,"Summary";#N/A,#N/A,FALSE,"SmPlants";#N/A,#N/A,FALSE,"Utah";#N/A,#N/A,FALSE,"Idaho";#N/A,#N/A,FALSE,"Lewis River";#N/A,#N/A,FALSE,"NrthUmpq";#N/A,#N/A,FALSE,"KlamRog"}</definedName>
    <definedName name="om_5" localSheetId="8" hidden="1">{#N/A,#N/A,FALSE,"Summary";#N/A,#N/A,FALSE,"SmPlants";#N/A,#N/A,FALSE,"Utah";#N/A,#N/A,FALSE,"Idaho";#N/A,#N/A,FALSE,"Lewis River";#N/A,#N/A,FALSE,"NrthUmpq";#N/A,#N/A,FALSE,"KlamRog"}</definedName>
    <definedName name="om_5" localSheetId="13" hidden="1">{#N/A,#N/A,FALSE,"Summary";#N/A,#N/A,FALSE,"SmPlants";#N/A,#N/A,FALSE,"Utah";#N/A,#N/A,FALSE,"Idaho";#N/A,#N/A,FALSE,"Lewis River";#N/A,#N/A,FALSE,"NrthUmpq";#N/A,#N/A,FALSE,"KlamRog"}</definedName>
    <definedName name="om_5" localSheetId="0" hidden="1">{#N/A,#N/A,FALSE,"Summary";#N/A,#N/A,FALSE,"SmPlants";#N/A,#N/A,FALSE,"Utah";#N/A,#N/A,FALSE,"Idaho";#N/A,#N/A,FALSE,"Lewis River";#N/A,#N/A,FALSE,"NrthUmpq";#N/A,#N/A,FALSE,"KlamRog"}</definedName>
    <definedName name="om_5" hidden="1">{#N/A,#N/A,FALSE,"Summary";#N/A,#N/A,FALSE,"SmPlants";#N/A,#N/A,FALSE,"Utah";#N/A,#N/A,FALSE,"Idaho";#N/A,#N/A,FALSE,"Lewis River";#N/A,#N/A,FALSE,"NrthUmpq";#N/A,#N/A,FALSE,"KlamRog"}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3">'(2.1)_Resources'!$A$1:$Q$72</definedName>
    <definedName name="_xlnm.Print_Area" localSheetId="4">'(2.2)_Forward_Price_Curve'!$A$1:$M$54</definedName>
    <definedName name="_xlnm.Print_Titles" localSheetId="4">'(2.2)_Forward_Price_Curve'!$8:$11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localSheetId="8" hidden="1">{"PRINT",#N/A,TRUE,"APPA";"PRINT",#N/A,TRUE,"APS";"PRINT",#N/A,TRUE,"BHPL";"PRINT",#N/A,TRUE,"BHPL2";"PRINT",#N/A,TRUE,"CDWR";"PRINT",#N/A,TRUE,"EWEB";"PRINT",#N/A,TRUE,"LADWP";"PRINT",#N/A,TRUE,"NEVBASE"}</definedName>
    <definedName name="shit" localSheetId="13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hit_1" localSheetId="1" hidden="1">{"PRINT",#N/A,TRUE,"APPA";"PRINT",#N/A,TRUE,"APS";"PRINT",#N/A,TRUE,"BHPL";"PRINT",#N/A,TRUE,"BHPL2";"PRINT",#N/A,TRUE,"CDWR";"PRINT",#N/A,TRUE,"EWEB";"PRINT",#N/A,TRUE,"LADWP";"PRINT",#N/A,TRUE,"NEVBASE"}</definedName>
    <definedName name="shit_1" localSheetId="3" hidden="1">{"PRINT",#N/A,TRUE,"APPA";"PRINT",#N/A,TRUE,"APS";"PRINT",#N/A,TRUE,"BHPL";"PRINT",#N/A,TRUE,"BHPL2";"PRINT",#N/A,TRUE,"CDWR";"PRINT",#N/A,TRUE,"EWEB";"PRINT",#N/A,TRUE,"LADWP";"PRINT",#N/A,TRUE,"NEVBASE"}</definedName>
    <definedName name="shit_1" localSheetId="4" hidden="1">{"PRINT",#N/A,TRUE,"APPA";"PRINT",#N/A,TRUE,"APS";"PRINT",#N/A,TRUE,"BHPL";"PRINT",#N/A,TRUE,"BHPL2";"PRINT",#N/A,TRUE,"CDWR";"PRINT",#N/A,TRUE,"EWEB";"PRINT",#N/A,TRUE,"LADWP";"PRINT",#N/A,TRUE,"NEVBASE"}</definedName>
    <definedName name="shit_1" localSheetId="5" hidden="1">{"PRINT",#N/A,TRUE,"APPA";"PRINT",#N/A,TRUE,"APS";"PRINT",#N/A,TRUE,"BHPL";"PRINT",#N/A,TRUE,"BHPL2";"PRINT",#N/A,TRUE,"CDWR";"PRINT",#N/A,TRUE,"EWEB";"PRINT",#N/A,TRUE,"LADWP";"PRINT",#N/A,TRUE,"NEVBASE"}</definedName>
    <definedName name="shit_1" localSheetId="6" hidden="1">{"PRINT",#N/A,TRUE,"APPA";"PRINT",#N/A,TRUE,"APS";"PRINT",#N/A,TRUE,"BHPL";"PRINT",#N/A,TRUE,"BHPL2";"PRINT",#N/A,TRUE,"CDWR";"PRINT",#N/A,TRUE,"EWEB";"PRINT",#N/A,TRUE,"LADWP";"PRINT",#N/A,TRUE,"NEVBASE"}</definedName>
    <definedName name="shit_1" localSheetId="7" hidden="1">{"PRINT",#N/A,TRUE,"APPA";"PRINT",#N/A,TRUE,"APS";"PRINT",#N/A,TRUE,"BHPL";"PRINT",#N/A,TRUE,"BHPL2";"PRINT",#N/A,TRUE,"CDWR";"PRINT",#N/A,TRUE,"EWEB";"PRINT",#N/A,TRUE,"LADWP";"PRINT",#N/A,TRUE,"NEVBASE"}</definedName>
    <definedName name="shit_1" localSheetId="8" hidden="1">{"PRINT",#N/A,TRUE,"APPA";"PRINT",#N/A,TRUE,"APS";"PRINT",#N/A,TRUE,"BHPL";"PRINT",#N/A,TRUE,"BHPL2";"PRINT",#N/A,TRUE,"CDWR";"PRINT",#N/A,TRUE,"EWEB";"PRINT",#N/A,TRUE,"LADWP";"PRINT",#N/A,TRUE,"NEVBASE"}</definedName>
    <definedName name="shit_1" localSheetId="13" hidden="1">{"PRINT",#N/A,TRUE,"APPA";"PRINT",#N/A,TRUE,"APS";"PRINT",#N/A,TRUE,"BHPL";"PRINT",#N/A,TRUE,"BHPL2";"PRINT",#N/A,TRUE,"CDWR";"PRINT",#N/A,TRUE,"EWEB";"PRINT",#N/A,TRUE,"LADWP";"PRINT",#N/A,TRUE,"NEVBASE"}</definedName>
    <definedName name="shit_1" localSheetId="0" hidden="1">{"PRINT",#N/A,TRUE,"APPA";"PRINT",#N/A,TRUE,"APS";"PRINT",#N/A,TRUE,"BHPL";"PRINT",#N/A,TRUE,"BHPL2";"PRINT",#N/A,TRUE,"CDWR";"PRINT",#N/A,TRUE,"EWEB";"PRINT",#N/A,TRUE,"LADWP";"PRINT",#N/A,TRUE,"NEVBASE"}</definedName>
    <definedName name="shit_1" hidden="1">{"PRINT",#N/A,TRUE,"APPA";"PRINT",#N/A,TRUE,"APS";"PRINT",#N/A,TRUE,"BHPL";"PRINT",#N/A,TRUE,"BHPL2";"PRINT",#N/A,TRUE,"CDWR";"PRINT",#N/A,TRUE,"EWEB";"PRINT",#N/A,TRUE,"LADWP";"PRINT",#N/A,TRUE,"NEVBASE"}</definedName>
    <definedName name="shit_2" localSheetId="1" hidden="1">{"PRINT",#N/A,TRUE,"APPA";"PRINT",#N/A,TRUE,"APS";"PRINT",#N/A,TRUE,"BHPL";"PRINT",#N/A,TRUE,"BHPL2";"PRINT",#N/A,TRUE,"CDWR";"PRINT",#N/A,TRUE,"EWEB";"PRINT",#N/A,TRUE,"LADWP";"PRINT",#N/A,TRUE,"NEVBASE"}</definedName>
    <definedName name="shit_2" localSheetId="3" hidden="1">{"PRINT",#N/A,TRUE,"APPA";"PRINT",#N/A,TRUE,"APS";"PRINT",#N/A,TRUE,"BHPL";"PRINT",#N/A,TRUE,"BHPL2";"PRINT",#N/A,TRUE,"CDWR";"PRINT",#N/A,TRUE,"EWEB";"PRINT",#N/A,TRUE,"LADWP";"PRINT",#N/A,TRUE,"NEVBASE"}</definedName>
    <definedName name="shit_2" localSheetId="4" hidden="1">{"PRINT",#N/A,TRUE,"APPA";"PRINT",#N/A,TRUE,"APS";"PRINT",#N/A,TRUE,"BHPL";"PRINT",#N/A,TRUE,"BHPL2";"PRINT",#N/A,TRUE,"CDWR";"PRINT",#N/A,TRUE,"EWEB";"PRINT",#N/A,TRUE,"LADWP";"PRINT",#N/A,TRUE,"NEVBASE"}</definedName>
    <definedName name="shit_2" localSheetId="5" hidden="1">{"PRINT",#N/A,TRUE,"APPA";"PRINT",#N/A,TRUE,"APS";"PRINT",#N/A,TRUE,"BHPL";"PRINT",#N/A,TRUE,"BHPL2";"PRINT",#N/A,TRUE,"CDWR";"PRINT",#N/A,TRUE,"EWEB";"PRINT",#N/A,TRUE,"LADWP";"PRINT",#N/A,TRUE,"NEVBASE"}</definedName>
    <definedName name="shit_2" localSheetId="6" hidden="1">{"PRINT",#N/A,TRUE,"APPA";"PRINT",#N/A,TRUE,"APS";"PRINT",#N/A,TRUE,"BHPL";"PRINT",#N/A,TRUE,"BHPL2";"PRINT",#N/A,TRUE,"CDWR";"PRINT",#N/A,TRUE,"EWEB";"PRINT",#N/A,TRUE,"LADWP";"PRINT",#N/A,TRUE,"NEVBASE"}</definedName>
    <definedName name="shit_2" localSheetId="7" hidden="1">{"PRINT",#N/A,TRUE,"APPA";"PRINT",#N/A,TRUE,"APS";"PRINT",#N/A,TRUE,"BHPL";"PRINT",#N/A,TRUE,"BHPL2";"PRINT",#N/A,TRUE,"CDWR";"PRINT",#N/A,TRUE,"EWEB";"PRINT",#N/A,TRUE,"LADWP";"PRINT",#N/A,TRUE,"NEVBASE"}</definedName>
    <definedName name="shit_2" localSheetId="8" hidden="1">{"PRINT",#N/A,TRUE,"APPA";"PRINT",#N/A,TRUE,"APS";"PRINT",#N/A,TRUE,"BHPL";"PRINT",#N/A,TRUE,"BHPL2";"PRINT",#N/A,TRUE,"CDWR";"PRINT",#N/A,TRUE,"EWEB";"PRINT",#N/A,TRUE,"LADWP";"PRINT",#N/A,TRUE,"NEVBASE"}</definedName>
    <definedName name="shit_2" localSheetId="13" hidden="1">{"PRINT",#N/A,TRUE,"APPA";"PRINT",#N/A,TRUE,"APS";"PRINT",#N/A,TRUE,"BHPL";"PRINT",#N/A,TRUE,"BHPL2";"PRINT",#N/A,TRUE,"CDWR";"PRINT",#N/A,TRUE,"EWEB";"PRINT",#N/A,TRUE,"LADWP";"PRINT",#N/A,TRUE,"NEVBASE"}</definedName>
    <definedName name="shit_2" localSheetId="0" hidden="1">{"PRINT",#N/A,TRUE,"APPA";"PRINT",#N/A,TRUE,"APS";"PRINT",#N/A,TRUE,"BHPL";"PRINT",#N/A,TRUE,"BHPL2";"PRINT",#N/A,TRUE,"CDWR";"PRINT",#N/A,TRUE,"EWEB";"PRINT",#N/A,TRUE,"LADWP";"PRINT",#N/A,TRUE,"NEVBASE"}</definedName>
    <definedName name="shit_2" hidden="1">{"PRINT",#N/A,TRUE,"APPA";"PRINT",#N/A,TRUE,"APS";"PRINT",#N/A,TRUE,"BHPL";"PRINT",#N/A,TRUE,"BHPL2";"PRINT",#N/A,TRUE,"CDWR";"PRINT",#N/A,TRUE,"EWEB";"PRINT",#N/A,TRUE,"LADWP";"PRINT",#N/A,TRUE,"NEVBASE"}</definedName>
    <definedName name="shit_3" localSheetId="1" hidden="1">{"PRINT",#N/A,TRUE,"APPA";"PRINT",#N/A,TRUE,"APS";"PRINT",#N/A,TRUE,"BHPL";"PRINT",#N/A,TRUE,"BHPL2";"PRINT",#N/A,TRUE,"CDWR";"PRINT",#N/A,TRUE,"EWEB";"PRINT",#N/A,TRUE,"LADWP";"PRINT",#N/A,TRUE,"NEVBASE"}</definedName>
    <definedName name="shit_3" localSheetId="3" hidden="1">{"PRINT",#N/A,TRUE,"APPA";"PRINT",#N/A,TRUE,"APS";"PRINT",#N/A,TRUE,"BHPL";"PRINT",#N/A,TRUE,"BHPL2";"PRINT",#N/A,TRUE,"CDWR";"PRINT",#N/A,TRUE,"EWEB";"PRINT",#N/A,TRUE,"LADWP";"PRINT",#N/A,TRUE,"NEVBASE"}</definedName>
    <definedName name="shit_3" localSheetId="4" hidden="1">{"PRINT",#N/A,TRUE,"APPA";"PRINT",#N/A,TRUE,"APS";"PRINT",#N/A,TRUE,"BHPL";"PRINT",#N/A,TRUE,"BHPL2";"PRINT",#N/A,TRUE,"CDWR";"PRINT",#N/A,TRUE,"EWEB";"PRINT",#N/A,TRUE,"LADWP";"PRINT",#N/A,TRUE,"NEVBASE"}</definedName>
    <definedName name="shit_3" localSheetId="5" hidden="1">{"PRINT",#N/A,TRUE,"APPA";"PRINT",#N/A,TRUE,"APS";"PRINT",#N/A,TRUE,"BHPL";"PRINT",#N/A,TRUE,"BHPL2";"PRINT",#N/A,TRUE,"CDWR";"PRINT",#N/A,TRUE,"EWEB";"PRINT",#N/A,TRUE,"LADWP";"PRINT",#N/A,TRUE,"NEVBASE"}</definedName>
    <definedName name="shit_3" localSheetId="6" hidden="1">{"PRINT",#N/A,TRUE,"APPA";"PRINT",#N/A,TRUE,"APS";"PRINT",#N/A,TRUE,"BHPL";"PRINT",#N/A,TRUE,"BHPL2";"PRINT",#N/A,TRUE,"CDWR";"PRINT",#N/A,TRUE,"EWEB";"PRINT",#N/A,TRUE,"LADWP";"PRINT",#N/A,TRUE,"NEVBASE"}</definedName>
    <definedName name="shit_3" localSheetId="7" hidden="1">{"PRINT",#N/A,TRUE,"APPA";"PRINT",#N/A,TRUE,"APS";"PRINT",#N/A,TRUE,"BHPL";"PRINT",#N/A,TRUE,"BHPL2";"PRINT",#N/A,TRUE,"CDWR";"PRINT",#N/A,TRUE,"EWEB";"PRINT",#N/A,TRUE,"LADWP";"PRINT",#N/A,TRUE,"NEVBASE"}</definedName>
    <definedName name="shit_3" localSheetId="8" hidden="1">{"PRINT",#N/A,TRUE,"APPA";"PRINT",#N/A,TRUE,"APS";"PRINT",#N/A,TRUE,"BHPL";"PRINT",#N/A,TRUE,"BHPL2";"PRINT",#N/A,TRUE,"CDWR";"PRINT",#N/A,TRUE,"EWEB";"PRINT",#N/A,TRUE,"LADWP";"PRINT",#N/A,TRUE,"NEVBASE"}</definedName>
    <definedName name="shit_3" localSheetId="13" hidden="1">{"PRINT",#N/A,TRUE,"APPA";"PRINT",#N/A,TRUE,"APS";"PRINT",#N/A,TRUE,"BHPL";"PRINT",#N/A,TRUE,"BHPL2";"PRINT",#N/A,TRUE,"CDWR";"PRINT",#N/A,TRUE,"EWEB";"PRINT",#N/A,TRUE,"LADWP";"PRINT",#N/A,TRUE,"NEVBASE"}</definedName>
    <definedName name="shit_3" localSheetId="0" hidden="1">{"PRINT",#N/A,TRUE,"APPA";"PRINT",#N/A,TRUE,"APS";"PRINT",#N/A,TRUE,"BHPL";"PRINT",#N/A,TRUE,"BHPL2";"PRINT",#N/A,TRUE,"CDWR";"PRINT",#N/A,TRUE,"EWEB";"PRINT",#N/A,TRUE,"LADWP";"PRINT",#N/A,TRUE,"NEVBASE"}</definedName>
    <definedName name="shit_3" hidden="1">{"PRINT",#N/A,TRUE,"APPA";"PRINT",#N/A,TRUE,"APS";"PRINT",#N/A,TRUE,"BHPL";"PRINT",#N/A,TRUE,"BHPL2";"PRINT",#N/A,TRUE,"CDWR";"PRINT",#N/A,TRUE,"EWEB";"PRINT",#N/A,TRUE,"LADWP";"PRINT",#N/A,TRUE,"NEVBASE"}</definedName>
    <definedName name="shit_4" localSheetId="1" hidden="1">{"PRINT",#N/A,TRUE,"APPA";"PRINT",#N/A,TRUE,"APS";"PRINT",#N/A,TRUE,"BHPL";"PRINT",#N/A,TRUE,"BHPL2";"PRINT",#N/A,TRUE,"CDWR";"PRINT",#N/A,TRUE,"EWEB";"PRINT",#N/A,TRUE,"LADWP";"PRINT",#N/A,TRUE,"NEVBASE"}</definedName>
    <definedName name="shit_4" localSheetId="3" hidden="1">{"PRINT",#N/A,TRUE,"APPA";"PRINT",#N/A,TRUE,"APS";"PRINT",#N/A,TRUE,"BHPL";"PRINT",#N/A,TRUE,"BHPL2";"PRINT",#N/A,TRUE,"CDWR";"PRINT",#N/A,TRUE,"EWEB";"PRINT",#N/A,TRUE,"LADWP";"PRINT",#N/A,TRUE,"NEVBASE"}</definedName>
    <definedName name="shit_4" localSheetId="4" hidden="1">{"PRINT",#N/A,TRUE,"APPA";"PRINT",#N/A,TRUE,"APS";"PRINT",#N/A,TRUE,"BHPL";"PRINT",#N/A,TRUE,"BHPL2";"PRINT",#N/A,TRUE,"CDWR";"PRINT",#N/A,TRUE,"EWEB";"PRINT",#N/A,TRUE,"LADWP";"PRINT",#N/A,TRUE,"NEVBASE"}</definedName>
    <definedName name="shit_4" localSheetId="5" hidden="1">{"PRINT",#N/A,TRUE,"APPA";"PRINT",#N/A,TRUE,"APS";"PRINT",#N/A,TRUE,"BHPL";"PRINT",#N/A,TRUE,"BHPL2";"PRINT",#N/A,TRUE,"CDWR";"PRINT",#N/A,TRUE,"EWEB";"PRINT",#N/A,TRUE,"LADWP";"PRINT",#N/A,TRUE,"NEVBASE"}</definedName>
    <definedName name="shit_4" localSheetId="6" hidden="1">{"PRINT",#N/A,TRUE,"APPA";"PRINT",#N/A,TRUE,"APS";"PRINT",#N/A,TRUE,"BHPL";"PRINT",#N/A,TRUE,"BHPL2";"PRINT",#N/A,TRUE,"CDWR";"PRINT",#N/A,TRUE,"EWEB";"PRINT",#N/A,TRUE,"LADWP";"PRINT",#N/A,TRUE,"NEVBASE"}</definedName>
    <definedName name="shit_4" localSheetId="7" hidden="1">{"PRINT",#N/A,TRUE,"APPA";"PRINT",#N/A,TRUE,"APS";"PRINT",#N/A,TRUE,"BHPL";"PRINT",#N/A,TRUE,"BHPL2";"PRINT",#N/A,TRUE,"CDWR";"PRINT",#N/A,TRUE,"EWEB";"PRINT",#N/A,TRUE,"LADWP";"PRINT",#N/A,TRUE,"NEVBASE"}</definedName>
    <definedName name="shit_4" localSheetId="8" hidden="1">{"PRINT",#N/A,TRUE,"APPA";"PRINT",#N/A,TRUE,"APS";"PRINT",#N/A,TRUE,"BHPL";"PRINT",#N/A,TRUE,"BHPL2";"PRINT",#N/A,TRUE,"CDWR";"PRINT",#N/A,TRUE,"EWEB";"PRINT",#N/A,TRUE,"LADWP";"PRINT",#N/A,TRUE,"NEVBASE"}</definedName>
    <definedName name="shit_4" localSheetId="13" hidden="1">{"PRINT",#N/A,TRUE,"APPA";"PRINT",#N/A,TRUE,"APS";"PRINT",#N/A,TRUE,"BHPL";"PRINT",#N/A,TRUE,"BHPL2";"PRINT",#N/A,TRUE,"CDWR";"PRINT",#N/A,TRUE,"EWEB";"PRINT",#N/A,TRUE,"LADWP";"PRINT",#N/A,TRUE,"NEVBASE"}</definedName>
    <definedName name="shit_4" localSheetId="0" hidden="1">{"PRINT",#N/A,TRUE,"APPA";"PRINT",#N/A,TRUE,"APS";"PRINT",#N/A,TRUE,"BHPL";"PRINT",#N/A,TRUE,"BHPL2";"PRINT",#N/A,TRUE,"CDWR";"PRINT",#N/A,TRUE,"EWEB";"PRINT",#N/A,TRUE,"LADWP";"PRINT",#N/A,TRUE,"NEVBASE"}</definedName>
    <definedName name="shit_4" hidden="1">{"PRINT",#N/A,TRUE,"APPA";"PRINT",#N/A,TRUE,"APS";"PRINT",#N/A,TRUE,"BHPL";"PRINT",#N/A,TRUE,"BHPL2";"PRINT",#N/A,TRUE,"CDWR";"PRINT",#N/A,TRUE,"EWEB";"PRINT",#N/A,TRUE,"LADWP";"PRINT",#N/A,TRUE,"NEVBASE"}</definedName>
    <definedName name="shit_5" localSheetId="1" hidden="1">{"PRINT",#N/A,TRUE,"APPA";"PRINT",#N/A,TRUE,"APS";"PRINT",#N/A,TRUE,"BHPL";"PRINT",#N/A,TRUE,"BHPL2";"PRINT",#N/A,TRUE,"CDWR";"PRINT",#N/A,TRUE,"EWEB";"PRINT",#N/A,TRUE,"LADWP";"PRINT",#N/A,TRUE,"NEVBASE"}</definedName>
    <definedName name="shit_5" localSheetId="3" hidden="1">{"PRINT",#N/A,TRUE,"APPA";"PRINT",#N/A,TRUE,"APS";"PRINT",#N/A,TRUE,"BHPL";"PRINT",#N/A,TRUE,"BHPL2";"PRINT",#N/A,TRUE,"CDWR";"PRINT",#N/A,TRUE,"EWEB";"PRINT",#N/A,TRUE,"LADWP";"PRINT",#N/A,TRUE,"NEVBASE"}</definedName>
    <definedName name="shit_5" localSheetId="4" hidden="1">{"PRINT",#N/A,TRUE,"APPA";"PRINT",#N/A,TRUE,"APS";"PRINT",#N/A,TRUE,"BHPL";"PRINT",#N/A,TRUE,"BHPL2";"PRINT",#N/A,TRUE,"CDWR";"PRINT",#N/A,TRUE,"EWEB";"PRINT",#N/A,TRUE,"LADWP";"PRINT",#N/A,TRUE,"NEVBASE"}</definedName>
    <definedName name="shit_5" localSheetId="5" hidden="1">{"PRINT",#N/A,TRUE,"APPA";"PRINT",#N/A,TRUE,"APS";"PRINT",#N/A,TRUE,"BHPL";"PRINT",#N/A,TRUE,"BHPL2";"PRINT",#N/A,TRUE,"CDWR";"PRINT",#N/A,TRUE,"EWEB";"PRINT",#N/A,TRUE,"LADWP";"PRINT",#N/A,TRUE,"NEVBASE"}</definedName>
    <definedName name="shit_5" localSheetId="6" hidden="1">{"PRINT",#N/A,TRUE,"APPA";"PRINT",#N/A,TRUE,"APS";"PRINT",#N/A,TRUE,"BHPL";"PRINT",#N/A,TRUE,"BHPL2";"PRINT",#N/A,TRUE,"CDWR";"PRINT",#N/A,TRUE,"EWEB";"PRINT",#N/A,TRUE,"LADWP";"PRINT",#N/A,TRUE,"NEVBASE"}</definedName>
    <definedName name="shit_5" localSheetId="7" hidden="1">{"PRINT",#N/A,TRUE,"APPA";"PRINT",#N/A,TRUE,"APS";"PRINT",#N/A,TRUE,"BHPL";"PRINT",#N/A,TRUE,"BHPL2";"PRINT",#N/A,TRUE,"CDWR";"PRINT",#N/A,TRUE,"EWEB";"PRINT",#N/A,TRUE,"LADWP";"PRINT",#N/A,TRUE,"NEVBASE"}</definedName>
    <definedName name="shit_5" localSheetId="8" hidden="1">{"PRINT",#N/A,TRUE,"APPA";"PRINT",#N/A,TRUE,"APS";"PRINT",#N/A,TRUE,"BHPL";"PRINT",#N/A,TRUE,"BHPL2";"PRINT",#N/A,TRUE,"CDWR";"PRINT",#N/A,TRUE,"EWEB";"PRINT",#N/A,TRUE,"LADWP";"PRINT",#N/A,TRUE,"NEVBASE"}</definedName>
    <definedName name="shit_5" localSheetId="13" hidden="1">{"PRINT",#N/A,TRUE,"APPA";"PRINT",#N/A,TRUE,"APS";"PRINT",#N/A,TRUE,"BHPL";"PRINT",#N/A,TRUE,"BHPL2";"PRINT",#N/A,TRUE,"CDWR";"PRINT",#N/A,TRUE,"EWEB";"PRINT",#N/A,TRUE,"LADWP";"PRINT",#N/A,TRUE,"NEVBASE"}</definedName>
    <definedName name="shit_5" localSheetId="0" hidden="1">{"PRINT",#N/A,TRUE,"APPA";"PRINT",#N/A,TRUE,"APS";"PRINT",#N/A,TRUE,"BHPL";"PRINT",#N/A,TRUE,"BHPL2";"PRINT",#N/A,TRUE,"CDWR";"PRINT",#N/A,TRUE,"EWEB";"PRINT",#N/A,TRUE,"LADWP";"PRINT",#N/A,TRUE,"NEVBASE"}</definedName>
    <definedName name="shit_5" hidden="1">{"PRINT",#N/A,TRUE,"APPA";"PRINT",#N/A,TRUE,"APS";"PRINT",#N/A,TRUE,"BHPL";"PRINT",#N/A,TRUE,"BHPL2";"PRINT",#N/A,TRUE,"CDWR";"PRINT",#N/A,TRUE,"EWEB";"PRINT",#N/A,TRUE,"LADWP";"PRINT",#N/A,TRUE,"NEVBASE"}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localSheetId="5" hidden="1">{#N/A,#N/A,FALSE,"Summary";#N/A,#N/A,FALSE,"SmPlants";#N/A,#N/A,FALSE,"Utah";#N/A,#N/A,FALSE,"Idaho";#N/A,#N/A,FALSE,"Lewis River";#N/A,#N/A,FALSE,"NrthUmpq";#N/A,#N/A,FALSE,"KlamRog"}</definedName>
    <definedName name="SpecMaint" localSheetId="6" hidden="1">{#N/A,#N/A,FALSE,"Summary";#N/A,#N/A,FALSE,"SmPlants";#N/A,#N/A,FALSE,"Utah";#N/A,#N/A,FALSE,"Idaho";#N/A,#N/A,FALSE,"Lewis River";#N/A,#N/A,FALSE,"NrthUmpq";#N/A,#N/A,FALSE,"KlamRog"}</definedName>
    <definedName name="SpecMaint" localSheetId="7" hidden="1">{#N/A,#N/A,FALSE,"Summary";#N/A,#N/A,FALSE,"SmPlants";#N/A,#N/A,FALSE,"Utah";#N/A,#N/A,FALSE,"Idaho";#N/A,#N/A,FALSE,"Lewis River";#N/A,#N/A,FALSE,"NrthUmpq";#N/A,#N/A,FALSE,"KlamRog"}</definedName>
    <definedName name="SpecMaint" localSheetId="8" hidden="1">{#N/A,#N/A,FALSE,"Summary";#N/A,#N/A,FALSE,"SmPlants";#N/A,#N/A,FALSE,"Utah";#N/A,#N/A,FALSE,"Idaho";#N/A,#N/A,FALSE,"Lewis River";#N/A,#N/A,FALSE,"NrthUmpq";#N/A,#N/A,FALSE,"KlamRog"}</definedName>
    <definedName name="SpecMaint" localSheetId="13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ecMaint_1" localSheetId="1" hidden="1">{#N/A,#N/A,FALSE,"Summary";#N/A,#N/A,FALSE,"SmPlants";#N/A,#N/A,FALSE,"Utah";#N/A,#N/A,FALSE,"Idaho";#N/A,#N/A,FALSE,"Lewis River";#N/A,#N/A,FALSE,"NrthUmpq";#N/A,#N/A,FALSE,"KlamRog"}</definedName>
    <definedName name="SpecMaint_1" localSheetId="3" hidden="1">{#N/A,#N/A,FALSE,"Summary";#N/A,#N/A,FALSE,"SmPlants";#N/A,#N/A,FALSE,"Utah";#N/A,#N/A,FALSE,"Idaho";#N/A,#N/A,FALSE,"Lewis River";#N/A,#N/A,FALSE,"NrthUmpq";#N/A,#N/A,FALSE,"KlamRog"}</definedName>
    <definedName name="SpecMaint_1" localSheetId="4" hidden="1">{#N/A,#N/A,FALSE,"Summary";#N/A,#N/A,FALSE,"SmPlants";#N/A,#N/A,FALSE,"Utah";#N/A,#N/A,FALSE,"Idaho";#N/A,#N/A,FALSE,"Lewis River";#N/A,#N/A,FALSE,"NrthUmpq";#N/A,#N/A,FALSE,"KlamRog"}</definedName>
    <definedName name="SpecMaint_1" localSheetId="5" hidden="1">{#N/A,#N/A,FALSE,"Summary";#N/A,#N/A,FALSE,"SmPlants";#N/A,#N/A,FALSE,"Utah";#N/A,#N/A,FALSE,"Idaho";#N/A,#N/A,FALSE,"Lewis River";#N/A,#N/A,FALSE,"NrthUmpq";#N/A,#N/A,FALSE,"KlamRog"}</definedName>
    <definedName name="SpecMaint_1" localSheetId="6" hidden="1">{#N/A,#N/A,FALSE,"Summary";#N/A,#N/A,FALSE,"SmPlants";#N/A,#N/A,FALSE,"Utah";#N/A,#N/A,FALSE,"Idaho";#N/A,#N/A,FALSE,"Lewis River";#N/A,#N/A,FALSE,"NrthUmpq";#N/A,#N/A,FALSE,"KlamRog"}</definedName>
    <definedName name="SpecMaint_1" localSheetId="7" hidden="1">{#N/A,#N/A,FALSE,"Summary";#N/A,#N/A,FALSE,"SmPlants";#N/A,#N/A,FALSE,"Utah";#N/A,#N/A,FALSE,"Idaho";#N/A,#N/A,FALSE,"Lewis River";#N/A,#N/A,FALSE,"NrthUmpq";#N/A,#N/A,FALSE,"KlamRog"}</definedName>
    <definedName name="SpecMaint_1" localSheetId="8" hidden="1">{#N/A,#N/A,FALSE,"Summary";#N/A,#N/A,FALSE,"SmPlants";#N/A,#N/A,FALSE,"Utah";#N/A,#N/A,FALSE,"Idaho";#N/A,#N/A,FALSE,"Lewis River";#N/A,#N/A,FALSE,"NrthUmpq";#N/A,#N/A,FALSE,"KlamRog"}</definedName>
    <definedName name="SpecMaint_1" localSheetId="13" hidden="1">{#N/A,#N/A,FALSE,"Summary";#N/A,#N/A,FALSE,"SmPlants";#N/A,#N/A,FALSE,"Utah";#N/A,#N/A,FALSE,"Idaho";#N/A,#N/A,FALSE,"Lewis River";#N/A,#N/A,FALSE,"NrthUmpq";#N/A,#N/A,FALSE,"KlamRog"}</definedName>
    <definedName name="SpecMaint_1" localSheetId="0" hidden="1">{#N/A,#N/A,FALSE,"Summary";#N/A,#N/A,FALSE,"SmPlants";#N/A,#N/A,FALSE,"Utah";#N/A,#N/A,FALSE,"Idaho";#N/A,#N/A,FALSE,"Lewis River";#N/A,#N/A,FALSE,"NrthUmpq";#N/A,#N/A,FALSE,"KlamRog"}</definedName>
    <definedName name="SpecMaint_1" hidden="1">{#N/A,#N/A,FALSE,"Summary";#N/A,#N/A,FALSE,"SmPlants";#N/A,#N/A,FALSE,"Utah";#N/A,#N/A,FALSE,"Idaho";#N/A,#N/A,FALSE,"Lewis River";#N/A,#N/A,FALSE,"NrthUmpq";#N/A,#N/A,FALSE,"KlamRog"}</definedName>
    <definedName name="SpecMaint_2" localSheetId="1" hidden="1">{#N/A,#N/A,FALSE,"Summary";#N/A,#N/A,FALSE,"SmPlants";#N/A,#N/A,FALSE,"Utah";#N/A,#N/A,FALSE,"Idaho";#N/A,#N/A,FALSE,"Lewis River";#N/A,#N/A,FALSE,"NrthUmpq";#N/A,#N/A,FALSE,"KlamRog"}</definedName>
    <definedName name="SpecMaint_2" localSheetId="3" hidden="1">{#N/A,#N/A,FALSE,"Summary";#N/A,#N/A,FALSE,"SmPlants";#N/A,#N/A,FALSE,"Utah";#N/A,#N/A,FALSE,"Idaho";#N/A,#N/A,FALSE,"Lewis River";#N/A,#N/A,FALSE,"NrthUmpq";#N/A,#N/A,FALSE,"KlamRog"}</definedName>
    <definedName name="SpecMaint_2" localSheetId="4" hidden="1">{#N/A,#N/A,FALSE,"Summary";#N/A,#N/A,FALSE,"SmPlants";#N/A,#N/A,FALSE,"Utah";#N/A,#N/A,FALSE,"Idaho";#N/A,#N/A,FALSE,"Lewis River";#N/A,#N/A,FALSE,"NrthUmpq";#N/A,#N/A,FALSE,"KlamRog"}</definedName>
    <definedName name="SpecMaint_2" localSheetId="5" hidden="1">{#N/A,#N/A,FALSE,"Summary";#N/A,#N/A,FALSE,"SmPlants";#N/A,#N/A,FALSE,"Utah";#N/A,#N/A,FALSE,"Idaho";#N/A,#N/A,FALSE,"Lewis River";#N/A,#N/A,FALSE,"NrthUmpq";#N/A,#N/A,FALSE,"KlamRog"}</definedName>
    <definedName name="SpecMaint_2" localSheetId="6" hidden="1">{#N/A,#N/A,FALSE,"Summary";#N/A,#N/A,FALSE,"SmPlants";#N/A,#N/A,FALSE,"Utah";#N/A,#N/A,FALSE,"Idaho";#N/A,#N/A,FALSE,"Lewis River";#N/A,#N/A,FALSE,"NrthUmpq";#N/A,#N/A,FALSE,"KlamRog"}</definedName>
    <definedName name="SpecMaint_2" localSheetId="7" hidden="1">{#N/A,#N/A,FALSE,"Summary";#N/A,#N/A,FALSE,"SmPlants";#N/A,#N/A,FALSE,"Utah";#N/A,#N/A,FALSE,"Idaho";#N/A,#N/A,FALSE,"Lewis River";#N/A,#N/A,FALSE,"NrthUmpq";#N/A,#N/A,FALSE,"KlamRog"}</definedName>
    <definedName name="SpecMaint_2" localSheetId="8" hidden="1">{#N/A,#N/A,FALSE,"Summary";#N/A,#N/A,FALSE,"SmPlants";#N/A,#N/A,FALSE,"Utah";#N/A,#N/A,FALSE,"Idaho";#N/A,#N/A,FALSE,"Lewis River";#N/A,#N/A,FALSE,"NrthUmpq";#N/A,#N/A,FALSE,"KlamRog"}</definedName>
    <definedName name="SpecMaint_2" localSheetId="13" hidden="1">{#N/A,#N/A,FALSE,"Summary";#N/A,#N/A,FALSE,"SmPlants";#N/A,#N/A,FALSE,"Utah";#N/A,#N/A,FALSE,"Idaho";#N/A,#N/A,FALSE,"Lewis River";#N/A,#N/A,FALSE,"NrthUmpq";#N/A,#N/A,FALSE,"KlamRog"}</definedName>
    <definedName name="SpecMaint_2" localSheetId="0" hidden="1">{#N/A,#N/A,FALSE,"Summary";#N/A,#N/A,FALSE,"SmPlants";#N/A,#N/A,FALSE,"Utah";#N/A,#N/A,FALSE,"Idaho";#N/A,#N/A,FALSE,"Lewis River";#N/A,#N/A,FALSE,"NrthUmpq";#N/A,#N/A,FALSE,"KlamRog"}</definedName>
    <definedName name="SpecMaint_2" hidden="1">{#N/A,#N/A,FALSE,"Summary";#N/A,#N/A,FALSE,"SmPlants";#N/A,#N/A,FALSE,"Utah";#N/A,#N/A,FALSE,"Idaho";#N/A,#N/A,FALSE,"Lewis River";#N/A,#N/A,FALSE,"NrthUmpq";#N/A,#N/A,FALSE,"KlamRog"}</definedName>
    <definedName name="SpecMaint_3" localSheetId="1" hidden="1">{#N/A,#N/A,FALSE,"Summary";#N/A,#N/A,FALSE,"SmPlants";#N/A,#N/A,FALSE,"Utah";#N/A,#N/A,FALSE,"Idaho";#N/A,#N/A,FALSE,"Lewis River";#N/A,#N/A,FALSE,"NrthUmpq";#N/A,#N/A,FALSE,"KlamRog"}</definedName>
    <definedName name="SpecMaint_3" localSheetId="3" hidden="1">{#N/A,#N/A,FALSE,"Summary";#N/A,#N/A,FALSE,"SmPlants";#N/A,#N/A,FALSE,"Utah";#N/A,#N/A,FALSE,"Idaho";#N/A,#N/A,FALSE,"Lewis River";#N/A,#N/A,FALSE,"NrthUmpq";#N/A,#N/A,FALSE,"KlamRog"}</definedName>
    <definedName name="SpecMaint_3" localSheetId="4" hidden="1">{#N/A,#N/A,FALSE,"Summary";#N/A,#N/A,FALSE,"SmPlants";#N/A,#N/A,FALSE,"Utah";#N/A,#N/A,FALSE,"Idaho";#N/A,#N/A,FALSE,"Lewis River";#N/A,#N/A,FALSE,"NrthUmpq";#N/A,#N/A,FALSE,"KlamRog"}</definedName>
    <definedName name="SpecMaint_3" localSheetId="5" hidden="1">{#N/A,#N/A,FALSE,"Summary";#N/A,#N/A,FALSE,"SmPlants";#N/A,#N/A,FALSE,"Utah";#N/A,#N/A,FALSE,"Idaho";#N/A,#N/A,FALSE,"Lewis River";#N/A,#N/A,FALSE,"NrthUmpq";#N/A,#N/A,FALSE,"KlamRog"}</definedName>
    <definedName name="SpecMaint_3" localSheetId="6" hidden="1">{#N/A,#N/A,FALSE,"Summary";#N/A,#N/A,FALSE,"SmPlants";#N/A,#N/A,FALSE,"Utah";#N/A,#N/A,FALSE,"Idaho";#N/A,#N/A,FALSE,"Lewis River";#N/A,#N/A,FALSE,"NrthUmpq";#N/A,#N/A,FALSE,"KlamRog"}</definedName>
    <definedName name="SpecMaint_3" localSheetId="7" hidden="1">{#N/A,#N/A,FALSE,"Summary";#N/A,#N/A,FALSE,"SmPlants";#N/A,#N/A,FALSE,"Utah";#N/A,#N/A,FALSE,"Idaho";#N/A,#N/A,FALSE,"Lewis River";#N/A,#N/A,FALSE,"NrthUmpq";#N/A,#N/A,FALSE,"KlamRog"}</definedName>
    <definedName name="SpecMaint_3" localSheetId="8" hidden="1">{#N/A,#N/A,FALSE,"Summary";#N/A,#N/A,FALSE,"SmPlants";#N/A,#N/A,FALSE,"Utah";#N/A,#N/A,FALSE,"Idaho";#N/A,#N/A,FALSE,"Lewis River";#N/A,#N/A,FALSE,"NrthUmpq";#N/A,#N/A,FALSE,"KlamRog"}</definedName>
    <definedName name="SpecMaint_3" localSheetId="13" hidden="1">{#N/A,#N/A,FALSE,"Summary";#N/A,#N/A,FALSE,"SmPlants";#N/A,#N/A,FALSE,"Utah";#N/A,#N/A,FALSE,"Idaho";#N/A,#N/A,FALSE,"Lewis River";#N/A,#N/A,FALSE,"NrthUmpq";#N/A,#N/A,FALSE,"KlamRog"}</definedName>
    <definedName name="SpecMaint_3" localSheetId="0" hidden="1">{#N/A,#N/A,FALSE,"Summary";#N/A,#N/A,FALSE,"SmPlants";#N/A,#N/A,FALSE,"Utah";#N/A,#N/A,FALSE,"Idaho";#N/A,#N/A,FALSE,"Lewis River";#N/A,#N/A,FALSE,"NrthUmpq";#N/A,#N/A,FALSE,"KlamRog"}</definedName>
    <definedName name="SpecMaint_3" hidden="1">{#N/A,#N/A,FALSE,"Summary";#N/A,#N/A,FALSE,"SmPlants";#N/A,#N/A,FALSE,"Utah";#N/A,#N/A,FALSE,"Idaho";#N/A,#N/A,FALSE,"Lewis River";#N/A,#N/A,FALSE,"NrthUmpq";#N/A,#N/A,FALSE,"KlamRog"}</definedName>
    <definedName name="SpecMaint_4" localSheetId="1" hidden="1">{#N/A,#N/A,FALSE,"Summary";#N/A,#N/A,FALSE,"SmPlants";#N/A,#N/A,FALSE,"Utah";#N/A,#N/A,FALSE,"Idaho";#N/A,#N/A,FALSE,"Lewis River";#N/A,#N/A,FALSE,"NrthUmpq";#N/A,#N/A,FALSE,"KlamRog"}</definedName>
    <definedName name="SpecMaint_4" localSheetId="3" hidden="1">{#N/A,#N/A,FALSE,"Summary";#N/A,#N/A,FALSE,"SmPlants";#N/A,#N/A,FALSE,"Utah";#N/A,#N/A,FALSE,"Idaho";#N/A,#N/A,FALSE,"Lewis River";#N/A,#N/A,FALSE,"NrthUmpq";#N/A,#N/A,FALSE,"KlamRog"}</definedName>
    <definedName name="SpecMaint_4" localSheetId="4" hidden="1">{#N/A,#N/A,FALSE,"Summary";#N/A,#N/A,FALSE,"SmPlants";#N/A,#N/A,FALSE,"Utah";#N/A,#N/A,FALSE,"Idaho";#N/A,#N/A,FALSE,"Lewis River";#N/A,#N/A,FALSE,"NrthUmpq";#N/A,#N/A,FALSE,"KlamRog"}</definedName>
    <definedName name="SpecMaint_4" localSheetId="5" hidden="1">{#N/A,#N/A,FALSE,"Summary";#N/A,#N/A,FALSE,"SmPlants";#N/A,#N/A,FALSE,"Utah";#N/A,#N/A,FALSE,"Idaho";#N/A,#N/A,FALSE,"Lewis River";#N/A,#N/A,FALSE,"NrthUmpq";#N/A,#N/A,FALSE,"KlamRog"}</definedName>
    <definedName name="SpecMaint_4" localSheetId="6" hidden="1">{#N/A,#N/A,FALSE,"Summary";#N/A,#N/A,FALSE,"SmPlants";#N/A,#N/A,FALSE,"Utah";#N/A,#N/A,FALSE,"Idaho";#N/A,#N/A,FALSE,"Lewis River";#N/A,#N/A,FALSE,"NrthUmpq";#N/A,#N/A,FALSE,"KlamRog"}</definedName>
    <definedName name="SpecMaint_4" localSheetId="7" hidden="1">{#N/A,#N/A,FALSE,"Summary";#N/A,#N/A,FALSE,"SmPlants";#N/A,#N/A,FALSE,"Utah";#N/A,#N/A,FALSE,"Idaho";#N/A,#N/A,FALSE,"Lewis River";#N/A,#N/A,FALSE,"NrthUmpq";#N/A,#N/A,FALSE,"KlamRog"}</definedName>
    <definedName name="SpecMaint_4" localSheetId="8" hidden="1">{#N/A,#N/A,FALSE,"Summary";#N/A,#N/A,FALSE,"SmPlants";#N/A,#N/A,FALSE,"Utah";#N/A,#N/A,FALSE,"Idaho";#N/A,#N/A,FALSE,"Lewis River";#N/A,#N/A,FALSE,"NrthUmpq";#N/A,#N/A,FALSE,"KlamRog"}</definedName>
    <definedName name="SpecMaint_4" localSheetId="13" hidden="1">{#N/A,#N/A,FALSE,"Summary";#N/A,#N/A,FALSE,"SmPlants";#N/A,#N/A,FALSE,"Utah";#N/A,#N/A,FALSE,"Idaho";#N/A,#N/A,FALSE,"Lewis River";#N/A,#N/A,FALSE,"NrthUmpq";#N/A,#N/A,FALSE,"KlamRog"}</definedName>
    <definedName name="SpecMaint_4" localSheetId="0" hidden="1">{#N/A,#N/A,FALSE,"Summary";#N/A,#N/A,FALSE,"SmPlants";#N/A,#N/A,FALSE,"Utah";#N/A,#N/A,FALSE,"Idaho";#N/A,#N/A,FALSE,"Lewis River";#N/A,#N/A,FALSE,"NrthUmpq";#N/A,#N/A,FALSE,"KlamRog"}</definedName>
    <definedName name="SpecMaint_4" hidden="1">{#N/A,#N/A,FALSE,"Summary";#N/A,#N/A,FALSE,"SmPlants";#N/A,#N/A,FALSE,"Utah";#N/A,#N/A,FALSE,"Idaho";#N/A,#N/A,FALSE,"Lewis River";#N/A,#N/A,FALSE,"NrthUmpq";#N/A,#N/A,FALSE,"KlamRog"}</definedName>
    <definedName name="SpecMaint_5" localSheetId="1" hidden="1">{#N/A,#N/A,FALSE,"Summary";#N/A,#N/A,FALSE,"SmPlants";#N/A,#N/A,FALSE,"Utah";#N/A,#N/A,FALSE,"Idaho";#N/A,#N/A,FALSE,"Lewis River";#N/A,#N/A,FALSE,"NrthUmpq";#N/A,#N/A,FALSE,"KlamRog"}</definedName>
    <definedName name="SpecMaint_5" localSheetId="3" hidden="1">{#N/A,#N/A,FALSE,"Summary";#N/A,#N/A,FALSE,"SmPlants";#N/A,#N/A,FALSE,"Utah";#N/A,#N/A,FALSE,"Idaho";#N/A,#N/A,FALSE,"Lewis River";#N/A,#N/A,FALSE,"NrthUmpq";#N/A,#N/A,FALSE,"KlamRog"}</definedName>
    <definedName name="SpecMaint_5" localSheetId="4" hidden="1">{#N/A,#N/A,FALSE,"Summary";#N/A,#N/A,FALSE,"SmPlants";#N/A,#N/A,FALSE,"Utah";#N/A,#N/A,FALSE,"Idaho";#N/A,#N/A,FALSE,"Lewis River";#N/A,#N/A,FALSE,"NrthUmpq";#N/A,#N/A,FALSE,"KlamRog"}</definedName>
    <definedName name="SpecMaint_5" localSheetId="5" hidden="1">{#N/A,#N/A,FALSE,"Summary";#N/A,#N/A,FALSE,"SmPlants";#N/A,#N/A,FALSE,"Utah";#N/A,#N/A,FALSE,"Idaho";#N/A,#N/A,FALSE,"Lewis River";#N/A,#N/A,FALSE,"NrthUmpq";#N/A,#N/A,FALSE,"KlamRog"}</definedName>
    <definedName name="SpecMaint_5" localSheetId="6" hidden="1">{#N/A,#N/A,FALSE,"Summary";#N/A,#N/A,FALSE,"SmPlants";#N/A,#N/A,FALSE,"Utah";#N/A,#N/A,FALSE,"Idaho";#N/A,#N/A,FALSE,"Lewis River";#N/A,#N/A,FALSE,"NrthUmpq";#N/A,#N/A,FALSE,"KlamRog"}</definedName>
    <definedName name="SpecMaint_5" localSheetId="7" hidden="1">{#N/A,#N/A,FALSE,"Summary";#N/A,#N/A,FALSE,"SmPlants";#N/A,#N/A,FALSE,"Utah";#N/A,#N/A,FALSE,"Idaho";#N/A,#N/A,FALSE,"Lewis River";#N/A,#N/A,FALSE,"NrthUmpq";#N/A,#N/A,FALSE,"KlamRog"}</definedName>
    <definedName name="SpecMaint_5" localSheetId="8" hidden="1">{#N/A,#N/A,FALSE,"Summary";#N/A,#N/A,FALSE,"SmPlants";#N/A,#N/A,FALSE,"Utah";#N/A,#N/A,FALSE,"Idaho";#N/A,#N/A,FALSE,"Lewis River";#N/A,#N/A,FALSE,"NrthUmpq";#N/A,#N/A,FALSE,"KlamRog"}</definedName>
    <definedName name="SpecMaint_5" localSheetId="13" hidden="1">{#N/A,#N/A,FALSE,"Summary";#N/A,#N/A,FALSE,"SmPlants";#N/A,#N/A,FALSE,"Utah";#N/A,#N/A,FALSE,"Idaho";#N/A,#N/A,FALSE,"Lewis River";#N/A,#N/A,FALSE,"NrthUmpq";#N/A,#N/A,FALSE,"KlamRog"}</definedName>
    <definedName name="SpecMaint_5" localSheetId="0" hidden="1">{#N/A,#N/A,FALSE,"Summary";#N/A,#N/A,FALSE,"SmPlants";#N/A,#N/A,FALSE,"Utah";#N/A,#N/A,FALSE,"Idaho";#N/A,#N/A,FALSE,"Lewis River";#N/A,#N/A,FALSE,"NrthUmpq";#N/A,#N/A,FALSE,"KlamRog"}</definedName>
    <definedName name="SpecMaint_5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localSheetId="4" hidden="1">{#N/A,#N/A,FALSE,"Actual";#N/A,#N/A,FALSE,"Normalized";#N/A,#N/A,FALSE,"Electric Actual";#N/A,#N/A,FALSE,"Electric Normalized"}</definedName>
    <definedName name="spippw" localSheetId="5" hidden="1">{#N/A,#N/A,FALSE,"Actual";#N/A,#N/A,FALSE,"Normalized";#N/A,#N/A,FALSE,"Electric Actual";#N/A,#N/A,FALSE,"Electric Normalized"}</definedName>
    <definedName name="spippw" localSheetId="6" hidden="1">{#N/A,#N/A,FALSE,"Actual";#N/A,#N/A,FALSE,"Normalized";#N/A,#N/A,FALSE,"Electric Actual";#N/A,#N/A,FALSE,"Electric Normalized"}</definedName>
    <definedName name="spippw" localSheetId="7" hidden="1">{#N/A,#N/A,FALSE,"Actual";#N/A,#N/A,FALSE,"Normalized";#N/A,#N/A,FALSE,"Electric Actual";#N/A,#N/A,FALSE,"Electric Normalized"}</definedName>
    <definedName name="spippw" localSheetId="8" hidden="1">{#N/A,#N/A,FALSE,"Actual";#N/A,#N/A,FALSE,"Normalized";#N/A,#N/A,FALSE,"Electric Actual";#N/A,#N/A,FALSE,"Electric Normalized"}</definedName>
    <definedName name="spippw" localSheetId="13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_1" localSheetId="1" hidden="1">{#N/A,#N/A,FALSE,"Actual";#N/A,#N/A,FALSE,"Normalized";#N/A,#N/A,FALSE,"Electric Actual";#N/A,#N/A,FALSE,"Electric Normalized"}</definedName>
    <definedName name="spippw_1" localSheetId="3" hidden="1">{#N/A,#N/A,FALSE,"Actual";#N/A,#N/A,FALSE,"Normalized";#N/A,#N/A,FALSE,"Electric Actual";#N/A,#N/A,FALSE,"Electric Normalized"}</definedName>
    <definedName name="spippw_1" localSheetId="4" hidden="1">{#N/A,#N/A,FALSE,"Actual";#N/A,#N/A,FALSE,"Normalized";#N/A,#N/A,FALSE,"Electric Actual";#N/A,#N/A,FALSE,"Electric Normalized"}</definedName>
    <definedName name="spippw_1" localSheetId="5" hidden="1">{#N/A,#N/A,FALSE,"Actual";#N/A,#N/A,FALSE,"Normalized";#N/A,#N/A,FALSE,"Electric Actual";#N/A,#N/A,FALSE,"Electric Normalized"}</definedName>
    <definedName name="spippw_1" localSheetId="6" hidden="1">{#N/A,#N/A,FALSE,"Actual";#N/A,#N/A,FALSE,"Normalized";#N/A,#N/A,FALSE,"Electric Actual";#N/A,#N/A,FALSE,"Electric Normalized"}</definedName>
    <definedName name="spippw_1" localSheetId="7" hidden="1">{#N/A,#N/A,FALSE,"Actual";#N/A,#N/A,FALSE,"Normalized";#N/A,#N/A,FALSE,"Electric Actual";#N/A,#N/A,FALSE,"Electric Normalized"}</definedName>
    <definedName name="spippw_1" localSheetId="8" hidden="1">{#N/A,#N/A,FALSE,"Actual";#N/A,#N/A,FALSE,"Normalized";#N/A,#N/A,FALSE,"Electric Actual";#N/A,#N/A,FALSE,"Electric Normalized"}</definedName>
    <definedName name="spippw_1" localSheetId="13" hidden="1">{#N/A,#N/A,FALSE,"Actual";#N/A,#N/A,FALSE,"Normalized";#N/A,#N/A,FALSE,"Electric Actual";#N/A,#N/A,FALSE,"Electric Normalized"}</definedName>
    <definedName name="spippw_1" localSheetId="0" hidden="1">{#N/A,#N/A,FALSE,"Actual";#N/A,#N/A,FALSE,"Normalized";#N/A,#N/A,FALSE,"Electric Actual";#N/A,#N/A,FALSE,"Electric Normalized"}</definedName>
    <definedName name="spippw_1" hidden="1">{#N/A,#N/A,FALSE,"Actual";#N/A,#N/A,FALSE,"Normalized";#N/A,#N/A,FALSE,"Electric Actual";#N/A,#N/A,FALSE,"Electric Normalized"}</definedName>
    <definedName name="spippw_2" localSheetId="1" hidden="1">{#N/A,#N/A,FALSE,"Actual";#N/A,#N/A,FALSE,"Normalized";#N/A,#N/A,FALSE,"Electric Actual";#N/A,#N/A,FALSE,"Electric Normalized"}</definedName>
    <definedName name="spippw_2" localSheetId="3" hidden="1">{#N/A,#N/A,FALSE,"Actual";#N/A,#N/A,FALSE,"Normalized";#N/A,#N/A,FALSE,"Electric Actual";#N/A,#N/A,FALSE,"Electric Normalized"}</definedName>
    <definedName name="spippw_2" localSheetId="4" hidden="1">{#N/A,#N/A,FALSE,"Actual";#N/A,#N/A,FALSE,"Normalized";#N/A,#N/A,FALSE,"Electric Actual";#N/A,#N/A,FALSE,"Electric Normalized"}</definedName>
    <definedName name="spippw_2" localSheetId="5" hidden="1">{#N/A,#N/A,FALSE,"Actual";#N/A,#N/A,FALSE,"Normalized";#N/A,#N/A,FALSE,"Electric Actual";#N/A,#N/A,FALSE,"Electric Normalized"}</definedName>
    <definedName name="spippw_2" localSheetId="6" hidden="1">{#N/A,#N/A,FALSE,"Actual";#N/A,#N/A,FALSE,"Normalized";#N/A,#N/A,FALSE,"Electric Actual";#N/A,#N/A,FALSE,"Electric Normalized"}</definedName>
    <definedName name="spippw_2" localSheetId="7" hidden="1">{#N/A,#N/A,FALSE,"Actual";#N/A,#N/A,FALSE,"Normalized";#N/A,#N/A,FALSE,"Electric Actual";#N/A,#N/A,FALSE,"Electric Normalized"}</definedName>
    <definedName name="spippw_2" localSheetId="8" hidden="1">{#N/A,#N/A,FALSE,"Actual";#N/A,#N/A,FALSE,"Normalized";#N/A,#N/A,FALSE,"Electric Actual";#N/A,#N/A,FALSE,"Electric Normalized"}</definedName>
    <definedName name="spippw_2" localSheetId="13" hidden="1">{#N/A,#N/A,FALSE,"Actual";#N/A,#N/A,FALSE,"Normalized";#N/A,#N/A,FALSE,"Electric Actual";#N/A,#N/A,FALSE,"Electric Normalized"}</definedName>
    <definedName name="spippw_2" localSheetId="0" hidden="1">{#N/A,#N/A,FALSE,"Actual";#N/A,#N/A,FALSE,"Normalized";#N/A,#N/A,FALSE,"Electric Actual";#N/A,#N/A,FALSE,"Electric Normalized"}</definedName>
    <definedName name="spippw_2" hidden="1">{#N/A,#N/A,FALSE,"Actual";#N/A,#N/A,FALSE,"Normalized";#N/A,#N/A,FALSE,"Electric Actual";#N/A,#N/A,FALSE,"Electric Normalized"}</definedName>
    <definedName name="spippw_3" localSheetId="1" hidden="1">{#N/A,#N/A,FALSE,"Actual";#N/A,#N/A,FALSE,"Normalized";#N/A,#N/A,FALSE,"Electric Actual";#N/A,#N/A,FALSE,"Electric Normalized"}</definedName>
    <definedName name="spippw_3" localSheetId="3" hidden="1">{#N/A,#N/A,FALSE,"Actual";#N/A,#N/A,FALSE,"Normalized";#N/A,#N/A,FALSE,"Electric Actual";#N/A,#N/A,FALSE,"Electric Normalized"}</definedName>
    <definedName name="spippw_3" localSheetId="4" hidden="1">{#N/A,#N/A,FALSE,"Actual";#N/A,#N/A,FALSE,"Normalized";#N/A,#N/A,FALSE,"Electric Actual";#N/A,#N/A,FALSE,"Electric Normalized"}</definedName>
    <definedName name="spippw_3" localSheetId="5" hidden="1">{#N/A,#N/A,FALSE,"Actual";#N/A,#N/A,FALSE,"Normalized";#N/A,#N/A,FALSE,"Electric Actual";#N/A,#N/A,FALSE,"Electric Normalized"}</definedName>
    <definedName name="spippw_3" localSheetId="6" hidden="1">{#N/A,#N/A,FALSE,"Actual";#N/A,#N/A,FALSE,"Normalized";#N/A,#N/A,FALSE,"Electric Actual";#N/A,#N/A,FALSE,"Electric Normalized"}</definedName>
    <definedName name="spippw_3" localSheetId="7" hidden="1">{#N/A,#N/A,FALSE,"Actual";#N/A,#N/A,FALSE,"Normalized";#N/A,#N/A,FALSE,"Electric Actual";#N/A,#N/A,FALSE,"Electric Normalized"}</definedName>
    <definedName name="spippw_3" localSheetId="8" hidden="1">{#N/A,#N/A,FALSE,"Actual";#N/A,#N/A,FALSE,"Normalized";#N/A,#N/A,FALSE,"Electric Actual";#N/A,#N/A,FALSE,"Electric Normalized"}</definedName>
    <definedName name="spippw_3" localSheetId="13" hidden="1">{#N/A,#N/A,FALSE,"Actual";#N/A,#N/A,FALSE,"Normalized";#N/A,#N/A,FALSE,"Electric Actual";#N/A,#N/A,FALSE,"Electric Normalized"}</definedName>
    <definedName name="spippw_3" localSheetId="0" hidden="1">{#N/A,#N/A,FALSE,"Actual";#N/A,#N/A,FALSE,"Normalized";#N/A,#N/A,FALSE,"Electric Actual";#N/A,#N/A,FALSE,"Electric Normalized"}</definedName>
    <definedName name="spippw_3" hidden="1">{#N/A,#N/A,FALSE,"Actual";#N/A,#N/A,FALSE,"Normalized";#N/A,#N/A,FALSE,"Electric Actual";#N/A,#N/A,FALSE,"Electric Normalized"}</definedName>
    <definedName name="spippw_4" localSheetId="1" hidden="1">{#N/A,#N/A,FALSE,"Actual";#N/A,#N/A,FALSE,"Normalized";#N/A,#N/A,FALSE,"Electric Actual";#N/A,#N/A,FALSE,"Electric Normalized"}</definedName>
    <definedName name="spippw_4" localSheetId="3" hidden="1">{#N/A,#N/A,FALSE,"Actual";#N/A,#N/A,FALSE,"Normalized";#N/A,#N/A,FALSE,"Electric Actual";#N/A,#N/A,FALSE,"Electric Normalized"}</definedName>
    <definedName name="spippw_4" localSheetId="4" hidden="1">{#N/A,#N/A,FALSE,"Actual";#N/A,#N/A,FALSE,"Normalized";#N/A,#N/A,FALSE,"Electric Actual";#N/A,#N/A,FALSE,"Electric Normalized"}</definedName>
    <definedName name="spippw_4" localSheetId="5" hidden="1">{#N/A,#N/A,FALSE,"Actual";#N/A,#N/A,FALSE,"Normalized";#N/A,#N/A,FALSE,"Electric Actual";#N/A,#N/A,FALSE,"Electric Normalized"}</definedName>
    <definedName name="spippw_4" localSheetId="6" hidden="1">{#N/A,#N/A,FALSE,"Actual";#N/A,#N/A,FALSE,"Normalized";#N/A,#N/A,FALSE,"Electric Actual";#N/A,#N/A,FALSE,"Electric Normalized"}</definedName>
    <definedName name="spippw_4" localSheetId="7" hidden="1">{#N/A,#N/A,FALSE,"Actual";#N/A,#N/A,FALSE,"Normalized";#N/A,#N/A,FALSE,"Electric Actual";#N/A,#N/A,FALSE,"Electric Normalized"}</definedName>
    <definedName name="spippw_4" localSheetId="8" hidden="1">{#N/A,#N/A,FALSE,"Actual";#N/A,#N/A,FALSE,"Normalized";#N/A,#N/A,FALSE,"Electric Actual";#N/A,#N/A,FALSE,"Electric Normalized"}</definedName>
    <definedName name="spippw_4" localSheetId="13" hidden="1">{#N/A,#N/A,FALSE,"Actual";#N/A,#N/A,FALSE,"Normalized";#N/A,#N/A,FALSE,"Electric Actual";#N/A,#N/A,FALSE,"Electric Normalized"}</definedName>
    <definedName name="spippw_4" localSheetId="0" hidden="1">{#N/A,#N/A,FALSE,"Actual";#N/A,#N/A,FALSE,"Normalized";#N/A,#N/A,FALSE,"Electric Actual";#N/A,#N/A,FALSE,"Electric Normalized"}</definedName>
    <definedName name="spippw_4" hidden="1">{#N/A,#N/A,FALSE,"Actual";#N/A,#N/A,FALSE,"Normalized";#N/A,#N/A,FALSE,"Electric Actual";#N/A,#N/A,FALSE,"Electric Normalized"}</definedName>
    <definedName name="spippw_5" localSheetId="1" hidden="1">{#N/A,#N/A,FALSE,"Actual";#N/A,#N/A,FALSE,"Normalized";#N/A,#N/A,FALSE,"Electric Actual";#N/A,#N/A,FALSE,"Electric Normalized"}</definedName>
    <definedName name="spippw_5" localSheetId="3" hidden="1">{#N/A,#N/A,FALSE,"Actual";#N/A,#N/A,FALSE,"Normalized";#N/A,#N/A,FALSE,"Electric Actual";#N/A,#N/A,FALSE,"Electric Normalized"}</definedName>
    <definedName name="spippw_5" localSheetId="4" hidden="1">{#N/A,#N/A,FALSE,"Actual";#N/A,#N/A,FALSE,"Normalized";#N/A,#N/A,FALSE,"Electric Actual";#N/A,#N/A,FALSE,"Electric Normalized"}</definedName>
    <definedName name="spippw_5" localSheetId="5" hidden="1">{#N/A,#N/A,FALSE,"Actual";#N/A,#N/A,FALSE,"Normalized";#N/A,#N/A,FALSE,"Electric Actual";#N/A,#N/A,FALSE,"Electric Normalized"}</definedName>
    <definedName name="spippw_5" localSheetId="6" hidden="1">{#N/A,#N/A,FALSE,"Actual";#N/A,#N/A,FALSE,"Normalized";#N/A,#N/A,FALSE,"Electric Actual";#N/A,#N/A,FALSE,"Electric Normalized"}</definedName>
    <definedName name="spippw_5" localSheetId="7" hidden="1">{#N/A,#N/A,FALSE,"Actual";#N/A,#N/A,FALSE,"Normalized";#N/A,#N/A,FALSE,"Electric Actual";#N/A,#N/A,FALSE,"Electric Normalized"}</definedName>
    <definedName name="spippw_5" localSheetId="8" hidden="1">{#N/A,#N/A,FALSE,"Actual";#N/A,#N/A,FALSE,"Normalized";#N/A,#N/A,FALSE,"Electric Actual";#N/A,#N/A,FALSE,"Electric Normalized"}</definedName>
    <definedName name="spippw_5" localSheetId="13" hidden="1">{#N/A,#N/A,FALSE,"Actual";#N/A,#N/A,FALSE,"Normalized";#N/A,#N/A,FALSE,"Electric Actual";#N/A,#N/A,FALSE,"Electric Normalized"}</definedName>
    <definedName name="spippw_5" localSheetId="0" hidden="1">{#N/A,#N/A,FALSE,"Actual";#N/A,#N/A,FALSE,"Normalized";#N/A,#N/A,FALSE,"Electric Actual";#N/A,#N/A,FALSE,"Electric Normalized"}</definedName>
    <definedName name="spippw_5" hidden="1">{#N/A,#N/A,FALSE,"Actual";#N/A,#N/A,FALSE,"Normalized";#N/A,#N/A,FALSE,"Electric Actual";#N/A,#N/A,FALSE,"Electric Normalized"}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hidden="1">{#N/A,#N/A,FALSE,"Summary";#N/A,#N/A,FALSE,"SmPlants";#N/A,#N/A,FALSE,"Utah";#N/A,#N/A,FALSE,"Idaho";#N/A,#N/A,FALSE,"Lewis River";#N/A,#N/A,FALSE,"NrthUmpq";#N/A,#N/A,FALSE,"KlamRog"}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localSheetId="5" hidden="1">{#N/A,#N/A,FALSE,"Summary EPS";#N/A,#N/A,FALSE,"1st Qtr Electric";#N/A,#N/A,FALSE,"1st Qtr Australia";#N/A,#N/A,FALSE,"1st Qtr Telecom";#N/A,#N/A,FALSE,"1st QTR Other"}</definedName>
    <definedName name="wrn.ALL." localSheetId="6" hidden="1">{#N/A,#N/A,FALSE,"Summary EPS";#N/A,#N/A,FALSE,"1st Qtr Electric";#N/A,#N/A,FALSE,"1st Qtr Australia";#N/A,#N/A,FALSE,"1st Qtr Telecom";#N/A,#N/A,FALSE,"1st QTR Other"}</definedName>
    <definedName name="wrn.ALL." localSheetId="7" hidden="1">{#N/A,#N/A,FALSE,"Summary EPS";#N/A,#N/A,FALSE,"1st Qtr Electric";#N/A,#N/A,FALSE,"1st Qtr Australia";#N/A,#N/A,FALSE,"1st Qtr Telecom";#N/A,#N/A,FALSE,"1st QTR Other"}</definedName>
    <definedName name="wrn.ALL." localSheetId="8" hidden="1">{#N/A,#N/A,FALSE,"Summary EPS";#N/A,#N/A,FALSE,"1st Qtr Electric";#N/A,#N/A,FALSE,"1st Qtr Australia";#N/A,#N/A,FALSE,"1st Qtr Telecom";#N/A,#N/A,FALSE,"1st QTR Other"}</definedName>
    <definedName name="wrn.ALL." localSheetId="13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localSheetId="1" hidden="1">{#N/A,#N/A,FALSE,"Summary 1";#N/A,#N/A,FALSE,"Domestic";#N/A,#N/A,FALSE,"Australia";#N/A,#N/A,FALSE,"Other"}</definedName>
    <definedName name="wrn.All._.pages." localSheetId="3" hidden="1">{#N/A,#N/A,FALSE,"Summary 1";#N/A,#N/A,FALSE,"Domestic";#N/A,#N/A,FALSE,"Australia";#N/A,#N/A,FALSE,"Other"}</definedName>
    <definedName name="wrn.All._.pages." localSheetId="4" hidden="1">{#N/A,#N/A,FALSE,"Summary 1";#N/A,#N/A,FALSE,"Domestic";#N/A,#N/A,FALSE,"Australia";#N/A,#N/A,FALSE,"Other"}</definedName>
    <definedName name="wrn.All._.pages." localSheetId="5" hidden="1">{#N/A,#N/A,FALSE,"Summary 1";#N/A,#N/A,FALSE,"Domestic";#N/A,#N/A,FALSE,"Australia";#N/A,#N/A,FALSE,"Other"}</definedName>
    <definedName name="wrn.All._.pages." localSheetId="6" hidden="1">{#N/A,#N/A,FALSE,"Summary 1";#N/A,#N/A,FALSE,"Domestic";#N/A,#N/A,FALSE,"Australia";#N/A,#N/A,FALSE,"Other"}</definedName>
    <definedName name="wrn.All._.pages." localSheetId="7" hidden="1">{#N/A,#N/A,FALSE,"Summary 1";#N/A,#N/A,FALSE,"Domestic";#N/A,#N/A,FALSE,"Australia";#N/A,#N/A,FALSE,"Other"}</definedName>
    <definedName name="wrn.All._.pages." localSheetId="8" hidden="1">{#N/A,#N/A,FALSE,"Summary 1";#N/A,#N/A,FALSE,"Domestic";#N/A,#N/A,FALSE,"Australia";#N/A,#N/A,FALSE,"Other"}</definedName>
    <definedName name="wrn.All._.pages." localSheetId="13" hidden="1">{#N/A,#N/A,FALSE,"Summary 1";#N/A,#N/A,FALSE,"Domestic";#N/A,#N/A,FALSE,"Australia";#N/A,#N/A,FALSE,"Other"}</definedName>
    <definedName name="wrn.All._.pages." localSheetId="0" hidden="1">{#N/A,#N/A,FALSE,"Summary 1";#N/A,#N/A,FALSE,"Domestic";#N/A,#N/A,FALSE,"Australia";#N/A,#N/A,FALSE,"Other"}</definedName>
    <definedName name="wrn.All._.pages." hidden="1">{#N/A,#N/A,FALSE,"Summary 1";#N/A,#N/A,FALSE,"Domestic";#N/A,#N/A,FALSE,"Australia";#N/A,#N/A,FALSE,"Other"}</definedName>
    <definedName name="wrn.All._.pages._1" localSheetId="1" hidden="1">{#N/A,#N/A,FALSE,"Summary 1";#N/A,#N/A,FALSE,"Domestic";#N/A,#N/A,FALSE,"Australia";#N/A,#N/A,FALSE,"Other"}</definedName>
    <definedName name="wrn.All._.pages._1" localSheetId="3" hidden="1">{#N/A,#N/A,FALSE,"Summary 1";#N/A,#N/A,FALSE,"Domestic";#N/A,#N/A,FALSE,"Australia";#N/A,#N/A,FALSE,"Other"}</definedName>
    <definedName name="wrn.All._.pages._1" localSheetId="4" hidden="1">{#N/A,#N/A,FALSE,"Summary 1";#N/A,#N/A,FALSE,"Domestic";#N/A,#N/A,FALSE,"Australia";#N/A,#N/A,FALSE,"Other"}</definedName>
    <definedName name="wrn.All._.pages._1" localSheetId="5" hidden="1">{#N/A,#N/A,FALSE,"Summary 1";#N/A,#N/A,FALSE,"Domestic";#N/A,#N/A,FALSE,"Australia";#N/A,#N/A,FALSE,"Other"}</definedName>
    <definedName name="wrn.All._.pages._1" localSheetId="6" hidden="1">{#N/A,#N/A,FALSE,"Summary 1";#N/A,#N/A,FALSE,"Domestic";#N/A,#N/A,FALSE,"Australia";#N/A,#N/A,FALSE,"Other"}</definedName>
    <definedName name="wrn.All._.pages._1" localSheetId="7" hidden="1">{#N/A,#N/A,FALSE,"Summary 1";#N/A,#N/A,FALSE,"Domestic";#N/A,#N/A,FALSE,"Australia";#N/A,#N/A,FALSE,"Other"}</definedName>
    <definedName name="wrn.All._.pages._1" localSheetId="8" hidden="1">{#N/A,#N/A,FALSE,"Summary 1";#N/A,#N/A,FALSE,"Domestic";#N/A,#N/A,FALSE,"Australia";#N/A,#N/A,FALSE,"Other"}</definedName>
    <definedName name="wrn.All._.pages._1" localSheetId="13" hidden="1">{#N/A,#N/A,FALSE,"Summary 1";#N/A,#N/A,FALSE,"Domestic";#N/A,#N/A,FALSE,"Australia";#N/A,#N/A,FALSE,"Other"}</definedName>
    <definedName name="wrn.All._.pages._1" localSheetId="0" hidden="1">{#N/A,#N/A,FALSE,"Summary 1";#N/A,#N/A,FALSE,"Domestic";#N/A,#N/A,FALSE,"Australia";#N/A,#N/A,FALSE,"Other"}</definedName>
    <definedName name="wrn.All._.pages._1" hidden="1">{#N/A,#N/A,FALSE,"Summary 1";#N/A,#N/A,FALSE,"Domestic";#N/A,#N/A,FALSE,"Australia";#N/A,#N/A,FALSE,"Other"}</definedName>
    <definedName name="wrn.All._.pages._2" localSheetId="1" hidden="1">{#N/A,#N/A,FALSE,"Summary 1";#N/A,#N/A,FALSE,"Domestic";#N/A,#N/A,FALSE,"Australia";#N/A,#N/A,FALSE,"Other"}</definedName>
    <definedName name="wrn.All._.pages._2" localSheetId="3" hidden="1">{#N/A,#N/A,FALSE,"Summary 1";#N/A,#N/A,FALSE,"Domestic";#N/A,#N/A,FALSE,"Australia";#N/A,#N/A,FALSE,"Other"}</definedName>
    <definedName name="wrn.All._.pages._2" localSheetId="4" hidden="1">{#N/A,#N/A,FALSE,"Summary 1";#N/A,#N/A,FALSE,"Domestic";#N/A,#N/A,FALSE,"Australia";#N/A,#N/A,FALSE,"Other"}</definedName>
    <definedName name="wrn.All._.pages._2" localSheetId="5" hidden="1">{#N/A,#N/A,FALSE,"Summary 1";#N/A,#N/A,FALSE,"Domestic";#N/A,#N/A,FALSE,"Australia";#N/A,#N/A,FALSE,"Other"}</definedName>
    <definedName name="wrn.All._.pages._2" localSheetId="6" hidden="1">{#N/A,#N/A,FALSE,"Summary 1";#N/A,#N/A,FALSE,"Domestic";#N/A,#N/A,FALSE,"Australia";#N/A,#N/A,FALSE,"Other"}</definedName>
    <definedName name="wrn.All._.pages._2" localSheetId="7" hidden="1">{#N/A,#N/A,FALSE,"Summary 1";#N/A,#N/A,FALSE,"Domestic";#N/A,#N/A,FALSE,"Australia";#N/A,#N/A,FALSE,"Other"}</definedName>
    <definedName name="wrn.All._.pages._2" localSheetId="8" hidden="1">{#N/A,#N/A,FALSE,"Summary 1";#N/A,#N/A,FALSE,"Domestic";#N/A,#N/A,FALSE,"Australia";#N/A,#N/A,FALSE,"Other"}</definedName>
    <definedName name="wrn.All._.pages._2" localSheetId="13" hidden="1">{#N/A,#N/A,FALSE,"Summary 1";#N/A,#N/A,FALSE,"Domestic";#N/A,#N/A,FALSE,"Australia";#N/A,#N/A,FALSE,"Other"}</definedName>
    <definedName name="wrn.All._.pages._2" localSheetId="0" hidden="1">{#N/A,#N/A,FALSE,"Summary 1";#N/A,#N/A,FALSE,"Domestic";#N/A,#N/A,FALSE,"Australia";#N/A,#N/A,FALSE,"Other"}</definedName>
    <definedName name="wrn.All._.pages._2" hidden="1">{#N/A,#N/A,FALSE,"Summary 1";#N/A,#N/A,FALSE,"Domestic";#N/A,#N/A,FALSE,"Australia";#N/A,#N/A,FALSE,"Other"}</definedName>
    <definedName name="wrn.All._.pages._3" localSheetId="1" hidden="1">{#N/A,#N/A,FALSE,"Summary 1";#N/A,#N/A,FALSE,"Domestic";#N/A,#N/A,FALSE,"Australia";#N/A,#N/A,FALSE,"Other"}</definedName>
    <definedName name="wrn.All._.pages._3" localSheetId="3" hidden="1">{#N/A,#N/A,FALSE,"Summary 1";#N/A,#N/A,FALSE,"Domestic";#N/A,#N/A,FALSE,"Australia";#N/A,#N/A,FALSE,"Other"}</definedName>
    <definedName name="wrn.All._.pages._3" localSheetId="4" hidden="1">{#N/A,#N/A,FALSE,"Summary 1";#N/A,#N/A,FALSE,"Domestic";#N/A,#N/A,FALSE,"Australia";#N/A,#N/A,FALSE,"Other"}</definedName>
    <definedName name="wrn.All._.pages._3" localSheetId="5" hidden="1">{#N/A,#N/A,FALSE,"Summary 1";#N/A,#N/A,FALSE,"Domestic";#N/A,#N/A,FALSE,"Australia";#N/A,#N/A,FALSE,"Other"}</definedName>
    <definedName name="wrn.All._.pages._3" localSheetId="6" hidden="1">{#N/A,#N/A,FALSE,"Summary 1";#N/A,#N/A,FALSE,"Domestic";#N/A,#N/A,FALSE,"Australia";#N/A,#N/A,FALSE,"Other"}</definedName>
    <definedName name="wrn.All._.pages._3" localSheetId="7" hidden="1">{#N/A,#N/A,FALSE,"Summary 1";#N/A,#N/A,FALSE,"Domestic";#N/A,#N/A,FALSE,"Australia";#N/A,#N/A,FALSE,"Other"}</definedName>
    <definedName name="wrn.All._.pages._3" localSheetId="8" hidden="1">{#N/A,#N/A,FALSE,"Summary 1";#N/A,#N/A,FALSE,"Domestic";#N/A,#N/A,FALSE,"Australia";#N/A,#N/A,FALSE,"Other"}</definedName>
    <definedName name="wrn.All._.pages._3" localSheetId="13" hidden="1">{#N/A,#N/A,FALSE,"Summary 1";#N/A,#N/A,FALSE,"Domestic";#N/A,#N/A,FALSE,"Australia";#N/A,#N/A,FALSE,"Other"}</definedName>
    <definedName name="wrn.All._.pages._3" localSheetId="0" hidden="1">{#N/A,#N/A,FALSE,"Summary 1";#N/A,#N/A,FALSE,"Domestic";#N/A,#N/A,FALSE,"Australia";#N/A,#N/A,FALSE,"Other"}</definedName>
    <definedName name="wrn.All._.pages._3" hidden="1">{#N/A,#N/A,FALSE,"Summary 1";#N/A,#N/A,FALSE,"Domestic";#N/A,#N/A,FALSE,"Australia";#N/A,#N/A,FALSE,"Other"}</definedName>
    <definedName name="wrn.All._.pages._4" localSheetId="1" hidden="1">{#N/A,#N/A,FALSE,"Summary 1";#N/A,#N/A,FALSE,"Domestic";#N/A,#N/A,FALSE,"Australia";#N/A,#N/A,FALSE,"Other"}</definedName>
    <definedName name="wrn.All._.pages._4" localSheetId="3" hidden="1">{#N/A,#N/A,FALSE,"Summary 1";#N/A,#N/A,FALSE,"Domestic";#N/A,#N/A,FALSE,"Australia";#N/A,#N/A,FALSE,"Other"}</definedName>
    <definedName name="wrn.All._.pages._4" localSheetId="4" hidden="1">{#N/A,#N/A,FALSE,"Summary 1";#N/A,#N/A,FALSE,"Domestic";#N/A,#N/A,FALSE,"Australia";#N/A,#N/A,FALSE,"Other"}</definedName>
    <definedName name="wrn.All._.pages._4" localSheetId="5" hidden="1">{#N/A,#N/A,FALSE,"Summary 1";#N/A,#N/A,FALSE,"Domestic";#N/A,#N/A,FALSE,"Australia";#N/A,#N/A,FALSE,"Other"}</definedName>
    <definedName name="wrn.All._.pages._4" localSheetId="6" hidden="1">{#N/A,#N/A,FALSE,"Summary 1";#N/A,#N/A,FALSE,"Domestic";#N/A,#N/A,FALSE,"Australia";#N/A,#N/A,FALSE,"Other"}</definedName>
    <definedName name="wrn.All._.pages._4" localSheetId="7" hidden="1">{#N/A,#N/A,FALSE,"Summary 1";#N/A,#N/A,FALSE,"Domestic";#N/A,#N/A,FALSE,"Australia";#N/A,#N/A,FALSE,"Other"}</definedName>
    <definedName name="wrn.All._.pages._4" localSheetId="8" hidden="1">{#N/A,#N/A,FALSE,"Summary 1";#N/A,#N/A,FALSE,"Domestic";#N/A,#N/A,FALSE,"Australia";#N/A,#N/A,FALSE,"Other"}</definedName>
    <definedName name="wrn.All._.pages._4" localSheetId="13" hidden="1">{#N/A,#N/A,FALSE,"Summary 1";#N/A,#N/A,FALSE,"Domestic";#N/A,#N/A,FALSE,"Australia";#N/A,#N/A,FALSE,"Other"}</definedName>
    <definedName name="wrn.All._.pages._4" localSheetId="0" hidden="1">{#N/A,#N/A,FALSE,"Summary 1";#N/A,#N/A,FALSE,"Domestic";#N/A,#N/A,FALSE,"Australia";#N/A,#N/A,FALSE,"Other"}</definedName>
    <definedName name="wrn.All._.pages._4" hidden="1">{#N/A,#N/A,FALSE,"Summary 1";#N/A,#N/A,FALSE,"Domestic";#N/A,#N/A,FALSE,"Australia";#N/A,#N/A,FALSE,"Other"}</definedName>
    <definedName name="wrn.All._.pages._5" localSheetId="1" hidden="1">{#N/A,#N/A,FALSE,"Summary 1";#N/A,#N/A,FALSE,"Domestic";#N/A,#N/A,FALSE,"Australia";#N/A,#N/A,FALSE,"Other"}</definedName>
    <definedName name="wrn.All._.pages._5" localSheetId="3" hidden="1">{#N/A,#N/A,FALSE,"Summary 1";#N/A,#N/A,FALSE,"Domestic";#N/A,#N/A,FALSE,"Australia";#N/A,#N/A,FALSE,"Other"}</definedName>
    <definedName name="wrn.All._.pages._5" localSheetId="4" hidden="1">{#N/A,#N/A,FALSE,"Summary 1";#N/A,#N/A,FALSE,"Domestic";#N/A,#N/A,FALSE,"Australia";#N/A,#N/A,FALSE,"Other"}</definedName>
    <definedName name="wrn.All._.pages._5" localSheetId="5" hidden="1">{#N/A,#N/A,FALSE,"Summary 1";#N/A,#N/A,FALSE,"Domestic";#N/A,#N/A,FALSE,"Australia";#N/A,#N/A,FALSE,"Other"}</definedName>
    <definedName name="wrn.All._.pages._5" localSheetId="6" hidden="1">{#N/A,#N/A,FALSE,"Summary 1";#N/A,#N/A,FALSE,"Domestic";#N/A,#N/A,FALSE,"Australia";#N/A,#N/A,FALSE,"Other"}</definedName>
    <definedName name="wrn.All._.pages._5" localSheetId="7" hidden="1">{#N/A,#N/A,FALSE,"Summary 1";#N/A,#N/A,FALSE,"Domestic";#N/A,#N/A,FALSE,"Australia";#N/A,#N/A,FALSE,"Other"}</definedName>
    <definedName name="wrn.All._.pages._5" localSheetId="8" hidden="1">{#N/A,#N/A,FALSE,"Summary 1";#N/A,#N/A,FALSE,"Domestic";#N/A,#N/A,FALSE,"Australia";#N/A,#N/A,FALSE,"Other"}</definedName>
    <definedName name="wrn.All._.pages._5" localSheetId="13" hidden="1">{#N/A,#N/A,FALSE,"Summary 1";#N/A,#N/A,FALSE,"Domestic";#N/A,#N/A,FALSE,"Australia";#N/A,#N/A,FALSE,"Other"}</definedName>
    <definedName name="wrn.All._.pages._5" localSheetId="0" hidden="1">{#N/A,#N/A,FALSE,"Summary 1";#N/A,#N/A,FALSE,"Domestic";#N/A,#N/A,FALSE,"Australia";#N/A,#N/A,FALSE,"Other"}</definedName>
    <definedName name="wrn.All._.pages._5" hidden="1">{#N/A,#N/A,FALSE,"Summary 1";#N/A,#N/A,FALSE,"Domestic";#N/A,#N/A,FALSE,"Australia";#N/A,#N/A,FALSE,"Other"}</definedName>
    <definedName name="wrn.ALL._1" localSheetId="1" hidden="1">{#N/A,#N/A,FALSE,"Summary EPS";#N/A,#N/A,FALSE,"1st Qtr Electric";#N/A,#N/A,FALSE,"1st Qtr Australia";#N/A,#N/A,FALSE,"1st Qtr Telecom";#N/A,#N/A,FALSE,"1st QTR Other"}</definedName>
    <definedName name="wrn.ALL._1" localSheetId="3" hidden="1">{#N/A,#N/A,FALSE,"Summary EPS";#N/A,#N/A,FALSE,"1st Qtr Electric";#N/A,#N/A,FALSE,"1st Qtr Australia";#N/A,#N/A,FALSE,"1st Qtr Telecom";#N/A,#N/A,FALSE,"1st QTR Other"}</definedName>
    <definedName name="wrn.ALL._1" localSheetId="4" hidden="1">{#N/A,#N/A,FALSE,"Summary EPS";#N/A,#N/A,FALSE,"1st Qtr Electric";#N/A,#N/A,FALSE,"1st Qtr Australia";#N/A,#N/A,FALSE,"1st Qtr Telecom";#N/A,#N/A,FALSE,"1st QTR Other"}</definedName>
    <definedName name="wrn.ALL._1" localSheetId="5" hidden="1">{#N/A,#N/A,FALSE,"Summary EPS";#N/A,#N/A,FALSE,"1st Qtr Electric";#N/A,#N/A,FALSE,"1st Qtr Australia";#N/A,#N/A,FALSE,"1st Qtr Telecom";#N/A,#N/A,FALSE,"1st QTR Other"}</definedName>
    <definedName name="wrn.ALL._1" localSheetId="6" hidden="1">{#N/A,#N/A,FALSE,"Summary EPS";#N/A,#N/A,FALSE,"1st Qtr Electric";#N/A,#N/A,FALSE,"1st Qtr Australia";#N/A,#N/A,FALSE,"1st Qtr Telecom";#N/A,#N/A,FALSE,"1st QTR Other"}</definedName>
    <definedName name="wrn.ALL._1" localSheetId="7" hidden="1">{#N/A,#N/A,FALSE,"Summary EPS";#N/A,#N/A,FALSE,"1st Qtr Electric";#N/A,#N/A,FALSE,"1st Qtr Australia";#N/A,#N/A,FALSE,"1st Qtr Telecom";#N/A,#N/A,FALSE,"1st QTR Other"}</definedName>
    <definedName name="wrn.ALL._1" localSheetId="8" hidden="1">{#N/A,#N/A,FALSE,"Summary EPS";#N/A,#N/A,FALSE,"1st Qtr Electric";#N/A,#N/A,FALSE,"1st Qtr Australia";#N/A,#N/A,FALSE,"1st Qtr Telecom";#N/A,#N/A,FALSE,"1st QTR Other"}</definedName>
    <definedName name="wrn.ALL._1" localSheetId="13" hidden="1">{#N/A,#N/A,FALSE,"Summary EPS";#N/A,#N/A,FALSE,"1st Qtr Electric";#N/A,#N/A,FALSE,"1st Qtr Australia";#N/A,#N/A,FALSE,"1st Qtr Telecom";#N/A,#N/A,FALSE,"1st QTR Other"}</definedName>
    <definedName name="wrn.ALL._1" localSheetId="0" hidden="1">{#N/A,#N/A,FALSE,"Summary EPS";#N/A,#N/A,FALSE,"1st Qtr Electric";#N/A,#N/A,FALSE,"1st Qtr Australia";#N/A,#N/A,FALSE,"1st Qtr Telecom";#N/A,#N/A,FALSE,"1st QTR Other"}</definedName>
    <definedName name="wrn.ALL._1" hidden="1">{#N/A,#N/A,FALSE,"Summary EPS";#N/A,#N/A,FALSE,"1st Qtr Electric";#N/A,#N/A,FALSE,"1st Qtr Australia";#N/A,#N/A,FALSE,"1st Qtr Telecom";#N/A,#N/A,FALSE,"1st QTR Other"}</definedName>
    <definedName name="wrn.ALL._2" localSheetId="1" hidden="1">{#N/A,#N/A,FALSE,"Summary EPS";#N/A,#N/A,FALSE,"1st Qtr Electric";#N/A,#N/A,FALSE,"1st Qtr Australia";#N/A,#N/A,FALSE,"1st Qtr Telecom";#N/A,#N/A,FALSE,"1st QTR Other"}</definedName>
    <definedName name="wrn.ALL._2" localSheetId="3" hidden="1">{#N/A,#N/A,FALSE,"Summary EPS";#N/A,#N/A,FALSE,"1st Qtr Electric";#N/A,#N/A,FALSE,"1st Qtr Australia";#N/A,#N/A,FALSE,"1st Qtr Telecom";#N/A,#N/A,FALSE,"1st QTR Other"}</definedName>
    <definedName name="wrn.ALL._2" localSheetId="4" hidden="1">{#N/A,#N/A,FALSE,"Summary EPS";#N/A,#N/A,FALSE,"1st Qtr Electric";#N/A,#N/A,FALSE,"1st Qtr Australia";#N/A,#N/A,FALSE,"1st Qtr Telecom";#N/A,#N/A,FALSE,"1st QTR Other"}</definedName>
    <definedName name="wrn.ALL._2" localSheetId="5" hidden="1">{#N/A,#N/A,FALSE,"Summary EPS";#N/A,#N/A,FALSE,"1st Qtr Electric";#N/A,#N/A,FALSE,"1st Qtr Australia";#N/A,#N/A,FALSE,"1st Qtr Telecom";#N/A,#N/A,FALSE,"1st QTR Other"}</definedName>
    <definedName name="wrn.ALL._2" localSheetId="6" hidden="1">{#N/A,#N/A,FALSE,"Summary EPS";#N/A,#N/A,FALSE,"1st Qtr Electric";#N/A,#N/A,FALSE,"1st Qtr Australia";#N/A,#N/A,FALSE,"1st Qtr Telecom";#N/A,#N/A,FALSE,"1st QTR Other"}</definedName>
    <definedName name="wrn.ALL._2" localSheetId="7" hidden="1">{#N/A,#N/A,FALSE,"Summary EPS";#N/A,#N/A,FALSE,"1st Qtr Electric";#N/A,#N/A,FALSE,"1st Qtr Australia";#N/A,#N/A,FALSE,"1st Qtr Telecom";#N/A,#N/A,FALSE,"1st QTR Other"}</definedName>
    <definedName name="wrn.ALL._2" localSheetId="8" hidden="1">{#N/A,#N/A,FALSE,"Summary EPS";#N/A,#N/A,FALSE,"1st Qtr Electric";#N/A,#N/A,FALSE,"1st Qtr Australia";#N/A,#N/A,FALSE,"1st Qtr Telecom";#N/A,#N/A,FALSE,"1st QTR Other"}</definedName>
    <definedName name="wrn.ALL._2" localSheetId="13" hidden="1">{#N/A,#N/A,FALSE,"Summary EPS";#N/A,#N/A,FALSE,"1st Qtr Electric";#N/A,#N/A,FALSE,"1st Qtr Australia";#N/A,#N/A,FALSE,"1st Qtr Telecom";#N/A,#N/A,FALSE,"1st QTR Other"}</definedName>
    <definedName name="wrn.ALL._2" localSheetId="0" hidden="1">{#N/A,#N/A,FALSE,"Summary EPS";#N/A,#N/A,FALSE,"1st Qtr Electric";#N/A,#N/A,FALSE,"1st Qtr Australia";#N/A,#N/A,FALSE,"1st Qtr Telecom";#N/A,#N/A,FALSE,"1st QTR Other"}</definedName>
    <definedName name="wrn.ALL._2" hidden="1">{#N/A,#N/A,FALSE,"Summary EPS";#N/A,#N/A,FALSE,"1st Qtr Electric";#N/A,#N/A,FALSE,"1st Qtr Australia";#N/A,#N/A,FALSE,"1st Qtr Telecom";#N/A,#N/A,FALSE,"1st QTR Other"}</definedName>
    <definedName name="wrn.ALL._3" localSheetId="1" hidden="1">{#N/A,#N/A,FALSE,"Summary EPS";#N/A,#N/A,FALSE,"1st Qtr Electric";#N/A,#N/A,FALSE,"1st Qtr Australia";#N/A,#N/A,FALSE,"1st Qtr Telecom";#N/A,#N/A,FALSE,"1st QTR Other"}</definedName>
    <definedName name="wrn.ALL._3" localSheetId="3" hidden="1">{#N/A,#N/A,FALSE,"Summary EPS";#N/A,#N/A,FALSE,"1st Qtr Electric";#N/A,#N/A,FALSE,"1st Qtr Australia";#N/A,#N/A,FALSE,"1st Qtr Telecom";#N/A,#N/A,FALSE,"1st QTR Other"}</definedName>
    <definedName name="wrn.ALL._3" localSheetId="4" hidden="1">{#N/A,#N/A,FALSE,"Summary EPS";#N/A,#N/A,FALSE,"1st Qtr Electric";#N/A,#N/A,FALSE,"1st Qtr Australia";#N/A,#N/A,FALSE,"1st Qtr Telecom";#N/A,#N/A,FALSE,"1st QTR Other"}</definedName>
    <definedName name="wrn.ALL._3" localSheetId="5" hidden="1">{#N/A,#N/A,FALSE,"Summary EPS";#N/A,#N/A,FALSE,"1st Qtr Electric";#N/A,#N/A,FALSE,"1st Qtr Australia";#N/A,#N/A,FALSE,"1st Qtr Telecom";#N/A,#N/A,FALSE,"1st QTR Other"}</definedName>
    <definedName name="wrn.ALL._3" localSheetId="6" hidden="1">{#N/A,#N/A,FALSE,"Summary EPS";#N/A,#N/A,FALSE,"1st Qtr Electric";#N/A,#N/A,FALSE,"1st Qtr Australia";#N/A,#N/A,FALSE,"1st Qtr Telecom";#N/A,#N/A,FALSE,"1st QTR Other"}</definedName>
    <definedName name="wrn.ALL._3" localSheetId="7" hidden="1">{#N/A,#N/A,FALSE,"Summary EPS";#N/A,#N/A,FALSE,"1st Qtr Electric";#N/A,#N/A,FALSE,"1st Qtr Australia";#N/A,#N/A,FALSE,"1st Qtr Telecom";#N/A,#N/A,FALSE,"1st QTR Other"}</definedName>
    <definedName name="wrn.ALL._3" localSheetId="8" hidden="1">{#N/A,#N/A,FALSE,"Summary EPS";#N/A,#N/A,FALSE,"1st Qtr Electric";#N/A,#N/A,FALSE,"1st Qtr Australia";#N/A,#N/A,FALSE,"1st Qtr Telecom";#N/A,#N/A,FALSE,"1st QTR Other"}</definedName>
    <definedName name="wrn.ALL._3" localSheetId="13" hidden="1">{#N/A,#N/A,FALSE,"Summary EPS";#N/A,#N/A,FALSE,"1st Qtr Electric";#N/A,#N/A,FALSE,"1st Qtr Australia";#N/A,#N/A,FALSE,"1st Qtr Telecom";#N/A,#N/A,FALSE,"1st QTR Other"}</definedName>
    <definedName name="wrn.ALL._3" localSheetId="0" hidden="1">{#N/A,#N/A,FALSE,"Summary EPS";#N/A,#N/A,FALSE,"1st Qtr Electric";#N/A,#N/A,FALSE,"1st Qtr Australia";#N/A,#N/A,FALSE,"1st Qtr Telecom";#N/A,#N/A,FALSE,"1st QTR Other"}</definedName>
    <definedName name="wrn.ALL._3" hidden="1">{#N/A,#N/A,FALSE,"Summary EPS";#N/A,#N/A,FALSE,"1st Qtr Electric";#N/A,#N/A,FALSE,"1st Qtr Australia";#N/A,#N/A,FALSE,"1st Qtr Telecom";#N/A,#N/A,FALSE,"1st QTR Other"}</definedName>
    <definedName name="wrn.ALL._4" localSheetId="1" hidden="1">{#N/A,#N/A,FALSE,"Summary EPS";#N/A,#N/A,FALSE,"1st Qtr Electric";#N/A,#N/A,FALSE,"1st Qtr Australia";#N/A,#N/A,FALSE,"1st Qtr Telecom";#N/A,#N/A,FALSE,"1st QTR Other"}</definedName>
    <definedName name="wrn.ALL._4" localSheetId="3" hidden="1">{#N/A,#N/A,FALSE,"Summary EPS";#N/A,#N/A,FALSE,"1st Qtr Electric";#N/A,#N/A,FALSE,"1st Qtr Australia";#N/A,#N/A,FALSE,"1st Qtr Telecom";#N/A,#N/A,FALSE,"1st QTR Other"}</definedName>
    <definedName name="wrn.ALL._4" localSheetId="4" hidden="1">{#N/A,#N/A,FALSE,"Summary EPS";#N/A,#N/A,FALSE,"1st Qtr Electric";#N/A,#N/A,FALSE,"1st Qtr Australia";#N/A,#N/A,FALSE,"1st Qtr Telecom";#N/A,#N/A,FALSE,"1st QTR Other"}</definedName>
    <definedName name="wrn.ALL._4" localSheetId="5" hidden="1">{#N/A,#N/A,FALSE,"Summary EPS";#N/A,#N/A,FALSE,"1st Qtr Electric";#N/A,#N/A,FALSE,"1st Qtr Australia";#N/A,#N/A,FALSE,"1st Qtr Telecom";#N/A,#N/A,FALSE,"1st QTR Other"}</definedName>
    <definedName name="wrn.ALL._4" localSheetId="6" hidden="1">{#N/A,#N/A,FALSE,"Summary EPS";#N/A,#N/A,FALSE,"1st Qtr Electric";#N/A,#N/A,FALSE,"1st Qtr Australia";#N/A,#N/A,FALSE,"1st Qtr Telecom";#N/A,#N/A,FALSE,"1st QTR Other"}</definedName>
    <definedName name="wrn.ALL._4" localSheetId="7" hidden="1">{#N/A,#N/A,FALSE,"Summary EPS";#N/A,#N/A,FALSE,"1st Qtr Electric";#N/A,#N/A,FALSE,"1st Qtr Australia";#N/A,#N/A,FALSE,"1st Qtr Telecom";#N/A,#N/A,FALSE,"1st QTR Other"}</definedName>
    <definedName name="wrn.ALL._4" localSheetId="8" hidden="1">{#N/A,#N/A,FALSE,"Summary EPS";#N/A,#N/A,FALSE,"1st Qtr Electric";#N/A,#N/A,FALSE,"1st Qtr Australia";#N/A,#N/A,FALSE,"1st Qtr Telecom";#N/A,#N/A,FALSE,"1st QTR Other"}</definedName>
    <definedName name="wrn.ALL._4" localSheetId="13" hidden="1">{#N/A,#N/A,FALSE,"Summary EPS";#N/A,#N/A,FALSE,"1st Qtr Electric";#N/A,#N/A,FALSE,"1st Qtr Australia";#N/A,#N/A,FALSE,"1st Qtr Telecom";#N/A,#N/A,FALSE,"1st QTR Other"}</definedName>
    <definedName name="wrn.ALL._4" localSheetId="0" hidden="1">{#N/A,#N/A,FALSE,"Summary EPS";#N/A,#N/A,FALSE,"1st Qtr Electric";#N/A,#N/A,FALSE,"1st Qtr Australia";#N/A,#N/A,FALSE,"1st Qtr Telecom";#N/A,#N/A,FALSE,"1st QTR Other"}</definedName>
    <definedName name="wrn.ALL._4" hidden="1">{#N/A,#N/A,FALSE,"Summary EPS";#N/A,#N/A,FALSE,"1st Qtr Electric";#N/A,#N/A,FALSE,"1st Qtr Australia";#N/A,#N/A,FALSE,"1st Qtr Telecom";#N/A,#N/A,FALSE,"1st QTR Other"}</definedName>
    <definedName name="wrn.ALL._5" localSheetId="1" hidden="1">{#N/A,#N/A,FALSE,"Summary EPS";#N/A,#N/A,FALSE,"1st Qtr Electric";#N/A,#N/A,FALSE,"1st Qtr Australia";#N/A,#N/A,FALSE,"1st Qtr Telecom";#N/A,#N/A,FALSE,"1st QTR Other"}</definedName>
    <definedName name="wrn.ALL._5" localSheetId="3" hidden="1">{#N/A,#N/A,FALSE,"Summary EPS";#N/A,#N/A,FALSE,"1st Qtr Electric";#N/A,#N/A,FALSE,"1st Qtr Australia";#N/A,#N/A,FALSE,"1st Qtr Telecom";#N/A,#N/A,FALSE,"1st QTR Other"}</definedName>
    <definedName name="wrn.ALL._5" localSheetId="4" hidden="1">{#N/A,#N/A,FALSE,"Summary EPS";#N/A,#N/A,FALSE,"1st Qtr Electric";#N/A,#N/A,FALSE,"1st Qtr Australia";#N/A,#N/A,FALSE,"1st Qtr Telecom";#N/A,#N/A,FALSE,"1st QTR Other"}</definedName>
    <definedName name="wrn.ALL._5" localSheetId="5" hidden="1">{#N/A,#N/A,FALSE,"Summary EPS";#N/A,#N/A,FALSE,"1st Qtr Electric";#N/A,#N/A,FALSE,"1st Qtr Australia";#N/A,#N/A,FALSE,"1st Qtr Telecom";#N/A,#N/A,FALSE,"1st QTR Other"}</definedName>
    <definedName name="wrn.ALL._5" localSheetId="6" hidden="1">{#N/A,#N/A,FALSE,"Summary EPS";#N/A,#N/A,FALSE,"1st Qtr Electric";#N/A,#N/A,FALSE,"1st Qtr Australia";#N/A,#N/A,FALSE,"1st Qtr Telecom";#N/A,#N/A,FALSE,"1st QTR Other"}</definedName>
    <definedName name="wrn.ALL._5" localSheetId="7" hidden="1">{#N/A,#N/A,FALSE,"Summary EPS";#N/A,#N/A,FALSE,"1st Qtr Electric";#N/A,#N/A,FALSE,"1st Qtr Australia";#N/A,#N/A,FALSE,"1st Qtr Telecom";#N/A,#N/A,FALSE,"1st QTR Other"}</definedName>
    <definedName name="wrn.ALL._5" localSheetId="8" hidden="1">{#N/A,#N/A,FALSE,"Summary EPS";#N/A,#N/A,FALSE,"1st Qtr Electric";#N/A,#N/A,FALSE,"1st Qtr Australia";#N/A,#N/A,FALSE,"1st Qtr Telecom";#N/A,#N/A,FALSE,"1st QTR Other"}</definedName>
    <definedName name="wrn.ALL._5" localSheetId="13" hidden="1">{#N/A,#N/A,FALSE,"Summary EPS";#N/A,#N/A,FALSE,"1st Qtr Electric";#N/A,#N/A,FALSE,"1st Qtr Australia";#N/A,#N/A,FALSE,"1st Qtr Telecom";#N/A,#N/A,FALSE,"1st QTR Other"}</definedName>
    <definedName name="wrn.ALL._5" localSheetId="0" hidden="1">{#N/A,#N/A,FALSE,"Summary EPS";#N/A,#N/A,FALSE,"1st Qtr Electric";#N/A,#N/A,FALSE,"1st Qtr Australia";#N/A,#N/A,FALSE,"1st Qtr Telecom";#N/A,#N/A,FALSE,"1st QTR Other"}</definedName>
    <definedName name="wrn.ALL._5" hidden="1">{#N/A,#N/A,FALSE,"Summary EPS";#N/A,#N/A,FALSE,"1st Qtr Electric";#N/A,#N/A,FALSE,"1st Qtr Australia";#N/A,#N/A,FALSE,"1st Qtr Telecom";#N/A,#N/A,FALSE,"1st QTR Other"}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Exec._.Summary." localSheetId="1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localSheetId="4" hidden="1">{#N/A,#N/A,FALSE,"Output Ass";#N/A,#N/A,FALSE,"Sum Tot";#N/A,#N/A,FALSE,"Ex Sum Year";#N/A,#N/A,FALSE,"Sum Qtr"}</definedName>
    <definedName name="wrn.Exec._.Summary." localSheetId="5" hidden="1">{#N/A,#N/A,FALSE,"Output Ass";#N/A,#N/A,FALSE,"Sum Tot";#N/A,#N/A,FALSE,"Ex Sum Year";#N/A,#N/A,FALSE,"Sum Qtr"}</definedName>
    <definedName name="wrn.Exec._.Summary." localSheetId="6" hidden="1">{#N/A,#N/A,FALSE,"Output Ass";#N/A,#N/A,FALSE,"Sum Tot";#N/A,#N/A,FALSE,"Ex Sum Year";#N/A,#N/A,FALSE,"Sum Qtr"}</definedName>
    <definedName name="wrn.Exec._.Summary." localSheetId="7" hidden="1">{#N/A,#N/A,FALSE,"Output Ass";#N/A,#N/A,FALSE,"Sum Tot";#N/A,#N/A,FALSE,"Ex Sum Year";#N/A,#N/A,FALSE,"Sum Qtr"}</definedName>
    <definedName name="wrn.Exec._.Summary." localSheetId="8" hidden="1">{#N/A,#N/A,FALSE,"Output Ass";#N/A,#N/A,FALSE,"Sum Tot";#N/A,#N/A,FALSE,"Ex Sum Year";#N/A,#N/A,FALSE,"Sum Qtr"}</definedName>
    <definedName name="wrn.Exec._.Summary." localSheetId="13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_1" localSheetId="1" hidden="1">{#N/A,#N/A,FALSE,"Output Ass";#N/A,#N/A,FALSE,"Sum Tot";#N/A,#N/A,FALSE,"Ex Sum Year";#N/A,#N/A,FALSE,"Sum Qtr"}</definedName>
    <definedName name="wrn.Exec._.Summary._1" localSheetId="3" hidden="1">{#N/A,#N/A,FALSE,"Output Ass";#N/A,#N/A,FALSE,"Sum Tot";#N/A,#N/A,FALSE,"Ex Sum Year";#N/A,#N/A,FALSE,"Sum Qtr"}</definedName>
    <definedName name="wrn.Exec._.Summary._1" localSheetId="4" hidden="1">{#N/A,#N/A,FALSE,"Output Ass";#N/A,#N/A,FALSE,"Sum Tot";#N/A,#N/A,FALSE,"Ex Sum Year";#N/A,#N/A,FALSE,"Sum Qtr"}</definedName>
    <definedName name="wrn.Exec._.Summary._1" localSheetId="5" hidden="1">{#N/A,#N/A,FALSE,"Output Ass";#N/A,#N/A,FALSE,"Sum Tot";#N/A,#N/A,FALSE,"Ex Sum Year";#N/A,#N/A,FALSE,"Sum Qtr"}</definedName>
    <definedName name="wrn.Exec._.Summary._1" localSheetId="6" hidden="1">{#N/A,#N/A,FALSE,"Output Ass";#N/A,#N/A,FALSE,"Sum Tot";#N/A,#N/A,FALSE,"Ex Sum Year";#N/A,#N/A,FALSE,"Sum Qtr"}</definedName>
    <definedName name="wrn.Exec._.Summary._1" localSheetId="7" hidden="1">{#N/A,#N/A,FALSE,"Output Ass";#N/A,#N/A,FALSE,"Sum Tot";#N/A,#N/A,FALSE,"Ex Sum Year";#N/A,#N/A,FALSE,"Sum Qtr"}</definedName>
    <definedName name="wrn.Exec._.Summary._1" localSheetId="8" hidden="1">{#N/A,#N/A,FALSE,"Output Ass";#N/A,#N/A,FALSE,"Sum Tot";#N/A,#N/A,FALSE,"Ex Sum Year";#N/A,#N/A,FALSE,"Sum Qtr"}</definedName>
    <definedName name="wrn.Exec._.Summary._1" localSheetId="13" hidden="1">{#N/A,#N/A,FALSE,"Output Ass";#N/A,#N/A,FALSE,"Sum Tot";#N/A,#N/A,FALSE,"Ex Sum Year";#N/A,#N/A,FALSE,"Sum Qtr"}</definedName>
    <definedName name="wrn.Exec._.Summary._1" localSheetId="0" hidden="1">{#N/A,#N/A,FALSE,"Output Ass";#N/A,#N/A,FALSE,"Sum Tot";#N/A,#N/A,FALSE,"Ex Sum Year";#N/A,#N/A,FALSE,"Sum Qtr"}</definedName>
    <definedName name="wrn.Exec._.Summary._1" hidden="1">{#N/A,#N/A,FALSE,"Output Ass";#N/A,#N/A,FALSE,"Sum Tot";#N/A,#N/A,FALSE,"Ex Sum Year";#N/A,#N/A,FALSE,"Sum Qtr"}</definedName>
    <definedName name="wrn.Exec._.Summary._2" localSheetId="1" hidden="1">{#N/A,#N/A,FALSE,"Output Ass";#N/A,#N/A,FALSE,"Sum Tot";#N/A,#N/A,FALSE,"Ex Sum Year";#N/A,#N/A,FALSE,"Sum Qtr"}</definedName>
    <definedName name="wrn.Exec._.Summary._2" localSheetId="3" hidden="1">{#N/A,#N/A,FALSE,"Output Ass";#N/A,#N/A,FALSE,"Sum Tot";#N/A,#N/A,FALSE,"Ex Sum Year";#N/A,#N/A,FALSE,"Sum Qtr"}</definedName>
    <definedName name="wrn.Exec._.Summary._2" localSheetId="4" hidden="1">{#N/A,#N/A,FALSE,"Output Ass";#N/A,#N/A,FALSE,"Sum Tot";#N/A,#N/A,FALSE,"Ex Sum Year";#N/A,#N/A,FALSE,"Sum Qtr"}</definedName>
    <definedName name="wrn.Exec._.Summary._2" localSheetId="5" hidden="1">{#N/A,#N/A,FALSE,"Output Ass";#N/A,#N/A,FALSE,"Sum Tot";#N/A,#N/A,FALSE,"Ex Sum Year";#N/A,#N/A,FALSE,"Sum Qtr"}</definedName>
    <definedName name="wrn.Exec._.Summary._2" localSheetId="6" hidden="1">{#N/A,#N/A,FALSE,"Output Ass";#N/A,#N/A,FALSE,"Sum Tot";#N/A,#N/A,FALSE,"Ex Sum Year";#N/A,#N/A,FALSE,"Sum Qtr"}</definedName>
    <definedName name="wrn.Exec._.Summary._2" localSheetId="7" hidden="1">{#N/A,#N/A,FALSE,"Output Ass";#N/A,#N/A,FALSE,"Sum Tot";#N/A,#N/A,FALSE,"Ex Sum Year";#N/A,#N/A,FALSE,"Sum Qtr"}</definedName>
    <definedName name="wrn.Exec._.Summary._2" localSheetId="8" hidden="1">{#N/A,#N/A,FALSE,"Output Ass";#N/A,#N/A,FALSE,"Sum Tot";#N/A,#N/A,FALSE,"Ex Sum Year";#N/A,#N/A,FALSE,"Sum Qtr"}</definedName>
    <definedName name="wrn.Exec._.Summary._2" localSheetId="13" hidden="1">{#N/A,#N/A,FALSE,"Output Ass";#N/A,#N/A,FALSE,"Sum Tot";#N/A,#N/A,FALSE,"Ex Sum Year";#N/A,#N/A,FALSE,"Sum Qtr"}</definedName>
    <definedName name="wrn.Exec._.Summary._2" localSheetId="0" hidden="1">{#N/A,#N/A,FALSE,"Output Ass";#N/A,#N/A,FALSE,"Sum Tot";#N/A,#N/A,FALSE,"Ex Sum Year";#N/A,#N/A,FALSE,"Sum Qtr"}</definedName>
    <definedName name="wrn.Exec._.Summary._2" hidden="1">{#N/A,#N/A,FALSE,"Output Ass";#N/A,#N/A,FALSE,"Sum Tot";#N/A,#N/A,FALSE,"Ex Sum Year";#N/A,#N/A,FALSE,"Sum Qtr"}</definedName>
    <definedName name="wrn.Exec._.Summary._3" localSheetId="1" hidden="1">{#N/A,#N/A,FALSE,"Output Ass";#N/A,#N/A,FALSE,"Sum Tot";#N/A,#N/A,FALSE,"Ex Sum Year";#N/A,#N/A,FALSE,"Sum Qtr"}</definedName>
    <definedName name="wrn.Exec._.Summary._3" localSheetId="3" hidden="1">{#N/A,#N/A,FALSE,"Output Ass";#N/A,#N/A,FALSE,"Sum Tot";#N/A,#N/A,FALSE,"Ex Sum Year";#N/A,#N/A,FALSE,"Sum Qtr"}</definedName>
    <definedName name="wrn.Exec._.Summary._3" localSheetId="4" hidden="1">{#N/A,#N/A,FALSE,"Output Ass";#N/A,#N/A,FALSE,"Sum Tot";#N/A,#N/A,FALSE,"Ex Sum Year";#N/A,#N/A,FALSE,"Sum Qtr"}</definedName>
    <definedName name="wrn.Exec._.Summary._3" localSheetId="5" hidden="1">{#N/A,#N/A,FALSE,"Output Ass";#N/A,#N/A,FALSE,"Sum Tot";#N/A,#N/A,FALSE,"Ex Sum Year";#N/A,#N/A,FALSE,"Sum Qtr"}</definedName>
    <definedName name="wrn.Exec._.Summary._3" localSheetId="6" hidden="1">{#N/A,#N/A,FALSE,"Output Ass";#N/A,#N/A,FALSE,"Sum Tot";#N/A,#N/A,FALSE,"Ex Sum Year";#N/A,#N/A,FALSE,"Sum Qtr"}</definedName>
    <definedName name="wrn.Exec._.Summary._3" localSheetId="7" hidden="1">{#N/A,#N/A,FALSE,"Output Ass";#N/A,#N/A,FALSE,"Sum Tot";#N/A,#N/A,FALSE,"Ex Sum Year";#N/A,#N/A,FALSE,"Sum Qtr"}</definedName>
    <definedName name="wrn.Exec._.Summary._3" localSheetId="8" hidden="1">{#N/A,#N/A,FALSE,"Output Ass";#N/A,#N/A,FALSE,"Sum Tot";#N/A,#N/A,FALSE,"Ex Sum Year";#N/A,#N/A,FALSE,"Sum Qtr"}</definedName>
    <definedName name="wrn.Exec._.Summary._3" localSheetId="13" hidden="1">{#N/A,#N/A,FALSE,"Output Ass";#N/A,#N/A,FALSE,"Sum Tot";#N/A,#N/A,FALSE,"Ex Sum Year";#N/A,#N/A,FALSE,"Sum Qtr"}</definedName>
    <definedName name="wrn.Exec._.Summary._3" localSheetId="0" hidden="1">{#N/A,#N/A,FALSE,"Output Ass";#N/A,#N/A,FALSE,"Sum Tot";#N/A,#N/A,FALSE,"Ex Sum Year";#N/A,#N/A,FALSE,"Sum Qtr"}</definedName>
    <definedName name="wrn.Exec._.Summary._3" hidden="1">{#N/A,#N/A,FALSE,"Output Ass";#N/A,#N/A,FALSE,"Sum Tot";#N/A,#N/A,FALSE,"Ex Sum Year";#N/A,#N/A,FALSE,"Sum Qtr"}</definedName>
    <definedName name="wrn.Exec._.Summary._4" localSheetId="1" hidden="1">{#N/A,#N/A,FALSE,"Output Ass";#N/A,#N/A,FALSE,"Sum Tot";#N/A,#N/A,FALSE,"Ex Sum Year";#N/A,#N/A,FALSE,"Sum Qtr"}</definedName>
    <definedName name="wrn.Exec._.Summary._4" localSheetId="3" hidden="1">{#N/A,#N/A,FALSE,"Output Ass";#N/A,#N/A,FALSE,"Sum Tot";#N/A,#N/A,FALSE,"Ex Sum Year";#N/A,#N/A,FALSE,"Sum Qtr"}</definedName>
    <definedName name="wrn.Exec._.Summary._4" localSheetId="4" hidden="1">{#N/A,#N/A,FALSE,"Output Ass";#N/A,#N/A,FALSE,"Sum Tot";#N/A,#N/A,FALSE,"Ex Sum Year";#N/A,#N/A,FALSE,"Sum Qtr"}</definedName>
    <definedName name="wrn.Exec._.Summary._4" localSheetId="5" hidden="1">{#N/A,#N/A,FALSE,"Output Ass";#N/A,#N/A,FALSE,"Sum Tot";#N/A,#N/A,FALSE,"Ex Sum Year";#N/A,#N/A,FALSE,"Sum Qtr"}</definedName>
    <definedName name="wrn.Exec._.Summary._4" localSheetId="6" hidden="1">{#N/A,#N/A,FALSE,"Output Ass";#N/A,#N/A,FALSE,"Sum Tot";#N/A,#N/A,FALSE,"Ex Sum Year";#N/A,#N/A,FALSE,"Sum Qtr"}</definedName>
    <definedName name="wrn.Exec._.Summary._4" localSheetId="7" hidden="1">{#N/A,#N/A,FALSE,"Output Ass";#N/A,#N/A,FALSE,"Sum Tot";#N/A,#N/A,FALSE,"Ex Sum Year";#N/A,#N/A,FALSE,"Sum Qtr"}</definedName>
    <definedName name="wrn.Exec._.Summary._4" localSheetId="8" hidden="1">{#N/A,#N/A,FALSE,"Output Ass";#N/A,#N/A,FALSE,"Sum Tot";#N/A,#N/A,FALSE,"Ex Sum Year";#N/A,#N/A,FALSE,"Sum Qtr"}</definedName>
    <definedName name="wrn.Exec._.Summary._4" localSheetId="13" hidden="1">{#N/A,#N/A,FALSE,"Output Ass";#N/A,#N/A,FALSE,"Sum Tot";#N/A,#N/A,FALSE,"Ex Sum Year";#N/A,#N/A,FALSE,"Sum Qtr"}</definedName>
    <definedName name="wrn.Exec._.Summary._4" localSheetId="0" hidden="1">{#N/A,#N/A,FALSE,"Output Ass";#N/A,#N/A,FALSE,"Sum Tot";#N/A,#N/A,FALSE,"Ex Sum Year";#N/A,#N/A,FALSE,"Sum Qtr"}</definedName>
    <definedName name="wrn.Exec._.Summary._4" hidden="1">{#N/A,#N/A,FALSE,"Output Ass";#N/A,#N/A,FALSE,"Sum Tot";#N/A,#N/A,FALSE,"Ex Sum Year";#N/A,#N/A,FALSE,"Sum Qtr"}</definedName>
    <definedName name="wrn.Exec._.Summary._5" localSheetId="1" hidden="1">{#N/A,#N/A,FALSE,"Output Ass";#N/A,#N/A,FALSE,"Sum Tot";#N/A,#N/A,FALSE,"Ex Sum Year";#N/A,#N/A,FALSE,"Sum Qtr"}</definedName>
    <definedName name="wrn.Exec._.Summary._5" localSheetId="3" hidden="1">{#N/A,#N/A,FALSE,"Output Ass";#N/A,#N/A,FALSE,"Sum Tot";#N/A,#N/A,FALSE,"Ex Sum Year";#N/A,#N/A,FALSE,"Sum Qtr"}</definedName>
    <definedName name="wrn.Exec._.Summary._5" localSheetId="4" hidden="1">{#N/A,#N/A,FALSE,"Output Ass";#N/A,#N/A,FALSE,"Sum Tot";#N/A,#N/A,FALSE,"Ex Sum Year";#N/A,#N/A,FALSE,"Sum Qtr"}</definedName>
    <definedName name="wrn.Exec._.Summary._5" localSheetId="5" hidden="1">{#N/A,#N/A,FALSE,"Output Ass";#N/A,#N/A,FALSE,"Sum Tot";#N/A,#N/A,FALSE,"Ex Sum Year";#N/A,#N/A,FALSE,"Sum Qtr"}</definedName>
    <definedName name="wrn.Exec._.Summary._5" localSheetId="6" hidden="1">{#N/A,#N/A,FALSE,"Output Ass";#N/A,#N/A,FALSE,"Sum Tot";#N/A,#N/A,FALSE,"Ex Sum Year";#N/A,#N/A,FALSE,"Sum Qtr"}</definedName>
    <definedName name="wrn.Exec._.Summary._5" localSheetId="7" hidden="1">{#N/A,#N/A,FALSE,"Output Ass";#N/A,#N/A,FALSE,"Sum Tot";#N/A,#N/A,FALSE,"Ex Sum Year";#N/A,#N/A,FALSE,"Sum Qtr"}</definedName>
    <definedName name="wrn.Exec._.Summary._5" localSheetId="8" hidden="1">{#N/A,#N/A,FALSE,"Output Ass";#N/A,#N/A,FALSE,"Sum Tot";#N/A,#N/A,FALSE,"Ex Sum Year";#N/A,#N/A,FALSE,"Sum Qtr"}</definedName>
    <definedName name="wrn.Exec._.Summary._5" localSheetId="13" hidden="1">{#N/A,#N/A,FALSE,"Output Ass";#N/A,#N/A,FALSE,"Sum Tot";#N/A,#N/A,FALSE,"Ex Sum Year";#N/A,#N/A,FALSE,"Sum Qtr"}</definedName>
    <definedName name="wrn.Exec._.Summary._5" localSheetId="0" hidden="1">{#N/A,#N/A,FALSE,"Output Ass";#N/A,#N/A,FALSE,"Sum Tot";#N/A,#N/A,FALSE,"Ex Sum Year";#N/A,#N/A,FALSE,"Sum Qtr"}</definedName>
    <definedName name="wrn.Exec._.Summary._5" hidden="1">{#N/A,#N/A,FALSE,"Output Ass";#N/A,#N/A,FALSE,"Sum Tot";#N/A,#N/A,FALSE,"Ex Sum Year";#N/A,#N/A,FALSE,"Sum Qtr"}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Reformat._.only." localSheetId="1" hidden="1">{#N/A,#N/A,FALSE,"Dec 1999 mapping"}</definedName>
    <definedName name="wrn.Reformat._.only." localSheetId="3" hidden="1">{#N/A,#N/A,FALSE,"Dec 1999 mapping"}</definedName>
    <definedName name="wrn.Reformat._.only." localSheetId="4" hidden="1">{#N/A,#N/A,FALSE,"Dec 1999 mapping"}</definedName>
    <definedName name="wrn.Reformat._.only." localSheetId="5" hidden="1">{#N/A,#N/A,FALSE,"Dec 1999 mapping"}</definedName>
    <definedName name="wrn.Reformat._.only." localSheetId="6" hidden="1">{#N/A,#N/A,FALSE,"Dec 1999 mapping"}</definedName>
    <definedName name="wrn.Reformat._.only." localSheetId="7" hidden="1">{#N/A,#N/A,FALSE,"Dec 1999 mapping"}</definedName>
    <definedName name="wrn.Reformat._.only." localSheetId="8" hidden="1">{#N/A,#N/A,FALSE,"Dec 1999 mapping"}</definedName>
    <definedName name="wrn.Reformat._.only." localSheetId="13" hidden="1">{#N/A,#N/A,FALSE,"Dec 1999 mapping"}</definedName>
    <definedName name="wrn.Reformat._.only." localSheetId="0" hidden="1">{#N/A,#N/A,FALSE,"Dec 1999 mapping"}</definedName>
    <definedName name="wrn.Reformat._.only." hidden="1">{#N/A,#N/A,FALSE,"Dec 1999 mapping"}</definedName>
    <definedName name="wrn.Reformat._.only._1" localSheetId="1" hidden="1">{#N/A,#N/A,FALSE,"Dec 1999 mapping"}</definedName>
    <definedName name="wrn.Reformat._.only._1" localSheetId="3" hidden="1">{#N/A,#N/A,FALSE,"Dec 1999 mapping"}</definedName>
    <definedName name="wrn.Reformat._.only._1" localSheetId="4" hidden="1">{#N/A,#N/A,FALSE,"Dec 1999 mapping"}</definedName>
    <definedName name="wrn.Reformat._.only._1" localSheetId="5" hidden="1">{#N/A,#N/A,FALSE,"Dec 1999 mapping"}</definedName>
    <definedName name="wrn.Reformat._.only._1" localSheetId="6" hidden="1">{#N/A,#N/A,FALSE,"Dec 1999 mapping"}</definedName>
    <definedName name="wrn.Reformat._.only._1" localSheetId="7" hidden="1">{#N/A,#N/A,FALSE,"Dec 1999 mapping"}</definedName>
    <definedName name="wrn.Reformat._.only._1" localSheetId="8" hidden="1">{#N/A,#N/A,FALSE,"Dec 1999 mapping"}</definedName>
    <definedName name="wrn.Reformat._.only._1" localSheetId="13" hidden="1">{#N/A,#N/A,FALSE,"Dec 1999 mapping"}</definedName>
    <definedName name="wrn.Reformat._.only._1" localSheetId="0" hidden="1">{#N/A,#N/A,FALSE,"Dec 1999 mapping"}</definedName>
    <definedName name="wrn.Reformat._.only._1" hidden="1">{#N/A,#N/A,FALSE,"Dec 1999 mapping"}</definedName>
    <definedName name="wrn.Reformat._.only._2" localSheetId="1" hidden="1">{#N/A,#N/A,FALSE,"Dec 1999 mapping"}</definedName>
    <definedName name="wrn.Reformat._.only._2" localSheetId="3" hidden="1">{#N/A,#N/A,FALSE,"Dec 1999 mapping"}</definedName>
    <definedName name="wrn.Reformat._.only._2" localSheetId="4" hidden="1">{#N/A,#N/A,FALSE,"Dec 1999 mapping"}</definedName>
    <definedName name="wrn.Reformat._.only._2" localSheetId="5" hidden="1">{#N/A,#N/A,FALSE,"Dec 1999 mapping"}</definedName>
    <definedName name="wrn.Reformat._.only._2" localSheetId="6" hidden="1">{#N/A,#N/A,FALSE,"Dec 1999 mapping"}</definedName>
    <definedName name="wrn.Reformat._.only._2" localSheetId="7" hidden="1">{#N/A,#N/A,FALSE,"Dec 1999 mapping"}</definedName>
    <definedName name="wrn.Reformat._.only._2" localSheetId="8" hidden="1">{#N/A,#N/A,FALSE,"Dec 1999 mapping"}</definedName>
    <definedName name="wrn.Reformat._.only._2" localSheetId="13" hidden="1">{#N/A,#N/A,FALSE,"Dec 1999 mapping"}</definedName>
    <definedName name="wrn.Reformat._.only._2" localSheetId="0" hidden="1">{#N/A,#N/A,FALSE,"Dec 1999 mapping"}</definedName>
    <definedName name="wrn.Reformat._.only._2" hidden="1">{#N/A,#N/A,FALSE,"Dec 1999 mapping"}</definedName>
    <definedName name="wrn.Reformat._.only._3" localSheetId="1" hidden="1">{#N/A,#N/A,FALSE,"Dec 1999 mapping"}</definedName>
    <definedName name="wrn.Reformat._.only._3" localSheetId="3" hidden="1">{#N/A,#N/A,FALSE,"Dec 1999 mapping"}</definedName>
    <definedName name="wrn.Reformat._.only._3" localSheetId="4" hidden="1">{#N/A,#N/A,FALSE,"Dec 1999 mapping"}</definedName>
    <definedName name="wrn.Reformat._.only._3" localSheetId="5" hidden="1">{#N/A,#N/A,FALSE,"Dec 1999 mapping"}</definedName>
    <definedName name="wrn.Reformat._.only._3" localSheetId="6" hidden="1">{#N/A,#N/A,FALSE,"Dec 1999 mapping"}</definedName>
    <definedName name="wrn.Reformat._.only._3" localSheetId="7" hidden="1">{#N/A,#N/A,FALSE,"Dec 1999 mapping"}</definedName>
    <definedName name="wrn.Reformat._.only._3" localSheetId="8" hidden="1">{#N/A,#N/A,FALSE,"Dec 1999 mapping"}</definedName>
    <definedName name="wrn.Reformat._.only._3" localSheetId="13" hidden="1">{#N/A,#N/A,FALSE,"Dec 1999 mapping"}</definedName>
    <definedName name="wrn.Reformat._.only._3" localSheetId="0" hidden="1">{#N/A,#N/A,FALSE,"Dec 1999 mapping"}</definedName>
    <definedName name="wrn.Reformat._.only._3" hidden="1">{#N/A,#N/A,FALSE,"Dec 1999 mapping"}</definedName>
    <definedName name="wrn.Reformat._.only._4" localSheetId="1" hidden="1">{#N/A,#N/A,FALSE,"Dec 1999 mapping"}</definedName>
    <definedName name="wrn.Reformat._.only._4" localSheetId="3" hidden="1">{#N/A,#N/A,FALSE,"Dec 1999 mapping"}</definedName>
    <definedName name="wrn.Reformat._.only._4" localSheetId="4" hidden="1">{#N/A,#N/A,FALSE,"Dec 1999 mapping"}</definedName>
    <definedName name="wrn.Reformat._.only._4" localSheetId="5" hidden="1">{#N/A,#N/A,FALSE,"Dec 1999 mapping"}</definedName>
    <definedName name="wrn.Reformat._.only._4" localSheetId="6" hidden="1">{#N/A,#N/A,FALSE,"Dec 1999 mapping"}</definedName>
    <definedName name="wrn.Reformat._.only._4" localSheetId="7" hidden="1">{#N/A,#N/A,FALSE,"Dec 1999 mapping"}</definedName>
    <definedName name="wrn.Reformat._.only._4" localSheetId="8" hidden="1">{#N/A,#N/A,FALSE,"Dec 1999 mapping"}</definedName>
    <definedName name="wrn.Reformat._.only._4" localSheetId="13" hidden="1">{#N/A,#N/A,FALSE,"Dec 1999 mapping"}</definedName>
    <definedName name="wrn.Reformat._.only._4" localSheetId="0" hidden="1">{#N/A,#N/A,FALSE,"Dec 1999 mapping"}</definedName>
    <definedName name="wrn.Reformat._.only._4" hidden="1">{#N/A,#N/A,FALSE,"Dec 1999 mapping"}</definedName>
    <definedName name="wrn.Reformat._.only._5" localSheetId="1" hidden="1">{#N/A,#N/A,FALSE,"Dec 1999 mapping"}</definedName>
    <definedName name="wrn.Reformat._.only._5" localSheetId="3" hidden="1">{#N/A,#N/A,FALSE,"Dec 1999 mapping"}</definedName>
    <definedName name="wrn.Reformat._.only._5" localSheetId="4" hidden="1">{#N/A,#N/A,FALSE,"Dec 1999 mapping"}</definedName>
    <definedName name="wrn.Reformat._.only._5" localSheetId="5" hidden="1">{#N/A,#N/A,FALSE,"Dec 1999 mapping"}</definedName>
    <definedName name="wrn.Reformat._.only._5" localSheetId="6" hidden="1">{#N/A,#N/A,FALSE,"Dec 1999 mapping"}</definedName>
    <definedName name="wrn.Reformat._.only._5" localSheetId="7" hidden="1">{#N/A,#N/A,FALSE,"Dec 1999 mapping"}</definedName>
    <definedName name="wrn.Reformat._.only._5" localSheetId="8" hidden="1">{#N/A,#N/A,FALSE,"Dec 1999 mapping"}</definedName>
    <definedName name="wrn.Reformat._.only._5" localSheetId="13" hidden="1">{#N/A,#N/A,FALSE,"Dec 1999 mapping"}</definedName>
    <definedName name="wrn.Reformat._.only._5" localSheetId="0" hidden="1">{#N/A,#N/A,FALSE,"Dec 1999 mapping"}</definedName>
    <definedName name="wrn.Reformat._.only._5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hidden="1">{"PRINT",#N/A,TRUE,"APPA";"PRINT",#N/A,TRUE,"APS";"PRINT",#N/A,TRUE,"BHPL";"PRINT",#N/A,TRUE,"BHPL2";"PRINT",#N/A,TRUE,"CDWR";"PRINT",#N/A,TRUE,"EWEB";"PRINT",#N/A,TRUE,"LADWP";"PRINT",#N/A,TRUE,"NEVBASE"}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localSheetId="4" hidden="1">{#N/A,#N/A,FALSE,"Sum Qtr";#N/A,#N/A,FALSE,"Oper Sum";#N/A,#N/A,FALSE,"Land Sales";#N/A,#N/A,FALSE,"Finance";#N/A,#N/A,FALSE,"Oper Ass"}</definedName>
    <definedName name="wrn.Summary." localSheetId="5" hidden="1">{#N/A,#N/A,FALSE,"Sum Qtr";#N/A,#N/A,FALSE,"Oper Sum";#N/A,#N/A,FALSE,"Land Sales";#N/A,#N/A,FALSE,"Finance";#N/A,#N/A,FALSE,"Oper Ass"}</definedName>
    <definedName name="wrn.Summary." localSheetId="6" hidden="1">{#N/A,#N/A,FALSE,"Sum Qtr";#N/A,#N/A,FALSE,"Oper Sum";#N/A,#N/A,FALSE,"Land Sales";#N/A,#N/A,FALSE,"Finance";#N/A,#N/A,FALSE,"Oper Ass"}</definedName>
    <definedName name="wrn.Summary." localSheetId="7" hidden="1">{#N/A,#N/A,FALSE,"Sum Qtr";#N/A,#N/A,FALSE,"Oper Sum";#N/A,#N/A,FALSE,"Land Sales";#N/A,#N/A,FALSE,"Finance";#N/A,#N/A,FALSE,"Oper Ass"}</definedName>
    <definedName name="wrn.Summary." localSheetId="8" hidden="1">{#N/A,#N/A,FALSE,"Sum Qtr";#N/A,#N/A,FALSE,"Oper Sum";#N/A,#N/A,FALSE,"Land Sales";#N/A,#N/A,FALSE,"Finance";#N/A,#N/A,FALSE,"Oper Ass"}</definedName>
    <definedName name="wrn.Summary." localSheetId="13" hidden="1">{#N/A,#N/A,FALSE,"Sum Qtr";#N/A,#N/A,FALSE,"Oper Sum";#N/A,#N/A,FALSE,"Land Sales";#N/A,#N/A,FALSE,"Finance";#N/A,#N/A,FALSE,"Oper Ass"}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1" localSheetId="1" hidden="1">{#N/A,#N/A,FALSE,"Sum Qtr";#N/A,#N/A,FALSE,"Oper Sum";#N/A,#N/A,FALSE,"Land Sales";#N/A,#N/A,FALSE,"Finance";#N/A,#N/A,FALSE,"Oper Ass"}</definedName>
    <definedName name="wrn.Summary._1" localSheetId="3" hidden="1">{#N/A,#N/A,FALSE,"Sum Qtr";#N/A,#N/A,FALSE,"Oper Sum";#N/A,#N/A,FALSE,"Land Sales";#N/A,#N/A,FALSE,"Finance";#N/A,#N/A,FALSE,"Oper Ass"}</definedName>
    <definedName name="wrn.Summary._1" localSheetId="4" hidden="1">{#N/A,#N/A,FALSE,"Sum Qtr";#N/A,#N/A,FALSE,"Oper Sum";#N/A,#N/A,FALSE,"Land Sales";#N/A,#N/A,FALSE,"Finance";#N/A,#N/A,FALSE,"Oper Ass"}</definedName>
    <definedName name="wrn.Summary._1" localSheetId="5" hidden="1">{#N/A,#N/A,FALSE,"Sum Qtr";#N/A,#N/A,FALSE,"Oper Sum";#N/A,#N/A,FALSE,"Land Sales";#N/A,#N/A,FALSE,"Finance";#N/A,#N/A,FALSE,"Oper Ass"}</definedName>
    <definedName name="wrn.Summary._1" localSheetId="6" hidden="1">{#N/A,#N/A,FALSE,"Sum Qtr";#N/A,#N/A,FALSE,"Oper Sum";#N/A,#N/A,FALSE,"Land Sales";#N/A,#N/A,FALSE,"Finance";#N/A,#N/A,FALSE,"Oper Ass"}</definedName>
    <definedName name="wrn.Summary._1" localSheetId="7" hidden="1">{#N/A,#N/A,FALSE,"Sum Qtr";#N/A,#N/A,FALSE,"Oper Sum";#N/A,#N/A,FALSE,"Land Sales";#N/A,#N/A,FALSE,"Finance";#N/A,#N/A,FALSE,"Oper Ass"}</definedName>
    <definedName name="wrn.Summary._1" localSheetId="8" hidden="1">{#N/A,#N/A,FALSE,"Sum Qtr";#N/A,#N/A,FALSE,"Oper Sum";#N/A,#N/A,FALSE,"Land Sales";#N/A,#N/A,FALSE,"Finance";#N/A,#N/A,FALSE,"Oper Ass"}</definedName>
    <definedName name="wrn.Summary._1" localSheetId="13" hidden="1">{#N/A,#N/A,FALSE,"Sum Qtr";#N/A,#N/A,FALSE,"Oper Sum";#N/A,#N/A,FALSE,"Land Sales";#N/A,#N/A,FALSE,"Finance";#N/A,#N/A,FALSE,"Oper Ass"}</definedName>
    <definedName name="wrn.Summary._1" localSheetId="0" hidden="1">{#N/A,#N/A,FALSE,"Sum Qtr";#N/A,#N/A,FALSE,"Oper Sum";#N/A,#N/A,FALSE,"Land Sales";#N/A,#N/A,FALSE,"Finance";#N/A,#N/A,FALSE,"Oper Ass"}</definedName>
    <definedName name="wrn.Summary._1" hidden="1">{#N/A,#N/A,FALSE,"Sum Qtr";#N/A,#N/A,FALSE,"Oper Sum";#N/A,#N/A,FALSE,"Land Sales";#N/A,#N/A,FALSE,"Finance";#N/A,#N/A,FALSE,"Oper Ass"}</definedName>
    <definedName name="wrn.Summary._2" localSheetId="1" hidden="1">{#N/A,#N/A,FALSE,"Sum Qtr";#N/A,#N/A,FALSE,"Oper Sum";#N/A,#N/A,FALSE,"Land Sales";#N/A,#N/A,FALSE,"Finance";#N/A,#N/A,FALSE,"Oper Ass"}</definedName>
    <definedName name="wrn.Summary._2" localSheetId="3" hidden="1">{#N/A,#N/A,FALSE,"Sum Qtr";#N/A,#N/A,FALSE,"Oper Sum";#N/A,#N/A,FALSE,"Land Sales";#N/A,#N/A,FALSE,"Finance";#N/A,#N/A,FALSE,"Oper Ass"}</definedName>
    <definedName name="wrn.Summary._2" localSheetId="4" hidden="1">{#N/A,#N/A,FALSE,"Sum Qtr";#N/A,#N/A,FALSE,"Oper Sum";#N/A,#N/A,FALSE,"Land Sales";#N/A,#N/A,FALSE,"Finance";#N/A,#N/A,FALSE,"Oper Ass"}</definedName>
    <definedName name="wrn.Summary._2" localSheetId="5" hidden="1">{#N/A,#N/A,FALSE,"Sum Qtr";#N/A,#N/A,FALSE,"Oper Sum";#N/A,#N/A,FALSE,"Land Sales";#N/A,#N/A,FALSE,"Finance";#N/A,#N/A,FALSE,"Oper Ass"}</definedName>
    <definedName name="wrn.Summary._2" localSheetId="6" hidden="1">{#N/A,#N/A,FALSE,"Sum Qtr";#N/A,#N/A,FALSE,"Oper Sum";#N/A,#N/A,FALSE,"Land Sales";#N/A,#N/A,FALSE,"Finance";#N/A,#N/A,FALSE,"Oper Ass"}</definedName>
    <definedName name="wrn.Summary._2" localSheetId="7" hidden="1">{#N/A,#N/A,FALSE,"Sum Qtr";#N/A,#N/A,FALSE,"Oper Sum";#N/A,#N/A,FALSE,"Land Sales";#N/A,#N/A,FALSE,"Finance";#N/A,#N/A,FALSE,"Oper Ass"}</definedName>
    <definedName name="wrn.Summary._2" localSheetId="8" hidden="1">{#N/A,#N/A,FALSE,"Sum Qtr";#N/A,#N/A,FALSE,"Oper Sum";#N/A,#N/A,FALSE,"Land Sales";#N/A,#N/A,FALSE,"Finance";#N/A,#N/A,FALSE,"Oper Ass"}</definedName>
    <definedName name="wrn.Summary._2" localSheetId="13" hidden="1">{#N/A,#N/A,FALSE,"Sum Qtr";#N/A,#N/A,FALSE,"Oper Sum";#N/A,#N/A,FALSE,"Land Sales";#N/A,#N/A,FALSE,"Finance";#N/A,#N/A,FALSE,"Oper Ass"}</definedName>
    <definedName name="wrn.Summary._2" localSheetId="0" hidden="1">{#N/A,#N/A,FALSE,"Sum Qtr";#N/A,#N/A,FALSE,"Oper Sum";#N/A,#N/A,FALSE,"Land Sales";#N/A,#N/A,FALSE,"Finance";#N/A,#N/A,FALSE,"Oper Ass"}</definedName>
    <definedName name="wrn.Summary._2" hidden="1">{#N/A,#N/A,FALSE,"Sum Qtr";#N/A,#N/A,FALSE,"Oper Sum";#N/A,#N/A,FALSE,"Land Sales";#N/A,#N/A,FALSE,"Finance";#N/A,#N/A,FALSE,"Oper Ass"}</definedName>
    <definedName name="wrn.Summary._3" localSheetId="1" hidden="1">{#N/A,#N/A,FALSE,"Sum Qtr";#N/A,#N/A,FALSE,"Oper Sum";#N/A,#N/A,FALSE,"Land Sales";#N/A,#N/A,FALSE,"Finance";#N/A,#N/A,FALSE,"Oper Ass"}</definedName>
    <definedName name="wrn.Summary._3" localSheetId="3" hidden="1">{#N/A,#N/A,FALSE,"Sum Qtr";#N/A,#N/A,FALSE,"Oper Sum";#N/A,#N/A,FALSE,"Land Sales";#N/A,#N/A,FALSE,"Finance";#N/A,#N/A,FALSE,"Oper Ass"}</definedName>
    <definedName name="wrn.Summary._3" localSheetId="4" hidden="1">{#N/A,#N/A,FALSE,"Sum Qtr";#N/A,#N/A,FALSE,"Oper Sum";#N/A,#N/A,FALSE,"Land Sales";#N/A,#N/A,FALSE,"Finance";#N/A,#N/A,FALSE,"Oper Ass"}</definedName>
    <definedName name="wrn.Summary._3" localSheetId="5" hidden="1">{#N/A,#N/A,FALSE,"Sum Qtr";#N/A,#N/A,FALSE,"Oper Sum";#N/A,#N/A,FALSE,"Land Sales";#N/A,#N/A,FALSE,"Finance";#N/A,#N/A,FALSE,"Oper Ass"}</definedName>
    <definedName name="wrn.Summary._3" localSheetId="6" hidden="1">{#N/A,#N/A,FALSE,"Sum Qtr";#N/A,#N/A,FALSE,"Oper Sum";#N/A,#N/A,FALSE,"Land Sales";#N/A,#N/A,FALSE,"Finance";#N/A,#N/A,FALSE,"Oper Ass"}</definedName>
    <definedName name="wrn.Summary._3" localSheetId="7" hidden="1">{#N/A,#N/A,FALSE,"Sum Qtr";#N/A,#N/A,FALSE,"Oper Sum";#N/A,#N/A,FALSE,"Land Sales";#N/A,#N/A,FALSE,"Finance";#N/A,#N/A,FALSE,"Oper Ass"}</definedName>
    <definedName name="wrn.Summary._3" localSheetId="8" hidden="1">{#N/A,#N/A,FALSE,"Sum Qtr";#N/A,#N/A,FALSE,"Oper Sum";#N/A,#N/A,FALSE,"Land Sales";#N/A,#N/A,FALSE,"Finance";#N/A,#N/A,FALSE,"Oper Ass"}</definedName>
    <definedName name="wrn.Summary._3" localSheetId="13" hidden="1">{#N/A,#N/A,FALSE,"Sum Qtr";#N/A,#N/A,FALSE,"Oper Sum";#N/A,#N/A,FALSE,"Land Sales";#N/A,#N/A,FALSE,"Finance";#N/A,#N/A,FALSE,"Oper Ass"}</definedName>
    <definedName name="wrn.Summary._3" localSheetId="0" hidden="1">{#N/A,#N/A,FALSE,"Sum Qtr";#N/A,#N/A,FALSE,"Oper Sum";#N/A,#N/A,FALSE,"Land Sales";#N/A,#N/A,FALSE,"Finance";#N/A,#N/A,FALSE,"Oper Ass"}</definedName>
    <definedName name="wrn.Summary._3" hidden="1">{#N/A,#N/A,FALSE,"Sum Qtr";#N/A,#N/A,FALSE,"Oper Sum";#N/A,#N/A,FALSE,"Land Sales";#N/A,#N/A,FALSE,"Finance";#N/A,#N/A,FALSE,"Oper Ass"}</definedName>
    <definedName name="wrn.Summary._4" localSheetId="1" hidden="1">{#N/A,#N/A,FALSE,"Sum Qtr";#N/A,#N/A,FALSE,"Oper Sum";#N/A,#N/A,FALSE,"Land Sales";#N/A,#N/A,FALSE,"Finance";#N/A,#N/A,FALSE,"Oper Ass"}</definedName>
    <definedName name="wrn.Summary._4" localSheetId="3" hidden="1">{#N/A,#N/A,FALSE,"Sum Qtr";#N/A,#N/A,FALSE,"Oper Sum";#N/A,#N/A,FALSE,"Land Sales";#N/A,#N/A,FALSE,"Finance";#N/A,#N/A,FALSE,"Oper Ass"}</definedName>
    <definedName name="wrn.Summary._4" localSheetId="4" hidden="1">{#N/A,#N/A,FALSE,"Sum Qtr";#N/A,#N/A,FALSE,"Oper Sum";#N/A,#N/A,FALSE,"Land Sales";#N/A,#N/A,FALSE,"Finance";#N/A,#N/A,FALSE,"Oper Ass"}</definedName>
    <definedName name="wrn.Summary._4" localSheetId="5" hidden="1">{#N/A,#N/A,FALSE,"Sum Qtr";#N/A,#N/A,FALSE,"Oper Sum";#N/A,#N/A,FALSE,"Land Sales";#N/A,#N/A,FALSE,"Finance";#N/A,#N/A,FALSE,"Oper Ass"}</definedName>
    <definedName name="wrn.Summary._4" localSheetId="6" hidden="1">{#N/A,#N/A,FALSE,"Sum Qtr";#N/A,#N/A,FALSE,"Oper Sum";#N/A,#N/A,FALSE,"Land Sales";#N/A,#N/A,FALSE,"Finance";#N/A,#N/A,FALSE,"Oper Ass"}</definedName>
    <definedName name="wrn.Summary._4" localSheetId="7" hidden="1">{#N/A,#N/A,FALSE,"Sum Qtr";#N/A,#N/A,FALSE,"Oper Sum";#N/A,#N/A,FALSE,"Land Sales";#N/A,#N/A,FALSE,"Finance";#N/A,#N/A,FALSE,"Oper Ass"}</definedName>
    <definedName name="wrn.Summary._4" localSheetId="8" hidden="1">{#N/A,#N/A,FALSE,"Sum Qtr";#N/A,#N/A,FALSE,"Oper Sum";#N/A,#N/A,FALSE,"Land Sales";#N/A,#N/A,FALSE,"Finance";#N/A,#N/A,FALSE,"Oper Ass"}</definedName>
    <definedName name="wrn.Summary._4" localSheetId="13" hidden="1">{#N/A,#N/A,FALSE,"Sum Qtr";#N/A,#N/A,FALSE,"Oper Sum";#N/A,#N/A,FALSE,"Land Sales";#N/A,#N/A,FALSE,"Finance";#N/A,#N/A,FALSE,"Oper Ass"}</definedName>
    <definedName name="wrn.Summary._4" localSheetId="0" hidden="1">{#N/A,#N/A,FALSE,"Sum Qtr";#N/A,#N/A,FALSE,"Oper Sum";#N/A,#N/A,FALSE,"Land Sales";#N/A,#N/A,FALSE,"Finance";#N/A,#N/A,FALSE,"Oper Ass"}</definedName>
    <definedName name="wrn.Summary._4" hidden="1">{#N/A,#N/A,FALSE,"Sum Qtr";#N/A,#N/A,FALSE,"Oper Sum";#N/A,#N/A,FALSE,"Land Sales";#N/A,#N/A,FALSE,"Finance";#N/A,#N/A,FALSE,"Oper Ass"}</definedName>
    <definedName name="wrn.Summary._5" localSheetId="1" hidden="1">{#N/A,#N/A,FALSE,"Sum Qtr";#N/A,#N/A,FALSE,"Oper Sum";#N/A,#N/A,FALSE,"Land Sales";#N/A,#N/A,FALSE,"Finance";#N/A,#N/A,FALSE,"Oper Ass"}</definedName>
    <definedName name="wrn.Summary._5" localSheetId="3" hidden="1">{#N/A,#N/A,FALSE,"Sum Qtr";#N/A,#N/A,FALSE,"Oper Sum";#N/A,#N/A,FALSE,"Land Sales";#N/A,#N/A,FALSE,"Finance";#N/A,#N/A,FALSE,"Oper Ass"}</definedName>
    <definedName name="wrn.Summary._5" localSheetId="4" hidden="1">{#N/A,#N/A,FALSE,"Sum Qtr";#N/A,#N/A,FALSE,"Oper Sum";#N/A,#N/A,FALSE,"Land Sales";#N/A,#N/A,FALSE,"Finance";#N/A,#N/A,FALSE,"Oper Ass"}</definedName>
    <definedName name="wrn.Summary._5" localSheetId="5" hidden="1">{#N/A,#N/A,FALSE,"Sum Qtr";#N/A,#N/A,FALSE,"Oper Sum";#N/A,#N/A,FALSE,"Land Sales";#N/A,#N/A,FALSE,"Finance";#N/A,#N/A,FALSE,"Oper Ass"}</definedName>
    <definedName name="wrn.Summary._5" localSheetId="6" hidden="1">{#N/A,#N/A,FALSE,"Sum Qtr";#N/A,#N/A,FALSE,"Oper Sum";#N/A,#N/A,FALSE,"Land Sales";#N/A,#N/A,FALSE,"Finance";#N/A,#N/A,FALSE,"Oper Ass"}</definedName>
    <definedName name="wrn.Summary._5" localSheetId="7" hidden="1">{#N/A,#N/A,FALSE,"Sum Qtr";#N/A,#N/A,FALSE,"Oper Sum";#N/A,#N/A,FALSE,"Land Sales";#N/A,#N/A,FALSE,"Finance";#N/A,#N/A,FALSE,"Oper Ass"}</definedName>
    <definedName name="wrn.Summary._5" localSheetId="8" hidden="1">{#N/A,#N/A,FALSE,"Sum Qtr";#N/A,#N/A,FALSE,"Oper Sum";#N/A,#N/A,FALSE,"Land Sales";#N/A,#N/A,FALSE,"Finance";#N/A,#N/A,FALSE,"Oper Ass"}</definedName>
    <definedName name="wrn.Summary._5" localSheetId="13" hidden="1">{#N/A,#N/A,FALSE,"Sum Qtr";#N/A,#N/A,FALSE,"Oper Sum";#N/A,#N/A,FALSE,"Land Sales";#N/A,#N/A,FALSE,"Finance";#N/A,#N/A,FALSE,"Oper Ass"}</definedName>
    <definedName name="wrn.Summary._5" localSheetId="0" hidden="1">{#N/A,#N/A,FALSE,"Sum Qtr";#N/A,#N/A,FALSE,"Oper Sum";#N/A,#N/A,FALSE,"Land Sales";#N/A,#N/A,FALSE,"Finance";#N/A,#N/A,FALSE,"Oper Ass"}</definedName>
    <definedName name="wrn.Summary._5" hidden="1">{#N/A,#N/A,FALSE,"Sum Qtr";#N/A,#N/A,FALSE,"Oper Sum";#N/A,#N/A,FALSE,"Land Sales";#N/A,#N/A,FALSE,"Finance";#N/A,#N/A,FALSE,"Oper Ass"}</definedName>
  </definedNames>
  <calcPr calcId="152511"/>
</workbook>
</file>

<file path=xl/calcChain.xml><?xml version="1.0" encoding="utf-8"?>
<calcChain xmlns="http://schemas.openxmlformats.org/spreadsheetml/2006/main">
  <c r="J13" i="23" l="1"/>
  <c r="H21" i="23" l="1"/>
  <c r="J21" i="23" s="1"/>
  <c r="E25" i="23" l="1"/>
  <c r="S20" i="23" l="1"/>
  <c r="U20" i="23" s="1"/>
  <c r="P35" i="23"/>
  <c r="P24" i="23"/>
  <c r="E32" i="23"/>
  <c r="H19" i="23" l="1"/>
  <c r="J19" i="23" s="1"/>
  <c r="E41" i="23" l="1"/>
  <c r="E43" i="23" s="1"/>
  <c r="H36" i="23" l="1"/>
  <c r="H39" i="23"/>
  <c r="H38" i="23"/>
  <c r="H37" i="23"/>
  <c r="B36" i="4" l="1"/>
  <c r="O66" i="19" l="1"/>
  <c r="Q66" i="19"/>
  <c r="S66" i="19"/>
  <c r="G53" i="19"/>
  <c r="AD53" i="19"/>
  <c r="G54" i="19"/>
  <c r="AD54" i="19"/>
  <c r="G55" i="19"/>
  <c r="AD55" i="19" s="1"/>
  <c r="G56" i="19"/>
  <c r="AD56" i="19"/>
  <c r="G57" i="19"/>
  <c r="AD57" i="19"/>
  <c r="G58" i="19"/>
  <c r="AD58" i="19" s="1"/>
  <c r="G59" i="19"/>
  <c r="AD59" i="19"/>
  <c r="G60" i="19"/>
  <c r="AD60" i="19" s="1"/>
  <c r="G61" i="19"/>
  <c r="AD61" i="19"/>
  <c r="G62" i="19"/>
  <c r="AD62" i="19" s="1"/>
  <c r="P44" i="23" l="1"/>
  <c r="J39" i="23"/>
  <c r="J38" i="23"/>
  <c r="J37" i="23"/>
  <c r="J36" i="23"/>
  <c r="A5" i="23"/>
  <c r="A3" i="23"/>
  <c r="A2" i="23"/>
  <c r="A1" i="23"/>
  <c r="J41" i="23" l="1"/>
  <c r="D10" i="22" l="1"/>
  <c r="F10" i="22"/>
  <c r="H10" i="22"/>
  <c r="J10" i="22"/>
  <c r="D15" i="22"/>
  <c r="F15" i="22"/>
  <c r="H15" i="22"/>
  <c r="J15" i="22"/>
  <c r="S12" i="18" l="1"/>
  <c r="A2" i="19" l="1"/>
  <c r="A2" i="6"/>
  <c r="G18" i="4" l="1"/>
  <c r="F18" i="4"/>
  <c r="D18" i="4"/>
  <c r="E18" i="4"/>
  <c r="M28" i="21"/>
  <c r="K28" i="21"/>
  <c r="W26" i="21"/>
  <c r="U26" i="21"/>
  <c r="S26" i="21"/>
  <c r="Q26" i="21"/>
  <c r="O26" i="21"/>
  <c r="M26" i="21"/>
  <c r="K26" i="21"/>
  <c r="AF16" i="21"/>
  <c r="BD15" i="21"/>
  <c r="BD14" i="21"/>
  <c r="A3" i="21"/>
  <c r="A2" i="21"/>
  <c r="A1" i="21"/>
  <c r="M15" i="5"/>
  <c r="C28" i="21" l="1"/>
  <c r="C29" i="21" s="1"/>
  <c r="Q12" i="18"/>
  <c r="O12" i="18"/>
  <c r="E28" i="21" l="1"/>
  <c r="BB28" i="21" s="1"/>
  <c r="AB28" i="21"/>
  <c r="AZ28" i="21"/>
  <c r="AZ29" i="21" s="1"/>
  <c r="AZ30" i="21" s="1"/>
  <c r="AZ31" i="21" s="1"/>
  <c r="AZ32" i="21" s="1"/>
  <c r="AZ33" i="21" s="1"/>
  <c r="AZ34" i="21" s="1"/>
  <c r="AZ35" i="21" s="1"/>
  <c r="AZ36" i="21" s="1"/>
  <c r="AZ37" i="21" s="1"/>
  <c r="AZ38" i="21" s="1"/>
  <c r="AZ39" i="21" s="1"/>
  <c r="AZ40" i="21" s="1"/>
  <c r="AZ41" i="21" s="1"/>
  <c r="AZ42" i="21" s="1"/>
  <c r="C30" i="21"/>
  <c r="E29" i="21"/>
  <c r="AB29" i="21"/>
  <c r="C31" i="21" l="1"/>
  <c r="E30" i="21"/>
  <c r="AB30" i="21"/>
  <c r="M29" i="21"/>
  <c r="K29" i="21"/>
  <c r="BB29" i="21"/>
  <c r="K30" i="21" l="1"/>
  <c r="M30" i="21"/>
  <c r="BB30" i="21"/>
  <c r="AB31" i="21"/>
  <c r="E31" i="21"/>
  <c r="C32" i="21"/>
  <c r="M31" i="21" l="1"/>
  <c r="C33" i="21"/>
  <c r="E32" i="21"/>
  <c r="BB31" i="21"/>
  <c r="AB32" i="21"/>
  <c r="K31" i="21"/>
  <c r="M32" i="21" l="1"/>
  <c r="K32" i="21"/>
  <c r="BB32" i="21"/>
  <c r="AB33" i="21"/>
  <c r="E33" i="21"/>
  <c r="C34" i="21"/>
  <c r="O47" i="21" l="1"/>
  <c r="C47" i="21"/>
  <c r="Q47" i="21"/>
  <c r="S47" i="21"/>
  <c r="Q14" i="18" s="1"/>
  <c r="AO47" i="21"/>
  <c r="M33" i="21"/>
  <c r="K33" i="21"/>
  <c r="AB34" i="21"/>
  <c r="BB33" i="21"/>
  <c r="C35" i="21"/>
  <c r="E34" i="21"/>
  <c r="M34" i="21" l="1"/>
  <c r="C36" i="21"/>
  <c r="E35" i="21"/>
  <c r="M35" i="21" s="1"/>
  <c r="K34" i="21"/>
  <c r="BB34" i="21"/>
  <c r="AB35" i="21"/>
  <c r="K35" i="21" l="1"/>
  <c r="C37" i="21"/>
  <c r="E36" i="21"/>
  <c r="AB36" i="21"/>
  <c r="BB35" i="21"/>
  <c r="K36" i="21" l="1"/>
  <c r="G41" i="21"/>
  <c r="AD41" i="21" s="1"/>
  <c r="G33" i="21"/>
  <c r="AD33" i="21" s="1"/>
  <c r="AD28" i="21"/>
  <c r="G38" i="21"/>
  <c r="AD38" i="21" s="1"/>
  <c r="G32" i="21"/>
  <c r="AD32" i="21" s="1"/>
  <c r="G36" i="21"/>
  <c r="AD36" i="21" s="1"/>
  <c r="G30" i="21"/>
  <c r="AD30" i="21" s="1"/>
  <c r="G29" i="21"/>
  <c r="AD29" i="21" s="1"/>
  <c r="G31" i="21"/>
  <c r="AD31" i="21" s="1"/>
  <c r="G42" i="21"/>
  <c r="AD42" i="21" s="1"/>
  <c r="G34" i="21"/>
  <c r="AD34" i="21" s="1"/>
  <c r="G39" i="21"/>
  <c r="AD39" i="21" s="1"/>
  <c r="G37" i="21"/>
  <c r="AD37" i="21" s="1"/>
  <c r="G35" i="21"/>
  <c r="AD35" i="21" s="1"/>
  <c r="G40" i="21"/>
  <c r="AD40" i="21" s="1"/>
  <c r="G15" i="21"/>
  <c r="BB36" i="21"/>
  <c r="AB37" i="21"/>
  <c r="M36" i="21"/>
  <c r="E37" i="21"/>
  <c r="C38" i="21"/>
  <c r="I28" i="21" l="1"/>
  <c r="I29" i="21" s="1"/>
  <c r="I30" i="21" s="1"/>
  <c r="I31" i="21" s="1"/>
  <c r="I32" i="21" s="1"/>
  <c r="I33" i="21" s="1"/>
  <c r="I34" i="21" s="1"/>
  <c r="I35" i="21" s="1"/>
  <c r="I36" i="21" s="1"/>
  <c r="I37" i="21" s="1"/>
  <c r="H18" i="4"/>
  <c r="AD47" i="21"/>
  <c r="G47" i="21"/>
  <c r="BB37" i="21"/>
  <c r="M37" i="21"/>
  <c r="AB38" i="21"/>
  <c r="K37" i="21"/>
  <c r="C39" i="21"/>
  <c r="E38" i="21"/>
  <c r="M38" i="21" l="1"/>
  <c r="C40" i="21"/>
  <c r="E39" i="21"/>
  <c r="K38" i="21"/>
  <c r="AB39" i="21"/>
  <c r="BB38" i="21"/>
  <c r="I38" i="21"/>
  <c r="K39" i="21" l="1"/>
  <c r="BB39" i="21"/>
  <c r="I39" i="21"/>
  <c r="C41" i="21"/>
  <c r="E40" i="21"/>
  <c r="AB40" i="21"/>
  <c r="M39" i="21"/>
  <c r="K40" i="21" l="1"/>
  <c r="C42" i="21"/>
  <c r="E42" i="21" s="1"/>
  <c r="E41" i="21"/>
  <c r="BB40" i="21"/>
  <c r="M40" i="21"/>
  <c r="AB41" i="21"/>
  <c r="I40" i="21"/>
  <c r="K41" i="21" l="1"/>
  <c r="K42" i="21" s="1"/>
  <c r="K47" i="21" s="1"/>
  <c r="AB42" i="21"/>
  <c r="BB41" i="21"/>
  <c r="I41" i="21"/>
  <c r="I42" i="21" s="1"/>
  <c r="I47" i="21" s="1"/>
  <c r="M41" i="21"/>
  <c r="M42" i="21" s="1"/>
  <c r="M47" i="21" s="1"/>
  <c r="BB42" i="21" l="1"/>
  <c r="BB47" i="21" l="1"/>
  <c r="G15" i="20" l="1"/>
  <c r="M28" i="20"/>
  <c r="K28" i="20"/>
  <c r="G29" i="20"/>
  <c r="AD29" i="20" s="1"/>
  <c r="E28" i="20"/>
  <c r="E29" i="20" s="1"/>
  <c r="W26" i="20"/>
  <c r="U26" i="20"/>
  <c r="S26" i="20"/>
  <c r="Q26" i="20"/>
  <c r="O26" i="20"/>
  <c r="M26" i="20"/>
  <c r="K26" i="20"/>
  <c r="AF16" i="20"/>
  <c r="BD15" i="20"/>
  <c r="BD14" i="20"/>
  <c r="BB31" i="20" s="1"/>
  <c r="C28" i="20"/>
  <c r="AZ28" i="20" s="1"/>
  <c r="A3" i="20"/>
  <c r="A2" i="20"/>
  <c r="A1" i="20"/>
  <c r="BD15" i="14"/>
  <c r="BD14" i="14"/>
  <c r="N45" i="4"/>
  <c r="BB16" i="14" s="1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O187" i="5"/>
  <c r="AO188" i="5"/>
  <c r="AO189" i="5"/>
  <c r="AO190" i="5"/>
  <c r="AO191" i="5"/>
  <c r="AO192" i="5"/>
  <c r="AO193" i="5"/>
  <c r="AO194" i="5"/>
  <c r="AO195" i="5"/>
  <c r="AO196" i="5"/>
  <c r="AO197" i="5"/>
  <c r="AO198" i="5"/>
  <c r="AO199" i="5"/>
  <c r="AO200" i="5"/>
  <c r="AO201" i="5"/>
  <c r="AO202" i="5"/>
  <c r="AO203" i="5"/>
  <c r="AO204" i="5"/>
  <c r="AO205" i="5"/>
  <c r="AO206" i="5"/>
  <c r="AO207" i="5"/>
  <c r="AO208" i="5"/>
  <c r="AO209" i="5"/>
  <c r="AO210" i="5"/>
  <c r="AO211" i="5"/>
  <c r="AO212" i="5"/>
  <c r="AO213" i="5"/>
  <c r="AO214" i="5"/>
  <c r="AO215" i="5"/>
  <c r="AO216" i="5"/>
  <c r="AO217" i="5"/>
  <c r="AO218" i="5"/>
  <c r="AO219" i="5"/>
  <c r="AO220" i="5"/>
  <c r="AO221" i="5"/>
  <c r="AO222" i="5"/>
  <c r="AO223" i="5"/>
  <c r="AO224" i="5"/>
  <c r="AO225" i="5"/>
  <c r="AO226" i="5"/>
  <c r="AO227" i="5"/>
  <c r="AO228" i="5"/>
  <c r="AO229" i="5"/>
  <c r="AO230" i="5"/>
  <c r="AO231" i="5"/>
  <c r="AO232" i="5"/>
  <c r="AO233" i="5"/>
  <c r="AO234" i="5"/>
  <c r="AO235" i="5"/>
  <c r="AO236" i="5"/>
  <c r="AO237" i="5"/>
  <c r="AO238" i="5"/>
  <c r="AO239" i="5"/>
  <c r="AO240" i="5"/>
  <c r="AO241" i="5"/>
  <c r="AO242" i="5"/>
  <c r="AO243" i="5"/>
  <c r="AO244" i="5"/>
  <c r="AO245" i="5"/>
  <c r="AO246" i="5"/>
  <c r="AO247" i="5"/>
  <c r="AO248" i="5"/>
  <c r="AO249" i="5"/>
  <c r="AO250" i="5"/>
  <c r="AO251" i="5"/>
  <c r="AO252" i="5"/>
  <c r="AO253" i="5"/>
  <c r="AO254" i="5"/>
  <c r="AO255" i="5"/>
  <c r="AO256" i="5"/>
  <c r="AO257" i="5"/>
  <c r="AO258" i="5"/>
  <c r="AO259" i="5"/>
  <c r="AO260" i="5"/>
  <c r="AO261" i="5"/>
  <c r="AO262" i="5"/>
  <c r="AO263" i="5"/>
  <c r="AO264" i="5"/>
  <c r="AO265" i="5"/>
  <c r="AO266" i="5"/>
  <c r="AO267" i="5"/>
  <c r="AO268" i="5"/>
  <c r="AO269" i="5"/>
  <c r="AO270" i="5"/>
  <c r="AO271" i="5"/>
  <c r="AO272" i="5"/>
  <c r="AO273" i="5"/>
  <c r="AO274" i="5"/>
  <c r="AO275" i="5"/>
  <c r="AO276" i="5"/>
  <c r="AO277" i="5"/>
  <c r="AO278" i="5"/>
  <c r="AO279" i="5"/>
  <c r="AO280" i="5"/>
  <c r="AO281" i="5"/>
  <c r="AO282" i="5"/>
  <c r="AO283" i="5"/>
  <c r="AO284" i="5"/>
  <c r="AO285" i="5"/>
  <c r="AO286" i="5"/>
  <c r="AO287" i="5"/>
  <c r="AO288" i="5"/>
  <c r="AO289" i="5"/>
  <c r="AO290" i="5"/>
  <c r="AO291" i="5"/>
  <c r="AO292" i="5"/>
  <c r="AO293" i="5"/>
  <c r="AO294" i="5"/>
  <c r="AO295" i="5"/>
  <c r="AO296" i="5"/>
  <c r="AO297" i="5"/>
  <c r="AO298" i="5"/>
  <c r="AO299" i="5"/>
  <c r="AO300" i="5"/>
  <c r="AO301" i="5"/>
  <c r="AO302" i="5"/>
  <c r="AO303" i="5"/>
  <c r="AO304" i="5"/>
  <c r="AO305" i="5"/>
  <c r="AO306" i="5"/>
  <c r="AO307" i="5"/>
  <c r="AO308" i="5"/>
  <c r="AO309" i="5"/>
  <c r="AO310" i="5"/>
  <c r="AO311" i="5"/>
  <c r="AO312" i="5"/>
  <c r="AO313" i="5"/>
  <c r="AO314" i="5"/>
  <c r="AO315" i="5"/>
  <c r="AO316" i="5"/>
  <c r="AO317" i="5"/>
  <c r="AO318" i="5"/>
  <c r="AO319" i="5"/>
  <c r="AO320" i="5"/>
  <c r="AO321" i="5"/>
  <c r="AO322" i="5"/>
  <c r="AO323" i="5"/>
  <c r="AO324" i="5"/>
  <c r="AO325" i="5"/>
  <c r="AO326" i="5"/>
  <c r="AO327" i="5"/>
  <c r="AO328" i="5"/>
  <c r="AO329" i="5"/>
  <c r="AO330" i="5"/>
  <c r="AO331" i="5"/>
  <c r="AO332" i="5"/>
  <c r="AO333" i="5"/>
  <c r="AO334" i="5"/>
  <c r="AO335" i="5"/>
  <c r="AO336" i="5"/>
  <c r="AO337" i="5"/>
  <c r="AO338" i="5"/>
  <c r="AO339" i="5"/>
  <c r="AO340" i="5"/>
  <c r="AO341" i="5"/>
  <c r="AO342" i="5"/>
  <c r="AO343" i="5"/>
  <c r="AO344" i="5"/>
  <c r="AO345" i="5"/>
  <c r="AO346" i="5"/>
  <c r="AO347" i="5"/>
  <c r="AO348" i="5"/>
  <c r="AO349" i="5"/>
  <c r="AO350" i="5"/>
  <c r="AO351" i="5"/>
  <c r="AO352" i="5"/>
  <c r="AO353" i="5"/>
  <c r="AO354" i="5"/>
  <c r="AO355" i="5"/>
  <c r="AO356" i="5"/>
  <c r="AO357" i="5"/>
  <c r="AO358" i="5"/>
  <c r="AO359" i="5"/>
  <c r="AO360" i="5"/>
  <c r="AO361" i="5"/>
  <c r="AO362" i="5"/>
  <c r="AO363" i="5"/>
  <c r="AO364" i="5"/>
  <c r="AO365" i="5"/>
  <c r="AO366" i="5"/>
  <c r="AO367" i="5"/>
  <c r="AO368" i="5"/>
  <c r="AO369" i="5"/>
  <c r="AO370" i="5"/>
  <c r="AO371" i="5"/>
  <c r="AO372" i="5"/>
  <c r="AO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202" i="5"/>
  <c r="AM203" i="5"/>
  <c r="AM204" i="5"/>
  <c r="AM205" i="5"/>
  <c r="AM206" i="5"/>
  <c r="AM207" i="5"/>
  <c r="AM208" i="5"/>
  <c r="AM209" i="5"/>
  <c r="AM210" i="5"/>
  <c r="AM211" i="5"/>
  <c r="AM212" i="5"/>
  <c r="AM213" i="5"/>
  <c r="AM214" i="5"/>
  <c r="AM215" i="5"/>
  <c r="AM216" i="5"/>
  <c r="AM217" i="5"/>
  <c r="AM218" i="5"/>
  <c r="AM219" i="5"/>
  <c r="AM220" i="5"/>
  <c r="AM221" i="5"/>
  <c r="AM222" i="5"/>
  <c r="AM223" i="5"/>
  <c r="AM224" i="5"/>
  <c r="AM225" i="5"/>
  <c r="AM226" i="5"/>
  <c r="AM227" i="5"/>
  <c r="AM228" i="5"/>
  <c r="AM229" i="5"/>
  <c r="AM230" i="5"/>
  <c r="AM231" i="5"/>
  <c r="AM232" i="5"/>
  <c r="AM233" i="5"/>
  <c r="AM234" i="5"/>
  <c r="AM235" i="5"/>
  <c r="AM236" i="5"/>
  <c r="AM237" i="5"/>
  <c r="AM238" i="5"/>
  <c r="AM239" i="5"/>
  <c r="AM240" i="5"/>
  <c r="AM241" i="5"/>
  <c r="AM242" i="5"/>
  <c r="AM243" i="5"/>
  <c r="AM244" i="5"/>
  <c r="AM245" i="5"/>
  <c r="AM246" i="5"/>
  <c r="AM247" i="5"/>
  <c r="AM248" i="5"/>
  <c r="AM249" i="5"/>
  <c r="AM250" i="5"/>
  <c r="AM251" i="5"/>
  <c r="AM252" i="5"/>
  <c r="AM253" i="5"/>
  <c r="AM254" i="5"/>
  <c r="AM255" i="5"/>
  <c r="AM256" i="5"/>
  <c r="AM257" i="5"/>
  <c r="AM258" i="5"/>
  <c r="AM259" i="5"/>
  <c r="AM260" i="5"/>
  <c r="AM261" i="5"/>
  <c r="AM262" i="5"/>
  <c r="AM263" i="5"/>
  <c r="AM264" i="5"/>
  <c r="AM265" i="5"/>
  <c r="AM266" i="5"/>
  <c r="AM267" i="5"/>
  <c r="AM268" i="5"/>
  <c r="AM269" i="5"/>
  <c r="AM270" i="5"/>
  <c r="AM271" i="5"/>
  <c r="AM272" i="5"/>
  <c r="AM273" i="5"/>
  <c r="AM274" i="5"/>
  <c r="AM275" i="5"/>
  <c r="AM276" i="5"/>
  <c r="AM277" i="5"/>
  <c r="AM278" i="5"/>
  <c r="AM279" i="5"/>
  <c r="AM280" i="5"/>
  <c r="AM281" i="5"/>
  <c r="AM282" i="5"/>
  <c r="AM283" i="5"/>
  <c r="AM284" i="5"/>
  <c r="AM285" i="5"/>
  <c r="AM286" i="5"/>
  <c r="AM287" i="5"/>
  <c r="AM288" i="5"/>
  <c r="AM289" i="5"/>
  <c r="AM290" i="5"/>
  <c r="AM291" i="5"/>
  <c r="AM292" i="5"/>
  <c r="AM293" i="5"/>
  <c r="AM294" i="5"/>
  <c r="AM295" i="5"/>
  <c r="AM296" i="5"/>
  <c r="AM297" i="5"/>
  <c r="AM298" i="5"/>
  <c r="AM299" i="5"/>
  <c r="AM300" i="5"/>
  <c r="AM301" i="5"/>
  <c r="AM302" i="5"/>
  <c r="AM303" i="5"/>
  <c r="AM304" i="5"/>
  <c r="AM305" i="5"/>
  <c r="AM306" i="5"/>
  <c r="AM307" i="5"/>
  <c r="AM308" i="5"/>
  <c r="AM309" i="5"/>
  <c r="AM310" i="5"/>
  <c r="AM311" i="5"/>
  <c r="AM312" i="5"/>
  <c r="AM313" i="5"/>
  <c r="AM314" i="5"/>
  <c r="AM315" i="5"/>
  <c r="AM316" i="5"/>
  <c r="AM317" i="5"/>
  <c r="AM318" i="5"/>
  <c r="AM319" i="5"/>
  <c r="AM320" i="5"/>
  <c r="AM321" i="5"/>
  <c r="AM322" i="5"/>
  <c r="AM323" i="5"/>
  <c r="AM324" i="5"/>
  <c r="AM325" i="5"/>
  <c r="AM326" i="5"/>
  <c r="AM327" i="5"/>
  <c r="AM328" i="5"/>
  <c r="AM329" i="5"/>
  <c r="AM330" i="5"/>
  <c r="AM331" i="5"/>
  <c r="AM332" i="5"/>
  <c r="AM333" i="5"/>
  <c r="AM334" i="5"/>
  <c r="AM335" i="5"/>
  <c r="AM336" i="5"/>
  <c r="AM337" i="5"/>
  <c r="AM338" i="5"/>
  <c r="AM339" i="5"/>
  <c r="AM340" i="5"/>
  <c r="AM341" i="5"/>
  <c r="AM342" i="5"/>
  <c r="AM343" i="5"/>
  <c r="AM344" i="5"/>
  <c r="AM345" i="5"/>
  <c r="AM346" i="5"/>
  <c r="AM347" i="5"/>
  <c r="AM348" i="5"/>
  <c r="AM349" i="5"/>
  <c r="AM350" i="5"/>
  <c r="AM351" i="5"/>
  <c r="AM352" i="5"/>
  <c r="AM353" i="5"/>
  <c r="AM354" i="5"/>
  <c r="AM355" i="5"/>
  <c r="AM356" i="5"/>
  <c r="AM357" i="5"/>
  <c r="AM358" i="5"/>
  <c r="AM359" i="5"/>
  <c r="AM360" i="5"/>
  <c r="AM361" i="5"/>
  <c r="AM362" i="5"/>
  <c r="AM363" i="5"/>
  <c r="AM364" i="5"/>
  <c r="AM365" i="5"/>
  <c r="AM366" i="5"/>
  <c r="AM367" i="5"/>
  <c r="AM368" i="5"/>
  <c r="AM369" i="5"/>
  <c r="AM370" i="5"/>
  <c r="AM371" i="5"/>
  <c r="AM372" i="5"/>
  <c r="AM12" i="5"/>
  <c r="AF16" i="14"/>
  <c r="BB30" i="20" l="1"/>
  <c r="BB29" i="20" s="1"/>
  <c r="BB28" i="20" s="1"/>
  <c r="K29" i="20"/>
  <c r="AZ29" i="20"/>
  <c r="AZ30" i="20" s="1"/>
  <c r="AZ31" i="20" s="1"/>
  <c r="AZ32" i="20" s="1"/>
  <c r="AZ33" i="20" s="1"/>
  <c r="AZ34" i="20" s="1"/>
  <c r="AZ35" i="20" s="1"/>
  <c r="AZ36" i="20" s="1"/>
  <c r="AZ37" i="20" s="1"/>
  <c r="AZ38" i="20" s="1"/>
  <c r="AZ39" i="20" s="1"/>
  <c r="AZ40" i="20" s="1"/>
  <c r="AZ41" i="20" s="1"/>
  <c r="AZ42" i="20" s="1"/>
  <c r="AZ43" i="20" s="1"/>
  <c r="AZ44" i="20" s="1"/>
  <c r="AZ45" i="20" s="1"/>
  <c r="AZ46" i="20" s="1"/>
  <c r="AZ47" i="20" s="1"/>
  <c r="AZ48" i="20" s="1"/>
  <c r="AZ49" i="20" s="1"/>
  <c r="AZ50" i="20" s="1"/>
  <c r="AZ51" i="20" s="1"/>
  <c r="AZ52" i="20" s="1"/>
  <c r="AZ53" i="20" s="1"/>
  <c r="AZ54" i="20" s="1"/>
  <c r="AZ55" i="20" s="1"/>
  <c r="AZ56" i="20" s="1"/>
  <c r="AZ57" i="20" s="1"/>
  <c r="AZ58" i="20" s="1"/>
  <c r="AZ59" i="20" s="1"/>
  <c r="AZ60" i="20" s="1"/>
  <c r="AZ61" i="20" s="1"/>
  <c r="AZ62" i="20" s="1"/>
  <c r="AD28" i="20"/>
  <c r="S66" i="20"/>
  <c r="S14" i="18" s="1"/>
  <c r="O66" i="20"/>
  <c r="Q66" i="20"/>
  <c r="C29" i="20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AB28" i="20"/>
  <c r="G60" i="20"/>
  <c r="AD60" i="20" s="1"/>
  <c r="G56" i="20"/>
  <c r="AD56" i="20" s="1"/>
  <c r="G52" i="20"/>
  <c r="AD52" i="20" s="1"/>
  <c r="G61" i="20"/>
  <c r="AD61" i="20" s="1"/>
  <c r="G58" i="20"/>
  <c r="AD58" i="20" s="1"/>
  <c r="G55" i="20"/>
  <c r="AD55" i="20" s="1"/>
  <c r="G50" i="20"/>
  <c r="AD50" i="20" s="1"/>
  <c r="G62" i="20"/>
  <c r="AD62" i="20" s="1"/>
  <c r="G48" i="20"/>
  <c r="AD48" i="20" s="1"/>
  <c r="G45" i="20"/>
  <c r="AD45" i="20" s="1"/>
  <c r="G41" i="20"/>
  <c r="AD41" i="20" s="1"/>
  <c r="G37" i="20"/>
  <c r="AD37" i="20" s="1"/>
  <c r="G33" i="20"/>
  <c r="AD33" i="20" s="1"/>
  <c r="G57" i="20"/>
  <c r="AD57" i="20" s="1"/>
  <c r="G49" i="20"/>
  <c r="AD49" i="20" s="1"/>
  <c r="G44" i="20"/>
  <c r="AD44" i="20" s="1"/>
  <c r="G59" i="20"/>
  <c r="AD59" i="20" s="1"/>
  <c r="G53" i="20"/>
  <c r="AD53" i="20" s="1"/>
  <c r="G42" i="20"/>
  <c r="AD42" i="20" s="1"/>
  <c r="G39" i="20"/>
  <c r="AD39" i="20" s="1"/>
  <c r="G36" i="20"/>
  <c r="AD36" i="20" s="1"/>
  <c r="G47" i="20"/>
  <c r="AD47" i="20" s="1"/>
  <c r="G38" i="20"/>
  <c r="AD38" i="20" s="1"/>
  <c r="G34" i="20"/>
  <c r="AD34" i="20" s="1"/>
  <c r="G32" i="20"/>
  <c r="AD32" i="20" s="1"/>
  <c r="G30" i="20"/>
  <c r="AD30" i="20" s="1"/>
  <c r="G54" i="20"/>
  <c r="AD54" i="20" s="1"/>
  <c r="G51" i="20"/>
  <c r="AD51" i="20" s="1"/>
  <c r="G46" i="20"/>
  <c r="AD46" i="20" s="1"/>
  <c r="G43" i="20"/>
  <c r="AD43" i="20" s="1"/>
  <c r="G40" i="20"/>
  <c r="AD40" i="20" s="1"/>
  <c r="G35" i="20"/>
  <c r="AD35" i="20" s="1"/>
  <c r="G31" i="20"/>
  <c r="AD31" i="20" s="1"/>
  <c r="E30" i="20"/>
  <c r="E31" i="20" s="1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43" i="20" s="1"/>
  <c r="E44" i="20" s="1"/>
  <c r="E45" i="20" s="1"/>
  <c r="E46" i="20" s="1"/>
  <c r="E47" i="20" s="1"/>
  <c r="E48" i="20" s="1"/>
  <c r="E49" i="20" s="1"/>
  <c r="E50" i="20" s="1"/>
  <c r="E51" i="20" s="1"/>
  <c r="E52" i="20" s="1"/>
  <c r="E53" i="20" s="1"/>
  <c r="E54" i="20" s="1"/>
  <c r="E55" i="20" s="1"/>
  <c r="E56" i="20" s="1"/>
  <c r="E57" i="20" s="1"/>
  <c r="E58" i="20" s="1"/>
  <c r="E59" i="20" s="1"/>
  <c r="E60" i="20" s="1"/>
  <c r="E61" i="20" s="1"/>
  <c r="E62" i="20" s="1"/>
  <c r="M29" i="20"/>
  <c r="C66" i="20"/>
  <c r="AD66" i="20" l="1"/>
  <c r="G66" i="20"/>
  <c r="M30" i="20"/>
  <c r="M31" i="20" s="1"/>
  <c r="M32" i="20" s="1"/>
  <c r="M33" i="20" s="1"/>
  <c r="M34" i="20" s="1"/>
  <c r="M35" i="20" s="1"/>
  <c r="M36" i="20" s="1"/>
  <c r="M37" i="20" s="1"/>
  <c r="M38" i="20" s="1"/>
  <c r="M39" i="20" s="1"/>
  <c r="M40" i="20" s="1"/>
  <c r="M41" i="20" s="1"/>
  <c r="M42" i="20" s="1"/>
  <c r="M43" i="20" s="1"/>
  <c r="M44" i="20" s="1"/>
  <c r="M45" i="20" s="1"/>
  <c r="M46" i="20" s="1"/>
  <c r="M47" i="20" s="1"/>
  <c r="M48" i="20" s="1"/>
  <c r="M49" i="20" s="1"/>
  <c r="M50" i="20" s="1"/>
  <c r="M51" i="20" s="1"/>
  <c r="M52" i="20" s="1"/>
  <c r="M53" i="20" s="1"/>
  <c r="M54" i="20" s="1"/>
  <c r="M55" i="20" s="1"/>
  <c r="M56" i="20" s="1"/>
  <c r="M57" i="20" s="1"/>
  <c r="M58" i="20" s="1"/>
  <c r="M59" i="20" s="1"/>
  <c r="M60" i="20" s="1"/>
  <c r="M61" i="20" s="1"/>
  <c r="M62" i="20" s="1"/>
  <c r="AB29" i="20"/>
  <c r="K30" i="20"/>
  <c r="K31" i="20" l="1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K43" i="20" s="1"/>
  <c r="K44" i="20" s="1"/>
  <c r="K45" i="20" s="1"/>
  <c r="K46" i="20" s="1"/>
  <c r="K47" i="20" s="1"/>
  <c r="K48" i="20" s="1"/>
  <c r="K49" i="20" s="1"/>
  <c r="K50" i="20" s="1"/>
  <c r="K51" i="20" s="1"/>
  <c r="K52" i="20" s="1"/>
  <c r="K53" i="20" s="1"/>
  <c r="K54" i="20" s="1"/>
  <c r="K55" i="20" s="1"/>
  <c r="K56" i="20" s="1"/>
  <c r="K57" i="20" s="1"/>
  <c r="K58" i="20" s="1"/>
  <c r="K59" i="20" s="1"/>
  <c r="K60" i="20" s="1"/>
  <c r="K61" i="20" s="1"/>
  <c r="K62" i="20" s="1"/>
  <c r="AB30" i="20"/>
  <c r="M66" i="20"/>
  <c r="K66" i="20" l="1"/>
  <c r="AB31" i="20"/>
  <c r="BB32" i="20"/>
  <c r="BB33" i="20" l="1"/>
  <c r="AB32" i="20"/>
  <c r="AB33" i="20" l="1"/>
  <c r="BB34" i="20"/>
  <c r="BB35" i="20" l="1"/>
  <c r="AB34" i="20"/>
  <c r="AB35" i="20" l="1"/>
  <c r="BB36" i="20"/>
  <c r="BB37" i="20" l="1"/>
  <c r="AB36" i="20"/>
  <c r="AB37" i="20" l="1"/>
  <c r="BB38" i="20"/>
  <c r="BB39" i="20" l="1"/>
  <c r="AB38" i="20"/>
  <c r="BB40" i="20" l="1"/>
  <c r="AB39" i="20"/>
  <c r="AB40" i="20" l="1"/>
  <c r="BB41" i="20"/>
  <c r="BB42" i="20" l="1"/>
  <c r="AB41" i="20"/>
  <c r="BB43" i="20" l="1"/>
  <c r="AB42" i="20"/>
  <c r="AB43" i="20" l="1"/>
  <c r="BB44" i="20"/>
  <c r="AB44" i="20" l="1"/>
  <c r="BB45" i="20"/>
  <c r="AB45" i="20" l="1"/>
  <c r="BB46" i="20"/>
  <c r="AB46" i="20" l="1"/>
  <c r="BB47" i="20"/>
  <c r="AB47" i="20" l="1"/>
  <c r="BB48" i="20"/>
  <c r="AB48" i="20" l="1"/>
  <c r="BB49" i="20"/>
  <c r="BB50" i="20" l="1"/>
  <c r="AB49" i="20"/>
  <c r="BB51" i="20" l="1"/>
  <c r="AB50" i="20"/>
  <c r="AB51" i="20" l="1"/>
  <c r="BB52" i="20"/>
  <c r="BB53" i="20" l="1"/>
  <c r="AB52" i="20"/>
  <c r="AB53" i="20" l="1"/>
  <c r="BB54" i="20"/>
  <c r="BB55" i="20" l="1"/>
  <c r="AB54" i="20"/>
  <c r="AB55" i="20" l="1"/>
  <c r="BB56" i="20"/>
  <c r="AB56" i="20" l="1"/>
  <c r="BB57" i="20"/>
  <c r="BB58" i="20" l="1"/>
  <c r="AB57" i="20"/>
  <c r="AB58" i="20" l="1"/>
  <c r="BB59" i="20"/>
  <c r="AB59" i="20" l="1"/>
  <c r="BB60" i="20"/>
  <c r="BB61" i="20" l="1"/>
  <c r="AB60" i="20"/>
  <c r="AB61" i="20" l="1"/>
  <c r="BB62" i="20"/>
  <c r="BB66" i="20" l="1"/>
  <c r="AB62" i="20"/>
  <c r="I28" i="20" l="1"/>
  <c r="I29" i="20" l="1"/>
  <c r="I30" i="20" s="1"/>
  <c r="I31" i="20" s="1"/>
  <c r="I32" i="20" s="1"/>
  <c r="I33" i="20" s="1"/>
  <c r="I34" i="20" s="1"/>
  <c r="I35" i="20" s="1"/>
  <c r="I36" i="20" s="1"/>
  <c r="I37" i="20" s="1"/>
  <c r="I38" i="20" s="1"/>
  <c r="I39" i="20" s="1"/>
  <c r="I40" i="20" s="1"/>
  <c r="I41" i="20" s="1"/>
  <c r="I42" i="20" s="1"/>
  <c r="I43" i="20" s="1"/>
  <c r="I44" i="20" s="1"/>
  <c r="I45" i="20" s="1"/>
  <c r="I46" i="20" s="1"/>
  <c r="I47" i="20" s="1"/>
  <c r="I48" i="20" s="1"/>
  <c r="I49" i="20" s="1"/>
  <c r="I50" i="20" s="1"/>
  <c r="I51" i="20" s="1"/>
  <c r="I52" i="20" s="1"/>
  <c r="I53" i="20" s="1"/>
  <c r="I54" i="20" s="1"/>
  <c r="I55" i="20" s="1"/>
  <c r="I56" i="20" s="1"/>
  <c r="I57" i="20" s="1"/>
  <c r="I58" i="20" s="1"/>
  <c r="I59" i="20" s="1"/>
  <c r="I60" i="20" s="1"/>
  <c r="I61" i="20" s="1"/>
  <c r="I62" i="20" s="1"/>
  <c r="I66" i="20" l="1"/>
  <c r="E28" i="19" l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  <c r="E56" i="19" s="1"/>
  <c r="E57" i="19" s="1"/>
  <c r="E58" i="19" s="1"/>
  <c r="E59" i="19" s="1"/>
  <c r="E60" i="19" s="1"/>
  <c r="E61" i="19" s="1"/>
  <c r="E62" i="19" s="1"/>
  <c r="BD15" i="19"/>
  <c r="BD14" i="19"/>
  <c r="BE47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I187" i="5"/>
  <c r="AI188" i="5"/>
  <c r="AI189" i="5"/>
  <c r="AI190" i="5"/>
  <c r="AI191" i="5"/>
  <c r="AI192" i="5"/>
  <c r="AI193" i="5"/>
  <c r="AI194" i="5"/>
  <c r="AI195" i="5"/>
  <c r="AI196" i="5"/>
  <c r="AI197" i="5"/>
  <c r="AI198" i="5"/>
  <c r="AI199" i="5"/>
  <c r="AI200" i="5"/>
  <c r="AI201" i="5"/>
  <c r="AI202" i="5"/>
  <c r="AI203" i="5"/>
  <c r="AI204" i="5"/>
  <c r="AI205" i="5"/>
  <c r="AI206" i="5"/>
  <c r="AI207" i="5"/>
  <c r="AI208" i="5"/>
  <c r="AI209" i="5"/>
  <c r="AI210" i="5"/>
  <c r="AI211" i="5"/>
  <c r="AI212" i="5"/>
  <c r="AI213" i="5"/>
  <c r="AI214" i="5"/>
  <c r="AI215" i="5"/>
  <c r="AI216" i="5"/>
  <c r="AI217" i="5"/>
  <c r="AI218" i="5"/>
  <c r="AI219" i="5"/>
  <c r="AI220" i="5"/>
  <c r="AI221" i="5"/>
  <c r="AI222" i="5"/>
  <c r="AI223" i="5"/>
  <c r="AI224" i="5"/>
  <c r="AI225" i="5"/>
  <c r="AI226" i="5"/>
  <c r="AI227" i="5"/>
  <c r="AI228" i="5"/>
  <c r="AI229" i="5"/>
  <c r="AI230" i="5"/>
  <c r="AI231" i="5"/>
  <c r="AI232" i="5"/>
  <c r="AI233" i="5"/>
  <c r="AI234" i="5"/>
  <c r="AI235" i="5"/>
  <c r="AI236" i="5"/>
  <c r="AI237" i="5"/>
  <c r="AI238" i="5"/>
  <c r="AI239" i="5"/>
  <c r="AI240" i="5"/>
  <c r="AI241" i="5"/>
  <c r="AI242" i="5"/>
  <c r="AI243" i="5"/>
  <c r="AI244" i="5"/>
  <c r="AI245" i="5"/>
  <c r="AI246" i="5"/>
  <c r="AI247" i="5"/>
  <c r="AI248" i="5"/>
  <c r="AI249" i="5"/>
  <c r="AI250" i="5"/>
  <c r="AI251" i="5"/>
  <c r="AI252" i="5"/>
  <c r="AI253" i="5"/>
  <c r="AI254" i="5"/>
  <c r="AI255" i="5"/>
  <c r="AI256" i="5"/>
  <c r="AI257" i="5"/>
  <c r="AI258" i="5"/>
  <c r="AI259" i="5"/>
  <c r="AI260" i="5"/>
  <c r="AI261" i="5"/>
  <c r="AI262" i="5"/>
  <c r="AI263" i="5"/>
  <c r="AI264" i="5"/>
  <c r="AI265" i="5"/>
  <c r="AI266" i="5"/>
  <c r="AI267" i="5"/>
  <c r="AI268" i="5"/>
  <c r="AI269" i="5"/>
  <c r="AI270" i="5"/>
  <c r="AI271" i="5"/>
  <c r="AI272" i="5"/>
  <c r="AI273" i="5"/>
  <c r="AI274" i="5"/>
  <c r="AI275" i="5"/>
  <c r="AI276" i="5"/>
  <c r="AI277" i="5"/>
  <c r="AI278" i="5"/>
  <c r="AI279" i="5"/>
  <c r="AI280" i="5"/>
  <c r="AI281" i="5"/>
  <c r="AI282" i="5"/>
  <c r="AI283" i="5"/>
  <c r="AI284" i="5"/>
  <c r="AI285" i="5"/>
  <c r="AI286" i="5"/>
  <c r="AI287" i="5"/>
  <c r="AI288" i="5"/>
  <c r="AI289" i="5"/>
  <c r="AI290" i="5"/>
  <c r="AI291" i="5"/>
  <c r="AI292" i="5"/>
  <c r="AI293" i="5"/>
  <c r="AI294" i="5"/>
  <c r="AI295" i="5"/>
  <c r="AI296" i="5"/>
  <c r="AI297" i="5"/>
  <c r="AI298" i="5"/>
  <c r="AI299" i="5"/>
  <c r="AI300" i="5"/>
  <c r="AI301" i="5"/>
  <c r="AI302" i="5"/>
  <c r="AI303" i="5"/>
  <c r="AI304" i="5"/>
  <c r="AI305" i="5"/>
  <c r="AI306" i="5"/>
  <c r="AI307" i="5"/>
  <c r="AI308" i="5"/>
  <c r="AI309" i="5"/>
  <c r="AI310" i="5"/>
  <c r="AI311" i="5"/>
  <c r="AI312" i="5"/>
  <c r="AI313" i="5"/>
  <c r="AI314" i="5"/>
  <c r="AI315" i="5"/>
  <c r="AI316" i="5"/>
  <c r="AI317" i="5"/>
  <c r="AI318" i="5"/>
  <c r="AI319" i="5"/>
  <c r="AI320" i="5"/>
  <c r="AI321" i="5"/>
  <c r="AI322" i="5"/>
  <c r="AI323" i="5"/>
  <c r="AI324" i="5"/>
  <c r="AI325" i="5"/>
  <c r="AI326" i="5"/>
  <c r="AI327" i="5"/>
  <c r="AI328" i="5"/>
  <c r="AI329" i="5"/>
  <c r="AI330" i="5"/>
  <c r="AI331" i="5"/>
  <c r="AI332" i="5"/>
  <c r="AI333" i="5"/>
  <c r="AI334" i="5"/>
  <c r="AI335" i="5"/>
  <c r="AI336" i="5"/>
  <c r="AI337" i="5"/>
  <c r="AI338" i="5"/>
  <c r="AI339" i="5"/>
  <c r="AI340" i="5"/>
  <c r="AI341" i="5"/>
  <c r="AI342" i="5"/>
  <c r="AI343" i="5"/>
  <c r="AI344" i="5"/>
  <c r="AI345" i="5"/>
  <c r="AI346" i="5"/>
  <c r="AI347" i="5"/>
  <c r="AI348" i="5"/>
  <c r="AI349" i="5"/>
  <c r="AI350" i="5"/>
  <c r="AI351" i="5"/>
  <c r="AI352" i="5"/>
  <c r="AI353" i="5"/>
  <c r="AI354" i="5"/>
  <c r="AI355" i="5"/>
  <c r="AI356" i="5"/>
  <c r="AI357" i="5"/>
  <c r="AI358" i="5"/>
  <c r="AI359" i="5"/>
  <c r="AI360" i="5"/>
  <c r="AI361" i="5"/>
  <c r="AI362" i="5"/>
  <c r="AI363" i="5"/>
  <c r="AI364" i="5"/>
  <c r="AI365" i="5"/>
  <c r="AI366" i="5"/>
  <c r="AI367" i="5"/>
  <c r="AI368" i="5"/>
  <c r="AI369" i="5"/>
  <c r="AI370" i="5"/>
  <c r="AI371" i="5"/>
  <c r="AI12" i="5"/>
  <c r="BB28" i="19" l="1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224" i="5"/>
  <c r="AG225" i="5"/>
  <c r="AG226" i="5"/>
  <c r="AG227" i="5"/>
  <c r="AG228" i="5"/>
  <c r="AG229" i="5"/>
  <c r="AG230" i="5"/>
  <c r="AG231" i="5"/>
  <c r="AG232" i="5"/>
  <c r="AG233" i="5"/>
  <c r="AG234" i="5"/>
  <c r="AG235" i="5"/>
  <c r="AG236" i="5"/>
  <c r="AG237" i="5"/>
  <c r="AG238" i="5"/>
  <c r="AG239" i="5"/>
  <c r="AG240" i="5"/>
  <c r="AG241" i="5"/>
  <c r="AG242" i="5"/>
  <c r="AG243" i="5"/>
  <c r="AG244" i="5"/>
  <c r="AG245" i="5"/>
  <c r="AG246" i="5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AG266" i="5"/>
  <c r="AG267" i="5"/>
  <c r="AG268" i="5"/>
  <c r="AG269" i="5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83" i="5"/>
  <c r="AG284" i="5"/>
  <c r="AG285" i="5"/>
  <c r="AG286" i="5"/>
  <c r="AG287" i="5"/>
  <c r="AG288" i="5"/>
  <c r="AG289" i="5"/>
  <c r="AG290" i="5"/>
  <c r="AG291" i="5"/>
  <c r="AG292" i="5"/>
  <c r="AG293" i="5"/>
  <c r="AG294" i="5"/>
  <c r="AG295" i="5"/>
  <c r="AG296" i="5"/>
  <c r="AG297" i="5"/>
  <c r="AG298" i="5"/>
  <c r="AG299" i="5"/>
  <c r="AG300" i="5"/>
  <c r="AG301" i="5"/>
  <c r="AG302" i="5"/>
  <c r="AG303" i="5"/>
  <c r="AG304" i="5"/>
  <c r="AG305" i="5"/>
  <c r="AG306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19" i="5"/>
  <c r="AG320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40" i="5"/>
  <c r="AG341" i="5"/>
  <c r="AG342" i="5"/>
  <c r="AG343" i="5"/>
  <c r="AG344" i="5"/>
  <c r="AG345" i="5"/>
  <c r="AG346" i="5"/>
  <c r="AG347" i="5"/>
  <c r="AG348" i="5"/>
  <c r="AG349" i="5"/>
  <c r="AG350" i="5"/>
  <c r="AG351" i="5"/>
  <c r="AG352" i="5"/>
  <c r="AG353" i="5"/>
  <c r="AG354" i="5"/>
  <c r="AG355" i="5"/>
  <c r="AG356" i="5"/>
  <c r="AG357" i="5"/>
  <c r="AG358" i="5"/>
  <c r="AG359" i="5"/>
  <c r="AG360" i="5"/>
  <c r="AG361" i="5"/>
  <c r="AG362" i="5"/>
  <c r="AG363" i="5"/>
  <c r="AG364" i="5"/>
  <c r="AG365" i="5"/>
  <c r="AG366" i="5"/>
  <c r="AG367" i="5"/>
  <c r="AG368" i="5"/>
  <c r="AG369" i="5"/>
  <c r="AG370" i="5"/>
  <c r="AG371" i="5"/>
  <c r="AG12" i="5"/>
  <c r="H15" i="5"/>
  <c r="AN35" i="20" s="1"/>
  <c r="H14" i="5"/>
  <c r="AN34" i="20" s="1"/>
  <c r="H13" i="5"/>
  <c r="I14" i="5" l="1"/>
  <c r="AN28" i="21" s="1"/>
  <c r="I15" i="5"/>
  <c r="AN29" i="21" s="1"/>
  <c r="I13" i="5"/>
  <c r="H12" i="5"/>
  <c r="AN32" i="20" s="1"/>
  <c r="AN31" i="20" s="1"/>
  <c r="AN30" i="20" s="1"/>
  <c r="AN29" i="20" s="1"/>
  <c r="AN28" i="20" s="1"/>
  <c r="AN33" i="20"/>
  <c r="Z57" i="4"/>
  <c r="N71" i="4"/>
  <c r="M70" i="4"/>
  <c r="L70" i="4"/>
  <c r="D70" i="4"/>
  <c r="N69" i="4"/>
  <c r="I69" i="4"/>
  <c r="N68" i="4"/>
  <c r="J70" i="4"/>
  <c r="I68" i="4"/>
  <c r="BB16" i="21" l="1"/>
  <c r="BD28" i="21" s="1"/>
  <c r="AF15" i="21"/>
  <c r="AF28" i="21" s="1"/>
  <c r="AJ16" i="21"/>
  <c r="AF11" i="21" s="1"/>
  <c r="N70" i="4"/>
  <c r="H70" i="4"/>
  <c r="O70" i="4"/>
  <c r="AJ13" i="21" l="1"/>
  <c r="AJ28" i="21" s="1"/>
  <c r="AJ29" i="21" s="1"/>
  <c r="AJ30" i="21" s="1"/>
  <c r="AJ31" i="21" s="1"/>
  <c r="AJ32" i="21" s="1"/>
  <c r="AJ33" i="21" s="1"/>
  <c r="AJ34" i="21" s="1"/>
  <c r="AJ35" i="21" s="1"/>
  <c r="AJ36" i="21" s="1"/>
  <c r="AJ37" i="21" s="1"/>
  <c r="AJ38" i="21" s="1"/>
  <c r="AJ39" i="21" s="1"/>
  <c r="AJ40" i="21" s="1"/>
  <c r="AJ41" i="21" s="1"/>
  <c r="AJ42" i="21" s="1"/>
  <c r="AJ47" i="21" s="1"/>
  <c r="AF14" i="21"/>
  <c r="AF29" i="21"/>
  <c r="BD11" i="21"/>
  <c r="BF28" i="21" s="1"/>
  <c r="AF12" i="21"/>
  <c r="AJ11" i="21"/>
  <c r="AH28" i="21" s="1"/>
  <c r="AH29" i="21" s="1"/>
  <c r="AH30" i="21" s="1"/>
  <c r="AH31" i="21" s="1"/>
  <c r="AH32" i="21" s="1"/>
  <c r="AH33" i="21" s="1"/>
  <c r="AH34" i="21" s="1"/>
  <c r="AH35" i="21" s="1"/>
  <c r="AH36" i="21" s="1"/>
  <c r="AH37" i="21" s="1"/>
  <c r="AH38" i="21" s="1"/>
  <c r="AH39" i="21" s="1"/>
  <c r="AH40" i="21" s="1"/>
  <c r="AH41" i="21" s="1"/>
  <c r="AH42" i="21" s="1"/>
  <c r="AH47" i="21" s="1"/>
  <c r="BD29" i="21"/>
  <c r="P70" i="4"/>
  <c r="AE22" i="5"/>
  <c r="AF16" i="19"/>
  <c r="M28" i="19"/>
  <c r="K28" i="19"/>
  <c r="G43" i="19"/>
  <c r="AD43" i="19" s="1"/>
  <c r="W26" i="19"/>
  <c r="U26" i="19"/>
  <c r="S26" i="19"/>
  <c r="Q26" i="19"/>
  <c r="O26" i="19"/>
  <c r="M26" i="19"/>
  <c r="K26" i="19"/>
  <c r="G16" i="4"/>
  <c r="E16" i="4"/>
  <c r="D16" i="4"/>
  <c r="A3" i="19"/>
  <c r="A1" i="19"/>
  <c r="V55" i="4"/>
  <c r="V54" i="4"/>
  <c r="U55" i="4"/>
  <c r="U54" i="4"/>
  <c r="T55" i="4"/>
  <c r="T54" i="4"/>
  <c r="S55" i="4"/>
  <c r="S54" i="4"/>
  <c r="AL28" i="21" l="1"/>
  <c r="AP28" i="21"/>
  <c r="AP29" i="21"/>
  <c r="BD30" i="21"/>
  <c r="BF29" i="21"/>
  <c r="AF30" i="21"/>
  <c r="AL29" i="21"/>
  <c r="AT28" i="21"/>
  <c r="AJ15" i="21"/>
  <c r="AR28" i="21" s="1"/>
  <c r="AR29" i="21" s="1"/>
  <c r="AR30" i="21" s="1"/>
  <c r="AR31" i="21" s="1"/>
  <c r="AR32" i="21" s="1"/>
  <c r="AR33" i="21" s="1"/>
  <c r="AR34" i="21" s="1"/>
  <c r="AR35" i="21" s="1"/>
  <c r="AR36" i="21" s="1"/>
  <c r="AR37" i="21" s="1"/>
  <c r="AR38" i="21" s="1"/>
  <c r="AR39" i="21" s="1"/>
  <c r="AR40" i="21" s="1"/>
  <c r="AR41" i="21" s="1"/>
  <c r="AR42" i="21" s="1"/>
  <c r="AR47" i="21" s="1"/>
  <c r="C28" i="19"/>
  <c r="AB28" i="19" s="1"/>
  <c r="AN28" i="19" s="1"/>
  <c r="F16" i="4"/>
  <c r="G47" i="19"/>
  <c r="AD47" i="19" s="1"/>
  <c r="G15" i="19"/>
  <c r="G32" i="19"/>
  <c r="AD32" i="19" s="1"/>
  <c r="G34" i="19"/>
  <c r="AD34" i="19" s="1"/>
  <c r="G30" i="19"/>
  <c r="AD30" i="19" s="1"/>
  <c r="G38" i="19"/>
  <c r="AD38" i="19" s="1"/>
  <c r="G40" i="19"/>
  <c r="AD40" i="19" s="1"/>
  <c r="M14" i="18"/>
  <c r="G52" i="19"/>
  <c r="AD52" i="19" s="1"/>
  <c r="G50" i="19"/>
  <c r="AD50" i="19" s="1"/>
  <c r="G48" i="19"/>
  <c r="AD48" i="19" s="1"/>
  <c r="G45" i="19"/>
  <c r="AD45" i="19" s="1"/>
  <c r="G41" i="19"/>
  <c r="AD41" i="19" s="1"/>
  <c r="G37" i="19"/>
  <c r="AD37" i="19" s="1"/>
  <c r="G33" i="19"/>
  <c r="AD33" i="19" s="1"/>
  <c r="G49" i="19"/>
  <c r="AD49" i="19" s="1"/>
  <c r="G44" i="19"/>
  <c r="AD44" i="19" s="1"/>
  <c r="G42" i="19"/>
  <c r="AD42" i="19" s="1"/>
  <c r="G39" i="19"/>
  <c r="AD39" i="19" s="1"/>
  <c r="G36" i="19"/>
  <c r="AD36" i="19" s="1"/>
  <c r="G51" i="19"/>
  <c r="AD51" i="19" s="1"/>
  <c r="G46" i="19"/>
  <c r="AD46" i="19" s="1"/>
  <c r="AD28" i="19"/>
  <c r="G29" i="19"/>
  <c r="G31" i="19"/>
  <c r="AD31" i="19" s="1"/>
  <c r="G35" i="19"/>
  <c r="AD35" i="19" s="1"/>
  <c r="C66" i="19"/>
  <c r="P54" i="4"/>
  <c r="P55" i="4"/>
  <c r="AD29" i="19" l="1"/>
  <c r="G66" i="19"/>
  <c r="AD66" i="19"/>
  <c r="AZ28" i="19"/>
  <c r="AZ29" i="19" s="1"/>
  <c r="AZ30" i="19" s="1"/>
  <c r="AZ31" i="19" s="1"/>
  <c r="AZ32" i="19" s="1"/>
  <c r="AZ33" i="19" s="1"/>
  <c r="AZ34" i="19" s="1"/>
  <c r="AZ35" i="19" s="1"/>
  <c r="AZ36" i="19" s="1"/>
  <c r="AZ37" i="19" s="1"/>
  <c r="AZ38" i="19" s="1"/>
  <c r="AZ39" i="19" s="1"/>
  <c r="AZ40" i="19" s="1"/>
  <c r="AZ41" i="19" s="1"/>
  <c r="AZ42" i="19" s="1"/>
  <c r="AZ43" i="19" s="1"/>
  <c r="AZ44" i="19" s="1"/>
  <c r="AZ45" i="19" s="1"/>
  <c r="AZ46" i="19" s="1"/>
  <c r="AZ47" i="19" s="1"/>
  <c r="AZ48" i="19" s="1"/>
  <c r="AZ49" i="19" s="1"/>
  <c r="AZ50" i="19" s="1"/>
  <c r="AZ51" i="19" s="1"/>
  <c r="AZ52" i="19" s="1"/>
  <c r="AZ53" i="19" s="1"/>
  <c r="AZ54" i="19" s="1"/>
  <c r="AZ55" i="19" s="1"/>
  <c r="AZ56" i="19" s="1"/>
  <c r="AZ57" i="19" s="1"/>
  <c r="AZ58" i="19" s="1"/>
  <c r="AZ59" i="19" s="1"/>
  <c r="AZ60" i="19" s="1"/>
  <c r="AZ61" i="19" s="1"/>
  <c r="AZ62" i="19" s="1"/>
  <c r="C29" i="19"/>
  <c r="C30" i="19" s="1"/>
  <c r="C31" i="19" s="1"/>
  <c r="C32" i="19" s="1"/>
  <c r="AT29" i="21"/>
  <c r="AF31" i="21"/>
  <c r="AL30" i="21"/>
  <c r="AV29" i="21"/>
  <c r="AV28" i="21"/>
  <c r="AX28" i="21" s="1"/>
  <c r="BD31" i="21"/>
  <c r="BF30" i="21"/>
  <c r="I28" i="19"/>
  <c r="H16" i="4"/>
  <c r="AB29" i="19"/>
  <c r="AN29" i="19" s="1"/>
  <c r="AX29" i="21" l="1"/>
  <c r="U29" i="21" s="1"/>
  <c r="W29" i="21" s="1"/>
  <c r="Y29" i="21" s="1"/>
  <c r="U28" i="21"/>
  <c r="AF32" i="21"/>
  <c r="AL31" i="21"/>
  <c r="BD32" i="21"/>
  <c r="BF31" i="21"/>
  <c r="AT30" i="21"/>
  <c r="M29" i="19"/>
  <c r="K29" i="19"/>
  <c r="I29" i="19"/>
  <c r="AB30" i="19"/>
  <c r="AN30" i="19" s="1"/>
  <c r="C33" i="19"/>
  <c r="AT31" i="21" l="1"/>
  <c r="AF33" i="21"/>
  <c r="AL32" i="21"/>
  <c r="BD33" i="21"/>
  <c r="BF32" i="21"/>
  <c r="W28" i="21"/>
  <c r="C34" i="19"/>
  <c r="I30" i="19"/>
  <c r="I31" i="19" s="1"/>
  <c r="M30" i="19"/>
  <c r="M31" i="19" s="1"/>
  <c r="AB31" i="19"/>
  <c r="AN31" i="19" s="1"/>
  <c r="K30" i="19"/>
  <c r="K31" i="19" s="1"/>
  <c r="Y28" i="21" l="1"/>
  <c r="BD34" i="21"/>
  <c r="BF33" i="21"/>
  <c r="AT32" i="21"/>
  <c r="AF34" i="21"/>
  <c r="AL33" i="21"/>
  <c r="AB32" i="19"/>
  <c r="C35" i="19"/>
  <c r="AT33" i="21" l="1"/>
  <c r="BD35" i="21"/>
  <c r="BF34" i="21"/>
  <c r="AF35" i="21"/>
  <c r="AL34" i="21"/>
  <c r="C36" i="19"/>
  <c r="AB33" i="19"/>
  <c r="AF36" i="21" l="1"/>
  <c r="AL35" i="21"/>
  <c r="AT34" i="21"/>
  <c r="BD36" i="21"/>
  <c r="BF35" i="21"/>
  <c r="C37" i="19"/>
  <c r="AB34" i="19"/>
  <c r="BD37" i="21" l="1"/>
  <c r="BF36" i="21"/>
  <c r="AT35" i="21"/>
  <c r="AF37" i="21"/>
  <c r="AL36" i="21"/>
  <c r="AB35" i="19"/>
  <c r="C38" i="19"/>
  <c r="AF38" i="21" l="1"/>
  <c r="AL37" i="21"/>
  <c r="AT36" i="21"/>
  <c r="BF37" i="21"/>
  <c r="BD38" i="21"/>
  <c r="C39" i="19"/>
  <c r="AB36" i="19"/>
  <c r="AT37" i="21" l="1"/>
  <c r="BD39" i="21"/>
  <c r="BF38" i="21"/>
  <c r="AF39" i="21"/>
  <c r="AL38" i="21"/>
  <c r="C40" i="19"/>
  <c r="AB37" i="19"/>
  <c r="AT38" i="21" l="1"/>
  <c r="BD40" i="21"/>
  <c r="BF39" i="21"/>
  <c r="AL39" i="21"/>
  <c r="AT39" i="21" s="1"/>
  <c r="AF40" i="21"/>
  <c r="C41" i="19"/>
  <c r="AB38" i="19"/>
  <c r="AL40" i="21" l="1"/>
  <c r="AF41" i="21"/>
  <c r="BD41" i="21"/>
  <c r="BF40" i="21"/>
  <c r="AB39" i="19"/>
  <c r="C42" i="19"/>
  <c r="BD42" i="21" l="1"/>
  <c r="BF41" i="21"/>
  <c r="AF42" i="21"/>
  <c r="AL41" i="21"/>
  <c r="AT41" i="21" s="1"/>
  <c r="AT40" i="21"/>
  <c r="C43" i="19"/>
  <c r="AB40" i="19"/>
  <c r="AL42" i="21" l="1"/>
  <c r="AF47" i="21"/>
  <c r="BD47" i="21"/>
  <c r="BF42" i="21"/>
  <c r="BF47" i="21" s="1"/>
  <c r="C44" i="19"/>
  <c r="AB41" i="19"/>
  <c r="AT42" i="21" l="1"/>
  <c r="AL47" i="21"/>
  <c r="AB42" i="19"/>
  <c r="C45" i="19"/>
  <c r="AT47" i="21" l="1"/>
  <c r="AB43" i="19"/>
  <c r="C46" i="19"/>
  <c r="C47" i="19" l="1"/>
  <c r="AB44" i="19"/>
  <c r="AB45" i="19" l="1"/>
  <c r="C48" i="19"/>
  <c r="AB46" i="19" l="1"/>
  <c r="C49" i="19"/>
  <c r="C50" i="19" l="1"/>
  <c r="AB47" i="19"/>
  <c r="C51" i="19" l="1"/>
  <c r="AB48" i="19"/>
  <c r="C52" i="19" l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AB49" i="19"/>
  <c r="AB50" i="19" l="1"/>
  <c r="AB51" i="19" l="1"/>
  <c r="AB52" i="19" l="1"/>
  <c r="AB53" i="19" l="1"/>
  <c r="N55" i="4"/>
  <c r="N54" i="4"/>
  <c r="N42" i="4"/>
  <c r="J54" i="4"/>
  <c r="J56" i="4" s="1"/>
  <c r="N57" i="4"/>
  <c r="I55" i="4"/>
  <c r="I54" i="4"/>
  <c r="M56" i="4"/>
  <c r="L56" i="4"/>
  <c r="D56" i="4"/>
  <c r="D31" i="4"/>
  <c r="J31" i="4"/>
  <c r="L31" i="4"/>
  <c r="M31" i="4"/>
  <c r="AB54" i="19" l="1"/>
  <c r="AF15" i="19"/>
  <c r="AF28" i="19" s="1"/>
  <c r="AF15" i="20"/>
  <c r="AF31" i="20" s="1"/>
  <c r="AJ16" i="19"/>
  <c r="AF11" i="19" s="1"/>
  <c r="AF12" i="19" s="1"/>
  <c r="AJ16" i="20"/>
  <c r="AF11" i="20" s="1"/>
  <c r="BB16" i="20"/>
  <c r="BD31" i="20" s="1"/>
  <c r="BB16" i="19"/>
  <c r="BD28" i="19" s="1"/>
  <c r="N56" i="4"/>
  <c r="AF29" i="19"/>
  <c r="P56" i="4"/>
  <c r="H56" i="4"/>
  <c r="O56" i="4"/>
  <c r="AB55" i="19" l="1"/>
  <c r="BD11" i="19"/>
  <c r="AF14" i="19"/>
  <c r="AF14" i="20"/>
  <c r="BD11" i="20"/>
  <c r="BF31" i="20" s="1"/>
  <c r="AF12" i="20"/>
  <c r="AJ15" i="19"/>
  <c r="AJ15" i="20"/>
  <c r="AR31" i="20" s="1"/>
  <c r="AF30" i="20"/>
  <c r="AF32" i="20"/>
  <c r="AJ13" i="19"/>
  <c r="AJ28" i="19" s="1"/>
  <c r="AJ13" i="20"/>
  <c r="AJ31" i="20" s="1"/>
  <c r="AJ11" i="19"/>
  <c r="AH28" i="19" s="1"/>
  <c r="AJ11" i="20"/>
  <c r="AH31" i="20" s="1"/>
  <c r="BD30" i="20"/>
  <c r="BD32" i="20"/>
  <c r="AR28" i="19"/>
  <c r="AF30" i="19"/>
  <c r="AB56" i="19" l="1"/>
  <c r="AR29" i="19"/>
  <c r="AR30" i="19" s="1"/>
  <c r="AR31" i="19" s="1"/>
  <c r="AJ29" i="19"/>
  <c r="AJ30" i="19" s="1"/>
  <c r="AJ31" i="19" s="1"/>
  <c r="AH29" i="19"/>
  <c r="AL28" i="19"/>
  <c r="BD33" i="20"/>
  <c r="BF32" i="20"/>
  <c r="AF29" i="20"/>
  <c r="BD29" i="20"/>
  <c r="BF30" i="20"/>
  <c r="AF33" i="20"/>
  <c r="AJ30" i="20"/>
  <c r="AJ29" i="20" s="1"/>
  <c r="AJ28" i="20" s="1"/>
  <c r="AJ32" i="20"/>
  <c r="AJ33" i="20" s="1"/>
  <c r="AJ34" i="20" s="1"/>
  <c r="AJ35" i="20" s="1"/>
  <c r="AJ36" i="20" s="1"/>
  <c r="AJ37" i="20" s="1"/>
  <c r="AJ38" i="20" s="1"/>
  <c r="AJ39" i="20" s="1"/>
  <c r="AJ40" i="20" s="1"/>
  <c r="AJ41" i="20" s="1"/>
  <c r="AJ42" i="20" s="1"/>
  <c r="AJ43" i="20" s="1"/>
  <c r="AJ44" i="20" s="1"/>
  <c r="AJ45" i="20" s="1"/>
  <c r="AJ46" i="20" s="1"/>
  <c r="AJ47" i="20" s="1"/>
  <c r="AJ48" i="20" s="1"/>
  <c r="AJ49" i="20" s="1"/>
  <c r="AJ50" i="20" s="1"/>
  <c r="AJ51" i="20" s="1"/>
  <c r="AJ52" i="20" s="1"/>
  <c r="AJ53" i="20" s="1"/>
  <c r="AJ54" i="20" s="1"/>
  <c r="AJ55" i="20" s="1"/>
  <c r="AJ56" i="20" s="1"/>
  <c r="AJ57" i="20" s="1"/>
  <c r="AJ58" i="20" s="1"/>
  <c r="AJ59" i="20" s="1"/>
  <c r="AJ60" i="20" s="1"/>
  <c r="AJ61" i="20" s="1"/>
  <c r="AJ62" i="20" s="1"/>
  <c r="AR30" i="20"/>
  <c r="AR29" i="20" s="1"/>
  <c r="AR28" i="20" s="1"/>
  <c r="AR32" i="20"/>
  <c r="AR33" i="20" s="1"/>
  <c r="AR34" i="20" s="1"/>
  <c r="AR35" i="20" s="1"/>
  <c r="AR36" i="20" s="1"/>
  <c r="AR37" i="20" s="1"/>
  <c r="AR38" i="20" s="1"/>
  <c r="AR39" i="20" s="1"/>
  <c r="AR40" i="20" s="1"/>
  <c r="AR41" i="20" s="1"/>
  <c r="AR42" i="20" s="1"/>
  <c r="AR43" i="20" s="1"/>
  <c r="AR44" i="20" s="1"/>
  <c r="AR45" i="20" s="1"/>
  <c r="AR46" i="20" s="1"/>
  <c r="AR47" i="20" s="1"/>
  <c r="AR48" i="20" s="1"/>
  <c r="AR49" i="20" s="1"/>
  <c r="AR50" i="20" s="1"/>
  <c r="AR51" i="20" s="1"/>
  <c r="AR52" i="20" s="1"/>
  <c r="AR53" i="20" s="1"/>
  <c r="AR54" i="20" s="1"/>
  <c r="AR55" i="20" s="1"/>
  <c r="AR56" i="20" s="1"/>
  <c r="AR57" i="20" s="1"/>
  <c r="AR58" i="20" s="1"/>
  <c r="AR59" i="20" s="1"/>
  <c r="AR60" i="20" s="1"/>
  <c r="AR61" i="20" s="1"/>
  <c r="AR62" i="20" s="1"/>
  <c r="AP32" i="20"/>
  <c r="AP33" i="20"/>
  <c r="AP31" i="20"/>
  <c r="AV31" i="20" s="1"/>
  <c r="AP34" i="20"/>
  <c r="AV34" i="20" s="1"/>
  <c r="AP30" i="20"/>
  <c r="AV30" i="20" s="1"/>
  <c r="AP35" i="20"/>
  <c r="AP29" i="20"/>
  <c r="AV29" i="20" s="1"/>
  <c r="AP28" i="20"/>
  <c r="AH30" i="20"/>
  <c r="AH29" i="20" s="1"/>
  <c r="AH28" i="20" s="1"/>
  <c r="AH32" i="20"/>
  <c r="AH33" i="20" s="1"/>
  <c r="AH34" i="20" s="1"/>
  <c r="AH35" i="20" s="1"/>
  <c r="AH36" i="20" s="1"/>
  <c r="AH37" i="20" s="1"/>
  <c r="AH38" i="20" s="1"/>
  <c r="AH39" i="20" s="1"/>
  <c r="AH40" i="20" s="1"/>
  <c r="AH41" i="20" s="1"/>
  <c r="AH42" i="20" s="1"/>
  <c r="AH43" i="20" s="1"/>
  <c r="AH44" i="20" s="1"/>
  <c r="AH45" i="20" s="1"/>
  <c r="AH46" i="20" s="1"/>
  <c r="AH47" i="20" s="1"/>
  <c r="AH48" i="20" s="1"/>
  <c r="AH49" i="20" s="1"/>
  <c r="AH50" i="20" s="1"/>
  <c r="AH51" i="20" s="1"/>
  <c r="AH52" i="20" s="1"/>
  <c r="AH53" i="20" s="1"/>
  <c r="AH54" i="20" s="1"/>
  <c r="AH55" i="20" s="1"/>
  <c r="AH56" i="20" s="1"/>
  <c r="AH57" i="20" s="1"/>
  <c r="AH58" i="20" s="1"/>
  <c r="AH59" i="20" s="1"/>
  <c r="AH60" i="20" s="1"/>
  <c r="AH61" i="20" s="1"/>
  <c r="AH62" i="20" s="1"/>
  <c r="AL31" i="20"/>
  <c r="AT31" i="20" s="1"/>
  <c r="AF31" i="19"/>
  <c r="B41" i="4"/>
  <c r="M44" i="4"/>
  <c r="L44" i="4"/>
  <c r="J44" i="4"/>
  <c r="AF15" i="14" s="1"/>
  <c r="D44" i="4"/>
  <c r="N43" i="4"/>
  <c r="I43" i="4"/>
  <c r="I42" i="4"/>
  <c r="Q44" i="4" s="1"/>
  <c r="AH30" i="19" l="1"/>
  <c r="AL29" i="19"/>
  <c r="AB57" i="19"/>
  <c r="AV35" i="20"/>
  <c r="AV33" i="20"/>
  <c r="AV32" i="20"/>
  <c r="AX31" i="20"/>
  <c r="U31" i="20" s="1"/>
  <c r="W31" i="20" s="1"/>
  <c r="Y31" i="20" s="1"/>
  <c r="AV28" i="20"/>
  <c r="BD34" i="20"/>
  <c r="BF33" i="20"/>
  <c r="AR66" i="20"/>
  <c r="AF34" i="20"/>
  <c r="AL33" i="20"/>
  <c r="AF28" i="20"/>
  <c r="AL29" i="20"/>
  <c r="AJ66" i="20"/>
  <c r="BD28" i="20"/>
  <c r="BF29" i="20"/>
  <c r="AH66" i="20"/>
  <c r="AL32" i="20"/>
  <c r="AT32" i="20" s="1"/>
  <c r="AX32" i="20" s="1"/>
  <c r="U32" i="20" s="1"/>
  <c r="W32" i="20" s="1"/>
  <c r="Y32" i="20" s="1"/>
  <c r="AL30" i="20"/>
  <c r="AT30" i="20" s="1"/>
  <c r="AX30" i="20" s="1"/>
  <c r="U30" i="20" s="1"/>
  <c r="W30" i="20" s="1"/>
  <c r="Y30" i="20" s="1"/>
  <c r="AA44" i="4"/>
  <c r="N44" i="4"/>
  <c r="AJ11" i="14" s="1"/>
  <c r="X44" i="4"/>
  <c r="H44" i="4"/>
  <c r="Y44" i="4"/>
  <c r="O44" i="4"/>
  <c r="AJ13" i="14" s="1"/>
  <c r="Z44" i="4"/>
  <c r="P44" i="4"/>
  <c r="AJ14" i="14" s="1"/>
  <c r="AT29" i="20" l="1"/>
  <c r="AX29" i="20" s="1"/>
  <c r="U29" i="20" s="1"/>
  <c r="W29" i="20" s="1"/>
  <c r="Y29" i="20" s="1"/>
  <c r="AB58" i="19"/>
  <c r="AH31" i="19"/>
  <c r="AL31" i="19" s="1"/>
  <c r="AL30" i="19"/>
  <c r="AF35" i="20"/>
  <c r="AL34" i="20"/>
  <c r="BF28" i="20"/>
  <c r="AL28" i="20"/>
  <c r="BD35" i="20"/>
  <c r="BF34" i="20"/>
  <c r="AT33" i="20"/>
  <c r="AX33" i="20" s="1"/>
  <c r="U33" i="20" s="1"/>
  <c r="W33" i="20" s="1"/>
  <c r="Y33" i="20" s="1"/>
  <c r="A5" i="18"/>
  <c r="A3" i="18"/>
  <c r="A2" i="18"/>
  <c r="A1" i="18"/>
  <c r="A3" i="14"/>
  <c r="A2" i="14"/>
  <c r="A1" i="14"/>
  <c r="M12" i="18"/>
  <c r="K12" i="18"/>
  <c r="I12" i="18"/>
  <c r="G12" i="18"/>
  <c r="E12" i="18"/>
  <c r="M28" i="14"/>
  <c r="K28" i="14"/>
  <c r="W26" i="14"/>
  <c r="U26" i="14"/>
  <c r="S26" i="14"/>
  <c r="Q26" i="14"/>
  <c r="O26" i="14"/>
  <c r="M26" i="14"/>
  <c r="K26" i="14"/>
  <c r="G17" i="4"/>
  <c r="AB59" i="19" l="1"/>
  <c r="AT34" i="20"/>
  <c r="AX34" i="20" s="1"/>
  <c r="U34" i="20" s="1"/>
  <c r="W34" i="20" s="1"/>
  <c r="Y34" i="20" s="1"/>
  <c r="AT28" i="20"/>
  <c r="BD36" i="20"/>
  <c r="BF35" i="20"/>
  <c r="AF36" i="20"/>
  <c r="AL35" i="20"/>
  <c r="C28" i="14"/>
  <c r="F17" i="4"/>
  <c r="AH28" i="9"/>
  <c r="W26" i="9"/>
  <c r="U26" i="9"/>
  <c r="S26" i="9"/>
  <c r="Q26" i="9"/>
  <c r="O26" i="9"/>
  <c r="M26" i="9"/>
  <c r="K26" i="9"/>
  <c r="G19" i="9"/>
  <c r="M28" i="9"/>
  <c r="BD28" i="9"/>
  <c r="K28" i="9"/>
  <c r="AR28" i="9"/>
  <c r="AF28" i="9"/>
  <c r="BB28" i="9"/>
  <c r="AJ28" i="9"/>
  <c r="C28" i="9"/>
  <c r="I28" i="9"/>
  <c r="AF11" i="9"/>
  <c r="BD11" i="9" s="1"/>
  <c r="K28" i="8"/>
  <c r="C28" i="8"/>
  <c r="W26" i="8"/>
  <c r="U26" i="8"/>
  <c r="S26" i="8"/>
  <c r="Q26" i="8"/>
  <c r="O26" i="8"/>
  <c r="M26" i="8"/>
  <c r="K26" i="8"/>
  <c r="G19" i="8"/>
  <c r="M28" i="8"/>
  <c r="C54" i="8"/>
  <c r="I28" i="8"/>
  <c r="K28" i="7"/>
  <c r="C28" i="7"/>
  <c r="W26" i="7"/>
  <c r="U26" i="7"/>
  <c r="S26" i="7"/>
  <c r="Q26" i="7"/>
  <c r="O26" i="7"/>
  <c r="M26" i="7"/>
  <c r="K26" i="7"/>
  <c r="G19" i="7"/>
  <c r="M28" i="7"/>
  <c r="I28" i="7"/>
  <c r="AF11" i="7"/>
  <c r="BD11" i="7" s="1"/>
  <c r="C28" i="6"/>
  <c r="W26" i="6"/>
  <c r="U26" i="6"/>
  <c r="S26" i="6"/>
  <c r="Q26" i="6"/>
  <c r="O26" i="6"/>
  <c r="M26" i="6"/>
  <c r="K26" i="6"/>
  <c r="G19" i="6"/>
  <c r="X383" i="5"/>
  <c r="W383" i="5"/>
  <c r="X382" i="5"/>
  <c r="W382" i="5"/>
  <c r="X381" i="5"/>
  <c r="W381" i="5"/>
  <c r="X380" i="5"/>
  <c r="W380" i="5"/>
  <c r="X379" i="5"/>
  <c r="W379" i="5"/>
  <c r="X378" i="5"/>
  <c r="W378" i="5"/>
  <c r="X377" i="5"/>
  <c r="W377" i="5"/>
  <c r="X376" i="5"/>
  <c r="W376" i="5"/>
  <c r="X375" i="5"/>
  <c r="W375" i="5"/>
  <c r="X374" i="5"/>
  <c r="W374" i="5"/>
  <c r="X373" i="5"/>
  <c r="W373" i="5"/>
  <c r="X372" i="5"/>
  <c r="W372" i="5"/>
  <c r="X371" i="5"/>
  <c r="W371" i="5"/>
  <c r="X370" i="5"/>
  <c r="W370" i="5"/>
  <c r="X369" i="5"/>
  <c r="W369" i="5"/>
  <c r="X368" i="5"/>
  <c r="W368" i="5"/>
  <c r="X367" i="5"/>
  <c r="W367" i="5"/>
  <c r="X366" i="5"/>
  <c r="W366" i="5"/>
  <c r="X365" i="5"/>
  <c r="W365" i="5"/>
  <c r="X364" i="5"/>
  <c r="W364" i="5"/>
  <c r="X363" i="5"/>
  <c r="W363" i="5"/>
  <c r="X362" i="5"/>
  <c r="W362" i="5"/>
  <c r="X361" i="5"/>
  <c r="W361" i="5"/>
  <c r="X360" i="5"/>
  <c r="W360" i="5"/>
  <c r="X359" i="5"/>
  <c r="W359" i="5"/>
  <c r="X358" i="5"/>
  <c r="W358" i="5"/>
  <c r="X357" i="5"/>
  <c r="W357" i="5"/>
  <c r="X356" i="5"/>
  <c r="W356" i="5"/>
  <c r="X355" i="5"/>
  <c r="W355" i="5"/>
  <c r="X354" i="5"/>
  <c r="W354" i="5"/>
  <c r="X353" i="5"/>
  <c r="W353" i="5"/>
  <c r="X352" i="5"/>
  <c r="W352" i="5"/>
  <c r="X351" i="5"/>
  <c r="W351" i="5"/>
  <c r="X350" i="5"/>
  <c r="W350" i="5"/>
  <c r="X349" i="5"/>
  <c r="W349" i="5"/>
  <c r="X348" i="5"/>
  <c r="W348" i="5"/>
  <c r="X347" i="5"/>
  <c r="W347" i="5"/>
  <c r="X346" i="5"/>
  <c r="W346" i="5"/>
  <c r="X345" i="5"/>
  <c r="W345" i="5"/>
  <c r="X344" i="5"/>
  <c r="W344" i="5"/>
  <c r="X343" i="5"/>
  <c r="W343" i="5"/>
  <c r="X342" i="5"/>
  <c r="W342" i="5"/>
  <c r="X341" i="5"/>
  <c r="W341" i="5"/>
  <c r="X340" i="5"/>
  <c r="W340" i="5"/>
  <c r="X339" i="5"/>
  <c r="W339" i="5"/>
  <c r="X338" i="5"/>
  <c r="W338" i="5"/>
  <c r="X337" i="5"/>
  <c r="W337" i="5"/>
  <c r="X336" i="5"/>
  <c r="W336" i="5"/>
  <c r="X335" i="5"/>
  <c r="W335" i="5"/>
  <c r="X334" i="5"/>
  <c r="W334" i="5"/>
  <c r="X333" i="5"/>
  <c r="W333" i="5"/>
  <c r="X332" i="5"/>
  <c r="W332" i="5"/>
  <c r="X331" i="5"/>
  <c r="W331" i="5"/>
  <c r="X330" i="5"/>
  <c r="W330" i="5"/>
  <c r="X329" i="5"/>
  <c r="W329" i="5"/>
  <c r="X328" i="5"/>
  <c r="W328" i="5"/>
  <c r="X327" i="5"/>
  <c r="W327" i="5"/>
  <c r="X326" i="5"/>
  <c r="W326" i="5"/>
  <c r="X325" i="5"/>
  <c r="W325" i="5"/>
  <c r="X324" i="5"/>
  <c r="W324" i="5"/>
  <c r="X323" i="5"/>
  <c r="W323" i="5"/>
  <c r="X322" i="5"/>
  <c r="W322" i="5"/>
  <c r="X321" i="5"/>
  <c r="W321" i="5"/>
  <c r="X320" i="5"/>
  <c r="W320" i="5"/>
  <c r="X319" i="5"/>
  <c r="W319" i="5"/>
  <c r="X318" i="5"/>
  <c r="W318" i="5"/>
  <c r="X317" i="5"/>
  <c r="W317" i="5"/>
  <c r="X316" i="5"/>
  <c r="W316" i="5"/>
  <c r="X315" i="5"/>
  <c r="W315" i="5"/>
  <c r="X314" i="5"/>
  <c r="W314" i="5"/>
  <c r="X313" i="5"/>
  <c r="W313" i="5"/>
  <c r="X312" i="5"/>
  <c r="W312" i="5"/>
  <c r="X311" i="5"/>
  <c r="W311" i="5"/>
  <c r="X310" i="5"/>
  <c r="W310" i="5"/>
  <c r="X309" i="5"/>
  <c r="W309" i="5"/>
  <c r="X308" i="5"/>
  <c r="W308" i="5"/>
  <c r="X307" i="5"/>
  <c r="W307" i="5"/>
  <c r="X306" i="5"/>
  <c r="W306" i="5"/>
  <c r="X305" i="5"/>
  <c r="W305" i="5"/>
  <c r="X304" i="5"/>
  <c r="W304" i="5"/>
  <c r="X303" i="5"/>
  <c r="W303" i="5"/>
  <c r="X302" i="5"/>
  <c r="W302" i="5"/>
  <c r="X301" i="5"/>
  <c r="W301" i="5"/>
  <c r="X300" i="5"/>
  <c r="W300" i="5"/>
  <c r="X299" i="5"/>
  <c r="W299" i="5"/>
  <c r="X298" i="5"/>
  <c r="W298" i="5"/>
  <c r="X297" i="5"/>
  <c r="W297" i="5"/>
  <c r="X296" i="5"/>
  <c r="W296" i="5"/>
  <c r="X295" i="5"/>
  <c r="W295" i="5"/>
  <c r="X294" i="5"/>
  <c r="W294" i="5"/>
  <c r="X293" i="5"/>
  <c r="W293" i="5"/>
  <c r="X292" i="5"/>
  <c r="W292" i="5"/>
  <c r="X291" i="5"/>
  <c r="W291" i="5"/>
  <c r="X290" i="5"/>
  <c r="W290" i="5"/>
  <c r="X289" i="5"/>
  <c r="W289" i="5"/>
  <c r="X288" i="5"/>
  <c r="W288" i="5"/>
  <c r="X287" i="5"/>
  <c r="W287" i="5"/>
  <c r="X286" i="5"/>
  <c r="W286" i="5"/>
  <c r="X285" i="5"/>
  <c r="W285" i="5"/>
  <c r="X284" i="5"/>
  <c r="W284" i="5"/>
  <c r="X283" i="5"/>
  <c r="W283" i="5"/>
  <c r="X282" i="5"/>
  <c r="W282" i="5"/>
  <c r="X281" i="5"/>
  <c r="W281" i="5"/>
  <c r="X280" i="5"/>
  <c r="W280" i="5"/>
  <c r="X279" i="5"/>
  <c r="W279" i="5"/>
  <c r="X278" i="5"/>
  <c r="W278" i="5"/>
  <c r="X277" i="5"/>
  <c r="W277" i="5"/>
  <c r="X276" i="5"/>
  <c r="W276" i="5"/>
  <c r="X275" i="5"/>
  <c r="W275" i="5"/>
  <c r="X274" i="5"/>
  <c r="W274" i="5"/>
  <c r="X273" i="5"/>
  <c r="W273" i="5"/>
  <c r="X272" i="5"/>
  <c r="W272" i="5"/>
  <c r="X271" i="5"/>
  <c r="W271" i="5"/>
  <c r="X270" i="5"/>
  <c r="W270" i="5"/>
  <c r="X269" i="5"/>
  <c r="W269" i="5"/>
  <c r="X268" i="5"/>
  <c r="W268" i="5"/>
  <c r="X267" i="5"/>
  <c r="W267" i="5"/>
  <c r="X266" i="5"/>
  <c r="W266" i="5"/>
  <c r="X265" i="5"/>
  <c r="W265" i="5"/>
  <c r="X264" i="5"/>
  <c r="W264" i="5"/>
  <c r="X263" i="5"/>
  <c r="W263" i="5"/>
  <c r="X262" i="5"/>
  <c r="W262" i="5"/>
  <c r="X261" i="5"/>
  <c r="W261" i="5"/>
  <c r="X260" i="5"/>
  <c r="W260" i="5"/>
  <c r="X259" i="5"/>
  <c r="W259" i="5"/>
  <c r="X258" i="5"/>
  <c r="W258" i="5"/>
  <c r="X257" i="5"/>
  <c r="W257" i="5"/>
  <c r="X256" i="5"/>
  <c r="W256" i="5"/>
  <c r="X255" i="5"/>
  <c r="W255" i="5"/>
  <c r="X254" i="5"/>
  <c r="W254" i="5"/>
  <c r="X253" i="5"/>
  <c r="W253" i="5"/>
  <c r="X252" i="5"/>
  <c r="W252" i="5"/>
  <c r="X251" i="5"/>
  <c r="W251" i="5"/>
  <c r="X250" i="5"/>
  <c r="W250" i="5"/>
  <c r="X249" i="5"/>
  <c r="W249" i="5"/>
  <c r="X248" i="5"/>
  <c r="W248" i="5"/>
  <c r="X247" i="5"/>
  <c r="W247" i="5"/>
  <c r="X246" i="5"/>
  <c r="W246" i="5"/>
  <c r="X245" i="5"/>
  <c r="W245" i="5"/>
  <c r="X244" i="5"/>
  <c r="W244" i="5"/>
  <c r="X243" i="5"/>
  <c r="W243" i="5"/>
  <c r="X242" i="5"/>
  <c r="W242" i="5"/>
  <c r="X241" i="5"/>
  <c r="W241" i="5"/>
  <c r="X240" i="5"/>
  <c r="W240" i="5"/>
  <c r="X239" i="5"/>
  <c r="W239" i="5"/>
  <c r="X238" i="5"/>
  <c r="W238" i="5"/>
  <c r="X237" i="5"/>
  <c r="W237" i="5"/>
  <c r="X236" i="5"/>
  <c r="W236" i="5"/>
  <c r="X235" i="5"/>
  <c r="W235" i="5"/>
  <c r="X234" i="5"/>
  <c r="W234" i="5"/>
  <c r="X233" i="5"/>
  <c r="W233" i="5"/>
  <c r="X232" i="5"/>
  <c r="W232" i="5"/>
  <c r="X231" i="5"/>
  <c r="W231" i="5"/>
  <c r="X230" i="5"/>
  <c r="W230" i="5"/>
  <c r="X229" i="5"/>
  <c r="W229" i="5"/>
  <c r="X228" i="5"/>
  <c r="W228" i="5"/>
  <c r="X227" i="5"/>
  <c r="W227" i="5"/>
  <c r="X226" i="5"/>
  <c r="W226" i="5"/>
  <c r="X225" i="5"/>
  <c r="W225" i="5"/>
  <c r="X224" i="5"/>
  <c r="W224" i="5"/>
  <c r="X223" i="5"/>
  <c r="W223" i="5"/>
  <c r="X222" i="5"/>
  <c r="W222" i="5"/>
  <c r="X221" i="5"/>
  <c r="W221" i="5"/>
  <c r="X220" i="5"/>
  <c r="W220" i="5"/>
  <c r="X219" i="5"/>
  <c r="W219" i="5"/>
  <c r="X218" i="5"/>
  <c r="W218" i="5"/>
  <c r="X217" i="5"/>
  <c r="W217" i="5"/>
  <c r="X216" i="5"/>
  <c r="W216" i="5"/>
  <c r="X215" i="5"/>
  <c r="W215" i="5"/>
  <c r="X214" i="5"/>
  <c r="W214" i="5"/>
  <c r="X213" i="5"/>
  <c r="W213" i="5"/>
  <c r="X212" i="5"/>
  <c r="W212" i="5"/>
  <c r="X211" i="5"/>
  <c r="W211" i="5"/>
  <c r="X210" i="5"/>
  <c r="W210" i="5"/>
  <c r="X209" i="5"/>
  <c r="W209" i="5"/>
  <c r="X208" i="5"/>
  <c r="W208" i="5"/>
  <c r="X207" i="5"/>
  <c r="W207" i="5"/>
  <c r="X206" i="5"/>
  <c r="W206" i="5"/>
  <c r="X205" i="5"/>
  <c r="W205" i="5"/>
  <c r="X204" i="5"/>
  <c r="W204" i="5"/>
  <c r="X203" i="5"/>
  <c r="W203" i="5"/>
  <c r="X202" i="5"/>
  <c r="W202" i="5"/>
  <c r="X201" i="5"/>
  <c r="W201" i="5"/>
  <c r="X200" i="5"/>
  <c r="W200" i="5"/>
  <c r="X199" i="5"/>
  <c r="W199" i="5"/>
  <c r="X198" i="5"/>
  <c r="W198" i="5"/>
  <c r="X197" i="5"/>
  <c r="W197" i="5"/>
  <c r="X196" i="5"/>
  <c r="W196" i="5"/>
  <c r="X195" i="5"/>
  <c r="W195" i="5"/>
  <c r="X194" i="5"/>
  <c r="W194" i="5"/>
  <c r="X193" i="5"/>
  <c r="W193" i="5"/>
  <c r="X192" i="5"/>
  <c r="W192" i="5"/>
  <c r="X191" i="5"/>
  <c r="W191" i="5"/>
  <c r="X190" i="5"/>
  <c r="W190" i="5"/>
  <c r="X189" i="5"/>
  <c r="W189" i="5"/>
  <c r="X188" i="5"/>
  <c r="W188" i="5"/>
  <c r="X187" i="5"/>
  <c r="W187" i="5"/>
  <c r="X186" i="5"/>
  <c r="W186" i="5"/>
  <c r="X185" i="5"/>
  <c r="W185" i="5"/>
  <c r="X184" i="5"/>
  <c r="W184" i="5"/>
  <c r="X183" i="5"/>
  <c r="W183" i="5"/>
  <c r="X182" i="5"/>
  <c r="W182" i="5"/>
  <c r="X181" i="5"/>
  <c r="W181" i="5"/>
  <c r="X180" i="5"/>
  <c r="W180" i="5"/>
  <c r="X179" i="5"/>
  <c r="W179" i="5"/>
  <c r="X178" i="5"/>
  <c r="W178" i="5"/>
  <c r="X177" i="5"/>
  <c r="W177" i="5"/>
  <c r="X176" i="5"/>
  <c r="W176" i="5"/>
  <c r="X175" i="5"/>
  <c r="W175" i="5"/>
  <c r="X174" i="5"/>
  <c r="W174" i="5"/>
  <c r="X173" i="5"/>
  <c r="W173" i="5"/>
  <c r="X172" i="5"/>
  <c r="W172" i="5"/>
  <c r="X171" i="5"/>
  <c r="W171" i="5"/>
  <c r="X170" i="5"/>
  <c r="W170" i="5"/>
  <c r="X169" i="5"/>
  <c r="W169" i="5"/>
  <c r="X168" i="5"/>
  <c r="W168" i="5"/>
  <c r="X167" i="5"/>
  <c r="W167" i="5"/>
  <c r="X166" i="5"/>
  <c r="W166" i="5"/>
  <c r="X165" i="5"/>
  <c r="W165" i="5"/>
  <c r="X164" i="5"/>
  <c r="W164" i="5"/>
  <c r="X163" i="5"/>
  <c r="W163" i="5"/>
  <c r="X162" i="5"/>
  <c r="W162" i="5"/>
  <c r="X161" i="5"/>
  <c r="W161" i="5"/>
  <c r="X160" i="5"/>
  <c r="W160" i="5"/>
  <c r="X159" i="5"/>
  <c r="W159" i="5"/>
  <c r="X158" i="5"/>
  <c r="W158" i="5"/>
  <c r="X157" i="5"/>
  <c r="W157" i="5"/>
  <c r="X156" i="5"/>
  <c r="W156" i="5"/>
  <c r="X155" i="5"/>
  <c r="W155" i="5"/>
  <c r="X154" i="5"/>
  <c r="W154" i="5"/>
  <c r="X153" i="5"/>
  <c r="W153" i="5"/>
  <c r="X152" i="5"/>
  <c r="W152" i="5"/>
  <c r="X151" i="5"/>
  <c r="W151" i="5"/>
  <c r="X150" i="5"/>
  <c r="W150" i="5"/>
  <c r="X149" i="5"/>
  <c r="W149" i="5"/>
  <c r="X148" i="5"/>
  <c r="W148" i="5"/>
  <c r="X147" i="5"/>
  <c r="W147" i="5"/>
  <c r="X146" i="5"/>
  <c r="W146" i="5"/>
  <c r="X145" i="5"/>
  <c r="W145" i="5"/>
  <c r="X144" i="5"/>
  <c r="W144" i="5"/>
  <c r="X143" i="5"/>
  <c r="W143" i="5"/>
  <c r="X142" i="5"/>
  <c r="W142" i="5"/>
  <c r="X141" i="5"/>
  <c r="W141" i="5"/>
  <c r="X140" i="5"/>
  <c r="W140" i="5"/>
  <c r="X139" i="5"/>
  <c r="W139" i="5"/>
  <c r="X138" i="5"/>
  <c r="W138" i="5"/>
  <c r="X137" i="5"/>
  <c r="W137" i="5"/>
  <c r="X136" i="5"/>
  <c r="W136" i="5"/>
  <c r="X135" i="5"/>
  <c r="W135" i="5"/>
  <c r="X134" i="5"/>
  <c r="W134" i="5"/>
  <c r="X133" i="5"/>
  <c r="W133" i="5"/>
  <c r="X132" i="5"/>
  <c r="W132" i="5"/>
  <c r="X131" i="5"/>
  <c r="W131" i="5"/>
  <c r="X130" i="5"/>
  <c r="W130" i="5"/>
  <c r="X129" i="5"/>
  <c r="W129" i="5"/>
  <c r="X128" i="5"/>
  <c r="W128" i="5"/>
  <c r="X127" i="5"/>
  <c r="W127" i="5"/>
  <c r="X126" i="5"/>
  <c r="W126" i="5"/>
  <c r="X125" i="5"/>
  <c r="W125" i="5"/>
  <c r="X124" i="5"/>
  <c r="W124" i="5"/>
  <c r="X123" i="5"/>
  <c r="W123" i="5"/>
  <c r="X122" i="5"/>
  <c r="W122" i="5"/>
  <c r="X121" i="5"/>
  <c r="W121" i="5"/>
  <c r="X120" i="5"/>
  <c r="W120" i="5"/>
  <c r="X119" i="5"/>
  <c r="W119" i="5"/>
  <c r="X118" i="5"/>
  <c r="W118" i="5"/>
  <c r="X117" i="5"/>
  <c r="W117" i="5"/>
  <c r="X116" i="5"/>
  <c r="W116" i="5"/>
  <c r="X115" i="5"/>
  <c r="W115" i="5"/>
  <c r="X114" i="5"/>
  <c r="W114" i="5"/>
  <c r="X113" i="5"/>
  <c r="W113" i="5"/>
  <c r="X112" i="5"/>
  <c r="W112" i="5"/>
  <c r="X111" i="5"/>
  <c r="W111" i="5"/>
  <c r="X110" i="5"/>
  <c r="W110" i="5"/>
  <c r="X109" i="5"/>
  <c r="W109" i="5"/>
  <c r="X108" i="5"/>
  <c r="W108" i="5"/>
  <c r="X107" i="5"/>
  <c r="W107" i="5"/>
  <c r="X106" i="5"/>
  <c r="W106" i="5"/>
  <c r="X105" i="5"/>
  <c r="W105" i="5"/>
  <c r="X104" i="5"/>
  <c r="W104" i="5"/>
  <c r="X103" i="5"/>
  <c r="W103" i="5"/>
  <c r="X102" i="5"/>
  <c r="W102" i="5"/>
  <c r="X101" i="5"/>
  <c r="W101" i="5"/>
  <c r="X100" i="5"/>
  <c r="W100" i="5"/>
  <c r="X99" i="5"/>
  <c r="W99" i="5"/>
  <c r="X98" i="5"/>
  <c r="W98" i="5"/>
  <c r="X97" i="5"/>
  <c r="W97" i="5"/>
  <c r="X96" i="5"/>
  <c r="W96" i="5"/>
  <c r="X95" i="5"/>
  <c r="W95" i="5"/>
  <c r="X94" i="5"/>
  <c r="W94" i="5"/>
  <c r="X93" i="5"/>
  <c r="W93" i="5"/>
  <c r="X92" i="5"/>
  <c r="W92" i="5"/>
  <c r="X91" i="5"/>
  <c r="W91" i="5"/>
  <c r="X90" i="5"/>
  <c r="W90" i="5"/>
  <c r="X89" i="5"/>
  <c r="W89" i="5"/>
  <c r="X88" i="5"/>
  <c r="W88" i="5"/>
  <c r="X87" i="5"/>
  <c r="W87" i="5"/>
  <c r="X86" i="5"/>
  <c r="W86" i="5"/>
  <c r="X85" i="5"/>
  <c r="W85" i="5"/>
  <c r="X84" i="5"/>
  <c r="W84" i="5"/>
  <c r="X83" i="5"/>
  <c r="W83" i="5"/>
  <c r="X82" i="5"/>
  <c r="W82" i="5"/>
  <c r="X81" i="5"/>
  <c r="W81" i="5"/>
  <c r="X80" i="5"/>
  <c r="W80" i="5"/>
  <c r="X79" i="5"/>
  <c r="W79" i="5"/>
  <c r="X78" i="5"/>
  <c r="W78" i="5"/>
  <c r="X77" i="5"/>
  <c r="W77" i="5"/>
  <c r="X76" i="5"/>
  <c r="W76" i="5"/>
  <c r="X75" i="5"/>
  <c r="W75" i="5"/>
  <c r="X74" i="5"/>
  <c r="W74" i="5"/>
  <c r="X73" i="5"/>
  <c r="W73" i="5"/>
  <c r="X72" i="5"/>
  <c r="W72" i="5"/>
  <c r="X71" i="5"/>
  <c r="W71" i="5"/>
  <c r="X70" i="5"/>
  <c r="W70" i="5"/>
  <c r="X69" i="5"/>
  <c r="W69" i="5"/>
  <c r="X68" i="5"/>
  <c r="W68" i="5"/>
  <c r="X67" i="5"/>
  <c r="W67" i="5"/>
  <c r="X66" i="5"/>
  <c r="W66" i="5"/>
  <c r="X65" i="5"/>
  <c r="W65" i="5"/>
  <c r="X64" i="5"/>
  <c r="W64" i="5"/>
  <c r="X63" i="5"/>
  <c r="W63" i="5"/>
  <c r="X62" i="5"/>
  <c r="W62" i="5"/>
  <c r="X61" i="5"/>
  <c r="W61" i="5"/>
  <c r="X60" i="5"/>
  <c r="W60" i="5"/>
  <c r="X59" i="5"/>
  <c r="W59" i="5"/>
  <c r="X58" i="5"/>
  <c r="W58" i="5"/>
  <c r="X57" i="5"/>
  <c r="W57" i="5"/>
  <c r="X56" i="5"/>
  <c r="W56" i="5"/>
  <c r="X55" i="5"/>
  <c r="W55" i="5"/>
  <c r="X54" i="5"/>
  <c r="W54" i="5"/>
  <c r="X53" i="5"/>
  <c r="W53" i="5"/>
  <c r="X52" i="5"/>
  <c r="W52" i="5"/>
  <c r="X51" i="5"/>
  <c r="W51" i="5"/>
  <c r="X50" i="5"/>
  <c r="W50" i="5"/>
  <c r="X49" i="5"/>
  <c r="W49" i="5"/>
  <c r="X48" i="5"/>
  <c r="W48" i="5"/>
  <c r="X47" i="5"/>
  <c r="W47" i="5"/>
  <c r="X46" i="5"/>
  <c r="W46" i="5"/>
  <c r="X45" i="5"/>
  <c r="W45" i="5"/>
  <c r="X44" i="5"/>
  <c r="W44" i="5"/>
  <c r="X43" i="5"/>
  <c r="W43" i="5"/>
  <c r="X42" i="5"/>
  <c r="W42" i="5"/>
  <c r="X41" i="5"/>
  <c r="W41" i="5"/>
  <c r="X40" i="5"/>
  <c r="W40" i="5"/>
  <c r="X39" i="5"/>
  <c r="W39" i="5"/>
  <c r="X38" i="5"/>
  <c r="W38" i="5"/>
  <c r="X37" i="5"/>
  <c r="W37" i="5"/>
  <c r="X36" i="5"/>
  <c r="W36" i="5"/>
  <c r="X35" i="5"/>
  <c r="W35" i="5"/>
  <c r="X34" i="5"/>
  <c r="W34" i="5"/>
  <c r="X33" i="5"/>
  <c r="W33" i="5"/>
  <c r="X32" i="5"/>
  <c r="W32" i="5"/>
  <c r="X31" i="5"/>
  <c r="W31" i="5"/>
  <c r="X30" i="5"/>
  <c r="W30" i="5"/>
  <c r="X29" i="5"/>
  <c r="W29" i="5"/>
  <c r="T29" i="5"/>
  <c r="AD28" i="5"/>
  <c r="AC28" i="5"/>
  <c r="AC29" i="5" s="1"/>
  <c r="AC30" i="5" s="1"/>
  <c r="AB28" i="5"/>
  <c r="X28" i="5"/>
  <c r="W28" i="5"/>
  <c r="S16" i="5"/>
  <c r="AD27" i="5"/>
  <c r="AB27" i="5"/>
  <c r="X27" i="5"/>
  <c r="W27" i="5"/>
  <c r="T27" i="5"/>
  <c r="AD26" i="5"/>
  <c r="AB26" i="5"/>
  <c r="X26" i="5"/>
  <c r="W26" i="5"/>
  <c r="T26" i="5"/>
  <c r="AD25" i="5"/>
  <c r="AB25" i="5"/>
  <c r="X25" i="5"/>
  <c r="W25" i="5"/>
  <c r="T25" i="5"/>
  <c r="AD24" i="5"/>
  <c r="AB24" i="5"/>
  <c r="X24" i="5"/>
  <c r="W24" i="5"/>
  <c r="T24" i="5"/>
  <c r="AD23" i="5"/>
  <c r="AB23" i="5"/>
  <c r="X23" i="5"/>
  <c r="W23" i="5"/>
  <c r="T23" i="5"/>
  <c r="AB22" i="5"/>
  <c r="X22" i="5"/>
  <c r="W22" i="5"/>
  <c r="AB21" i="5"/>
  <c r="X21" i="5"/>
  <c r="W21" i="5"/>
  <c r="AB20" i="5"/>
  <c r="X20" i="5"/>
  <c r="W20" i="5"/>
  <c r="AB19" i="5"/>
  <c r="X19" i="5"/>
  <c r="W19" i="5"/>
  <c r="AB18" i="5"/>
  <c r="X18" i="5"/>
  <c r="W18" i="5"/>
  <c r="AB17" i="5"/>
  <c r="X17" i="5"/>
  <c r="W17" i="5"/>
  <c r="S17" i="5"/>
  <c r="AE16" i="5"/>
  <c r="AD16" i="5" s="1"/>
  <c r="AB16" i="5"/>
  <c r="X16" i="5"/>
  <c r="W16" i="5"/>
  <c r="Q16" i="5"/>
  <c r="Q17" i="5" s="1"/>
  <c r="C16" i="5"/>
  <c r="AE15" i="5"/>
  <c r="AD15" i="5"/>
  <c r="AB15" i="5"/>
  <c r="X15" i="5"/>
  <c r="W15" i="5"/>
  <c r="P15" i="5"/>
  <c r="S15" i="5"/>
  <c r="N32" i="4"/>
  <c r="BD29" i="19" s="1"/>
  <c r="J32" i="4"/>
  <c r="N30" i="4"/>
  <c r="I30" i="4"/>
  <c r="N29" i="4"/>
  <c r="I29" i="4"/>
  <c r="B28" i="4"/>
  <c r="AB60" i="19" l="1"/>
  <c r="BD30" i="19"/>
  <c r="BD31" i="19" s="1"/>
  <c r="I16" i="5"/>
  <c r="AN30" i="21" s="1"/>
  <c r="H16" i="5"/>
  <c r="AN36" i="20" s="1"/>
  <c r="AZ28" i="14"/>
  <c r="AZ29" i="14" s="1"/>
  <c r="AZ30" i="14" s="1"/>
  <c r="AZ31" i="14" s="1"/>
  <c r="AZ32" i="14" s="1"/>
  <c r="AZ33" i="14" s="1"/>
  <c r="AZ34" i="14" s="1"/>
  <c r="AZ35" i="14" s="1"/>
  <c r="AZ36" i="14" s="1"/>
  <c r="AZ37" i="14" s="1"/>
  <c r="AZ38" i="14" s="1"/>
  <c r="AZ39" i="14" s="1"/>
  <c r="AZ40" i="14" s="1"/>
  <c r="AZ41" i="14" s="1"/>
  <c r="AZ42" i="14" s="1"/>
  <c r="AZ43" i="14" s="1"/>
  <c r="AZ44" i="14" s="1"/>
  <c r="AZ45" i="14" s="1"/>
  <c r="AZ46" i="14" s="1"/>
  <c r="AZ47" i="14" s="1"/>
  <c r="AZ48" i="14" s="1"/>
  <c r="AZ49" i="14" s="1"/>
  <c r="AZ50" i="14" s="1"/>
  <c r="AZ51" i="14" s="1"/>
  <c r="AZ52" i="14" s="1"/>
  <c r="AZ53" i="14" s="1"/>
  <c r="AZ54" i="14" s="1"/>
  <c r="AZ55" i="14" s="1"/>
  <c r="AZ56" i="14" s="1"/>
  <c r="C29" i="14"/>
  <c r="AT35" i="20"/>
  <c r="AX35" i="20" s="1"/>
  <c r="U35" i="20" s="1"/>
  <c r="W35" i="20" s="1"/>
  <c r="Y35" i="20" s="1"/>
  <c r="BD37" i="20"/>
  <c r="BF36" i="20"/>
  <c r="AF37" i="20"/>
  <c r="AL36" i="20"/>
  <c r="AX28" i="20"/>
  <c r="AB28" i="14"/>
  <c r="BF28" i="19"/>
  <c r="BB29" i="19"/>
  <c r="P16" i="5"/>
  <c r="AB29" i="5"/>
  <c r="H31" i="4"/>
  <c r="O31" i="4"/>
  <c r="P31" i="4"/>
  <c r="N31" i="4"/>
  <c r="AJ16" i="14"/>
  <c r="C30" i="14"/>
  <c r="C54" i="7"/>
  <c r="C54" i="9"/>
  <c r="AF11" i="6"/>
  <c r="BD11" i="6" s="1"/>
  <c r="BF28" i="9"/>
  <c r="AZ28" i="9"/>
  <c r="AZ29" i="9" s="1"/>
  <c r="AZ30" i="9" s="1"/>
  <c r="AZ31" i="9" s="1"/>
  <c r="AZ32" i="9" s="1"/>
  <c r="AZ33" i="9" s="1"/>
  <c r="AZ34" i="9" s="1"/>
  <c r="AZ35" i="9" s="1"/>
  <c r="AZ36" i="9" s="1"/>
  <c r="AZ37" i="9" s="1"/>
  <c r="AZ38" i="9" s="1"/>
  <c r="AZ39" i="9" s="1"/>
  <c r="AZ40" i="9" s="1"/>
  <c r="AZ41" i="9" s="1"/>
  <c r="AZ42" i="9" s="1"/>
  <c r="AZ43" i="9" s="1"/>
  <c r="AZ44" i="9" s="1"/>
  <c r="AZ45" i="9" s="1"/>
  <c r="AZ46" i="9" s="1"/>
  <c r="AZ47" i="9" s="1"/>
  <c r="AZ48" i="9" s="1"/>
  <c r="AZ49" i="9" s="1"/>
  <c r="AZ50" i="9" s="1"/>
  <c r="AZ51" i="9" s="1"/>
  <c r="AZ52" i="9" s="1"/>
  <c r="AB28" i="9"/>
  <c r="C29" i="9"/>
  <c r="AF11" i="8"/>
  <c r="BD11" i="8" s="1"/>
  <c r="BF28" i="8" s="1"/>
  <c r="AB28" i="8"/>
  <c r="C29" i="8"/>
  <c r="AZ28" i="8"/>
  <c r="AZ29" i="8" s="1"/>
  <c r="AZ30" i="8" s="1"/>
  <c r="AZ31" i="8" s="1"/>
  <c r="AZ32" i="8" s="1"/>
  <c r="AZ33" i="8" s="1"/>
  <c r="AZ34" i="8" s="1"/>
  <c r="AZ35" i="8" s="1"/>
  <c r="AZ36" i="8" s="1"/>
  <c r="AZ37" i="8" s="1"/>
  <c r="AZ38" i="8" s="1"/>
  <c r="AZ39" i="8" s="1"/>
  <c r="AZ40" i="8" s="1"/>
  <c r="AZ41" i="8" s="1"/>
  <c r="AZ42" i="8" s="1"/>
  <c r="AZ43" i="8" s="1"/>
  <c r="AZ44" i="8" s="1"/>
  <c r="AZ45" i="8" s="1"/>
  <c r="AZ46" i="8" s="1"/>
  <c r="AZ47" i="8" s="1"/>
  <c r="AZ48" i="8" s="1"/>
  <c r="AZ49" i="8" s="1"/>
  <c r="AZ50" i="8" s="1"/>
  <c r="AZ51" i="8" s="1"/>
  <c r="AZ52" i="8" s="1"/>
  <c r="BF28" i="7"/>
  <c r="AB28" i="7"/>
  <c r="C29" i="7"/>
  <c r="AZ28" i="7"/>
  <c r="AZ29" i="7" s="1"/>
  <c r="AZ30" i="7" s="1"/>
  <c r="AZ31" i="7" s="1"/>
  <c r="AZ32" i="7" s="1"/>
  <c r="AZ33" i="7" s="1"/>
  <c r="AZ34" i="7" s="1"/>
  <c r="AZ35" i="7" s="1"/>
  <c r="AZ36" i="7" s="1"/>
  <c r="AZ37" i="7" s="1"/>
  <c r="AZ38" i="7" s="1"/>
  <c r="AZ39" i="7" s="1"/>
  <c r="AZ40" i="7" s="1"/>
  <c r="AZ41" i="7" s="1"/>
  <c r="AZ42" i="7" s="1"/>
  <c r="AZ43" i="7" s="1"/>
  <c r="AZ44" i="7" s="1"/>
  <c r="AZ45" i="7" s="1"/>
  <c r="AZ46" i="7" s="1"/>
  <c r="AZ47" i="7" s="1"/>
  <c r="AZ48" i="7" s="1"/>
  <c r="AZ49" i="7" s="1"/>
  <c r="AZ50" i="7" s="1"/>
  <c r="AZ51" i="7" s="1"/>
  <c r="AZ52" i="7" s="1"/>
  <c r="C54" i="6"/>
  <c r="BF28" i="6"/>
  <c r="AZ28" i="6"/>
  <c r="AZ29" i="6" s="1"/>
  <c r="AZ30" i="6" s="1"/>
  <c r="AZ31" i="6" s="1"/>
  <c r="AZ32" i="6" s="1"/>
  <c r="AZ33" i="6" s="1"/>
  <c r="AZ34" i="6" s="1"/>
  <c r="AZ35" i="6" s="1"/>
  <c r="AZ36" i="6" s="1"/>
  <c r="AZ37" i="6" s="1"/>
  <c r="AZ38" i="6" s="1"/>
  <c r="AZ39" i="6" s="1"/>
  <c r="AZ40" i="6" s="1"/>
  <c r="AZ41" i="6" s="1"/>
  <c r="AZ42" i="6" s="1"/>
  <c r="AZ43" i="6" s="1"/>
  <c r="AZ44" i="6" s="1"/>
  <c r="AZ45" i="6" s="1"/>
  <c r="AZ46" i="6" s="1"/>
  <c r="AZ47" i="6" s="1"/>
  <c r="AZ48" i="6" s="1"/>
  <c r="AZ49" i="6" s="1"/>
  <c r="AZ50" i="6" s="1"/>
  <c r="AZ51" i="6" s="1"/>
  <c r="AZ52" i="6" s="1"/>
  <c r="K28" i="6"/>
  <c r="AB28" i="6"/>
  <c r="C29" i="6"/>
  <c r="AD28" i="6"/>
  <c r="AL28" i="6" s="1"/>
  <c r="Q18" i="5"/>
  <c r="P17" i="5"/>
  <c r="T28" i="5"/>
  <c r="AC31" i="5"/>
  <c r="S18" i="5"/>
  <c r="AB30" i="5"/>
  <c r="R15" i="5"/>
  <c r="R16" i="5"/>
  <c r="T16" i="5" s="1"/>
  <c r="C17" i="5"/>
  <c r="R17" i="5"/>
  <c r="T17" i="5" s="1"/>
  <c r="AP30" i="21" l="1"/>
  <c r="AP36" i="20"/>
  <c r="AB61" i="19"/>
  <c r="J17" i="5"/>
  <c r="I17" i="5"/>
  <c r="H17" i="5"/>
  <c r="AN32" i="19"/>
  <c r="AN31" i="21"/>
  <c r="AP31" i="21" s="1"/>
  <c r="AV31" i="21" s="1"/>
  <c r="AX31" i="21" s="1"/>
  <c r="U31" i="21" s="1"/>
  <c r="W31" i="21" s="1"/>
  <c r="Y31" i="21" s="1"/>
  <c r="AT28" i="6"/>
  <c r="AT28" i="19"/>
  <c r="AB29" i="14"/>
  <c r="U28" i="20"/>
  <c r="AT36" i="20"/>
  <c r="AF38" i="20"/>
  <c r="AL37" i="20"/>
  <c r="BD38" i="20"/>
  <c r="BF37" i="20"/>
  <c r="BF29" i="19"/>
  <c r="AT29" i="19" s="1"/>
  <c r="BB30" i="19"/>
  <c r="K32" i="19"/>
  <c r="AH32" i="19"/>
  <c r="AR32" i="19"/>
  <c r="M32" i="19"/>
  <c r="BD32" i="19"/>
  <c r="AJ32" i="19"/>
  <c r="I32" i="19"/>
  <c r="AF32" i="19"/>
  <c r="AJ15" i="14"/>
  <c r="C31" i="14"/>
  <c r="C30" i="9"/>
  <c r="AB29" i="9"/>
  <c r="AD29" i="8"/>
  <c r="C30" i="8"/>
  <c r="AB29" i="8"/>
  <c r="AD29" i="7"/>
  <c r="C30" i="7"/>
  <c r="AB29" i="7"/>
  <c r="AB29" i="6"/>
  <c r="M28" i="6"/>
  <c r="C30" i="6"/>
  <c r="I28" i="6"/>
  <c r="C18" i="5"/>
  <c r="M17" i="5"/>
  <c r="T30" i="5"/>
  <c r="R18" i="5"/>
  <c r="AE17" i="5"/>
  <c r="AD17" i="5" s="1"/>
  <c r="AD29" i="5"/>
  <c r="T15" i="5"/>
  <c r="AD30" i="5"/>
  <c r="AE18" i="5"/>
  <c r="AD18" i="5" s="1"/>
  <c r="AC32" i="5"/>
  <c r="S19" i="5"/>
  <c r="AB31" i="5"/>
  <c r="P18" i="5"/>
  <c r="Q19" i="5"/>
  <c r="J18" i="5" l="1"/>
  <c r="AN28" i="14" s="1"/>
  <c r="I18" i="5"/>
  <c r="H18" i="5"/>
  <c r="AN34" i="19" s="1"/>
  <c r="AN32" i="21"/>
  <c r="AP32" i="21" s="1"/>
  <c r="AV32" i="21" s="1"/>
  <c r="AX32" i="21" s="1"/>
  <c r="U32" i="21" s="1"/>
  <c r="W32" i="21" s="1"/>
  <c r="Y32" i="21" s="1"/>
  <c r="AV36" i="20"/>
  <c r="AB30" i="14"/>
  <c r="E28" i="14"/>
  <c r="AN37" i="20"/>
  <c r="AN33" i="19"/>
  <c r="AP33" i="19" s="1"/>
  <c r="AB62" i="19"/>
  <c r="AR28" i="14"/>
  <c r="E29" i="14"/>
  <c r="AV30" i="21"/>
  <c r="AT37" i="20"/>
  <c r="AF39" i="20"/>
  <c r="AL38" i="20"/>
  <c r="W28" i="20"/>
  <c r="BD39" i="20"/>
  <c r="BF38" i="20"/>
  <c r="AJ33" i="19"/>
  <c r="AJ34" i="19" s="1"/>
  <c r="AH33" i="19"/>
  <c r="AH34" i="19" s="1"/>
  <c r="I33" i="19"/>
  <c r="AR33" i="19"/>
  <c r="BF30" i="19"/>
  <c r="BB31" i="19"/>
  <c r="AF33" i="19"/>
  <c r="AL32" i="19"/>
  <c r="BD33" i="19"/>
  <c r="BD34" i="19" s="1"/>
  <c r="K33" i="19"/>
  <c r="K34" i="19" s="1"/>
  <c r="I34" i="19"/>
  <c r="AR34" i="19"/>
  <c r="M33" i="19"/>
  <c r="M34" i="19" s="1"/>
  <c r="AB31" i="14"/>
  <c r="C32" i="14"/>
  <c r="AH29" i="9"/>
  <c r="K29" i="9"/>
  <c r="AR29" i="9"/>
  <c r="I29" i="9"/>
  <c r="AJ29" i="9"/>
  <c r="BD29" i="9"/>
  <c r="BB29" i="9"/>
  <c r="M29" i="9"/>
  <c r="AF29" i="9"/>
  <c r="AB30" i="9"/>
  <c r="AD30" i="9"/>
  <c r="C31" i="9"/>
  <c r="G28" i="9"/>
  <c r="AD29" i="9"/>
  <c r="AB30" i="8"/>
  <c r="BB29" i="8"/>
  <c r="BD29" i="8"/>
  <c r="I29" i="8"/>
  <c r="M29" i="8"/>
  <c r="AH29" i="8"/>
  <c r="K29" i="8"/>
  <c r="AR29" i="8"/>
  <c r="AJ29" i="8"/>
  <c r="AF29" i="8"/>
  <c r="AD30" i="8"/>
  <c r="C31" i="8"/>
  <c r="AB30" i="7"/>
  <c r="AH29" i="7"/>
  <c r="AR29" i="7"/>
  <c r="BB29" i="7"/>
  <c r="M29" i="7"/>
  <c r="AF29" i="7"/>
  <c r="I29" i="7"/>
  <c r="AJ29" i="7"/>
  <c r="K29" i="7"/>
  <c r="BD29" i="7"/>
  <c r="C31" i="7"/>
  <c r="AB30" i="6"/>
  <c r="AD30" i="6"/>
  <c r="C31" i="6"/>
  <c r="M29" i="6"/>
  <c r="S28" i="6"/>
  <c r="I29" i="6"/>
  <c r="AH29" i="6"/>
  <c r="AR29" i="6"/>
  <c r="AJ29" i="6"/>
  <c r="BB29" i="6"/>
  <c r="AF29" i="6"/>
  <c r="BD29" i="6"/>
  <c r="K29" i="6"/>
  <c r="AD29" i="6"/>
  <c r="T18" i="5"/>
  <c r="C19" i="5"/>
  <c r="M18" i="5"/>
  <c r="AD31" i="5"/>
  <c r="AE19" i="5"/>
  <c r="AD19" i="5" s="1"/>
  <c r="AC33" i="5"/>
  <c r="S20" i="5"/>
  <c r="AB32" i="5"/>
  <c r="P19" i="5"/>
  <c r="Q20" i="5"/>
  <c r="T31" i="5"/>
  <c r="R19" i="5"/>
  <c r="T19" i="5" s="1"/>
  <c r="AX30" i="21" l="1"/>
  <c r="AN38" i="20"/>
  <c r="AP38" i="20" s="1"/>
  <c r="AV38" i="20" s="1"/>
  <c r="AP37" i="20"/>
  <c r="AX36" i="20"/>
  <c r="AH28" i="14"/>
  <c r="BD28" i="14"/>
  <c r="AJ28" i="14"/>
  <c r="AF28" i="14"/>
  <c r="BB28" i="14"/>
  <c r="AV33" i="19"/>
  <c r="J19" i="5"/>
  <c r="AN29" i="14" s="1"/>
  <c r="AP29" i="14" s="1"/>
  <c r="I19" i="5"/>
  <c r="AN33" i="21" s="1"/>
  <c r="AP33" i="21" s="1"/>
  <c r="AV33" i="21" s="1"/>
  <c r="AX33" i="21" s="1"/>
  <c r="U33" i="21" s="1"/>
  <c r="W33" i="21" s="1"/>
  <c r="Y33" i="21" s="1"/>
  <c r="H19" i="5"/>
  <c r="AN39" i="20"/>
  <c r="AP39" i="20" s="1"/>
  <c r="AV39" i="20" s="1"/>
  <c r="AF14" i="14"/>
  <c r="AT30" i="19"/>
  <c r="AN35" i="19"/>
  <c r="AT38" i="20"/>
  <c r="AX38" i="20" s="1"/>
  <c r="U38" i="20" s="1"/>
  <c r="W38" i="20" s="1"/>
  <c r="Y38" i="20" s="1"/>
  <c r="BD40" i="20"/>
  <c r="BF39" i="20"/>
  <c r="Y28" i="20"/>
  <c r="AF40" i="20"/>
  <c r="AL39" i="20"/>
  <c r="U36" i="20"/>
  <c r="AP28" i="14"/>
  <c r="BF31" i="19"/>
  <c r="AT31" i="19" s="1"/>
  <c r="BB32" i="19"/>
  <c r="AF34" i="19"/>
  <c r="AL33" i="19"/>
  <c r="K35" i="19"/>
  <c r="C33" i="14"/>
  <c r="AB32" i="14"/>
  <c r="M30" i="6"/>
  <c r="M30" i="9"/>
  <c r="S29" i="9"/>
  <c r="I30" i="9"/>
  <c r="AD28" i="9"/>
  <c r="S28" i="9"/>
  <c r="AD31" i="9"/>
  <c r="C32" i="9"/>
  <c r="AB31" i="9"/>
  <c r="BB30" i="9"/>
  <c r="BF29" i="9"/>
  <c r="AR30" i="9"/>
  <c r="BD30" i="9"/>
  <c r="BD31" i="9" s="1"/>
  <c r="K30" i="9"/>
  <c r="AF30" i="9"/>
  <c r="AL29" i="9"/>
  <c r="AJ30" i="9"/>
  <c r="AH30" i="9"/>
  <c r="AJ30" i="8"/>
  <c r="M30" i="8"/>
  <c r="M31" i="8" s="1"/>
  <c r="AR30" i="8"/>
  <c r="S29" i="8"/>
  <c r="I30" i="8"/>
  <c r="K30" i="8"/>
  <c r="K31" i="8" s="1"/>
  <c r="BD30" i="8"/>
  <c r="AB31" i="8"/>
  <c r="AD31" i="8"/>
  <c r="C32" i="8"/>
  <c r="AF30" i="8"/>
  <c r="AL29" i="8"/>
  <c r="AT29" i="8" s="1"/>
  <c r="AH30" i="8"/>
  <c r="AH31" i="8" s="1"/>
  <c r="BB30" i="8"/>
  <c r="BF29" i="8"/>
  <c r="BD30" i="7"/>
  <c r="C32" i="7"/>
  <c r="AD31" i="7"/>
  <c r="AJ30" i="7"/>
  <c r="BB30" i="7"/>
  <c r="BF29" i="7"/>
  <c r="AB31" i="7"/>
  <c r="AD30" i="7"/>
  <c r="G28" i="7"/>
  <c r="AL29" i="7"/>
  <c r="AF30" i="7"/>
  <c r="AH30" i="7"/>
  <c r="K30" i="7"/>
  <c r="M30" i="7"/>
  <c r="I30" i="7"/>
  <c r="S29" i="7"/>
  <c r="AR30" i="7"/>
  <c r="BD30" i="6"/>
  <c r="AR30" i="6"/>
  <c r="BB30" i="6"/>
  <c r="BF29" i="6"/>
  <c r="AB31" i="6"/>
  <c r="K30" i="6"/>
  <c r="AJ30" i="6"/>
  <c r="S29" i="6"/>
  <c r="I30" i="6"/>
  <c r="AD31" i="6"/>
  <c r="M31" i="6"/>
  <c r="C32" i="6"/>
  <c r="AF30" i="6"/>
  <c r="AL29" i="6"/>
  <c r="AH30" i="6"/>
  <c r="C20" i="5"/>
  <c r="M19" i="5"/>
  <c r="T32" i="5"/>
  <c r="R20" i="5"/>
  <c r="T20" i="5" s="1"/>
  <c r="AC34" i="5"/>
  <c r="S21" i="5"/>
  <c r="AB33" i="5"/>
  <c r="P20" i="5"/>
  <c r="Q21" i="5"/>
  <c r="AD32" i="5"/>
  <c r="AE20" i="5"/>
  <c r="AD20" i="5" s="1"/>
  <c r="I20" i="5" l="1"/>
  <c r="AN34" i="21" s="1"/>
  <c r="AP34" i="21" s="1"/>
  <c r="AV34" i="21" s="1"/>
  <c r="AX34" i="21" s="1"/>
  <c r="U34" i="21" s="1"/>
  <c r="W34" i="21" s="1"/>
  <c r="Y34" i="21" s="1"/>
  <c r="J20" i="5"/>
  <c r="AN30" i="14" s="1"/>
  <c r="AP30" i="14" s="1"/>
  <c r="H20" i="5"/>
  <c r="E30" i="14"/>
  <c r="AN40" i="20"/>
  <c r="AP40" i="20" s="1"/>
  <c r="AV40" i="20" s="1"/>
  <c r="AT29" i="9"/>
  <c r="AV37" i="20"/>
  <c r="U30" i="21"/>
  <c r="W36" i="20"/>
  <c r="AT39" i="20"/>
  <c r="AF41" i="20"/>
  <c r="AL40" i="20"/>
  <c r="BD41" i="20"/>
  <c r="BF40" i="20"/>
  <c r="I35" i="19"/>
  <c r="M35" i="19"/>
  <c r="BB33" i="19"/>
  <c r="BF32" i="19"/>
  <c r="AT32" i="19" s="1"/>
  <c r="K36" i="19"/>
  <c r="AJ35" i="19"/>
  <c r="AF35" i="19"/>
  <c r="AL34" i="19"/>
  <c r="AH35" i="19"/>
  <c r="BD35" i="19"/>
  <c r="AR35" i="19"/>
  <c r="M29" i="14"/>
  <c r="BB29" i="14"/>
  <c r="AF29" i="14"/>
  <c r="BD29" i="14"/>
  <c r="BD30" i="14" s="1"/>
  <c r="K29" i="14"/>
  <c r="AJ29" i="14"/>
  <c r="AR29" i="14"/>
  <c r="AH29" i="14"/>
  <c r="AH30" i="14" s="1"/>
  <c r="C34" i="14"/>
  <c r="AB33" i="14"/>
  <c r="M31" i="9"/>
  <c r="M32" i="9" s="1"/>
  <c r="AH31" i="9"/>
  <c r="AR31" i="9"/>
  <c r="AR32" i="9" s="1"/>
  <c r="BD31" i="8"/>
  <c r="AJ31" i="9"/>
  <c r="K31" i="9"/>
  <c r="K32" i="9" s="1"/>
  <c r="BD32" i="9"/>
  <c r="AL28" i="9"/>
  <c r="AF31" i="9"/>
  <c r="AL30" i="9"/>
  <c r="BB31" i="9"/>
  <c r="BF30" i="9"/>
  <c r="AD32" i="9"/>
  <c r="C33" i="9"/>
  <c r="AJ32" i="9"/>
  <c r="AB32" i="9"/>
  <c r="S30" i="9"/>
  <c r="I31" i="9"/>
  <c r="AH32" i="8"/>
  <c r="C33" i="8"/>
  <c r="S30" i="8"/>
  <c r="I31" i="8"/>
  <c r="AB32" i="8"/>
  <c r="AR31" i="8"/>
  <c r="AJ31" i="8"/>
  <c r="BB31" i="8"/>
  <c r="BF30" i="8"/>
  <c r="AR31" i="7"/>
  <c r="AF31" i="8"/>
  <c r="AL30" i="8"/>
  <c r="AR31" i="6"/>
  <c r="AL30" i="7"/>
  <c r="AF31" i="7"/>
  <c r="AJ31" i="6"/>
  <c r="BD31" i="6"/>
  <c r="AT29" i="7"/>
  <c r="AB32" i="7"/>
  <c r="BD31" i="7"/>
  <c r="M31" i="7"/>
  <c r="BB31" i="7"/>
  <c r="BF30" i="7"/>
  <c r="AH31" i="6"/>
  <c r="K31" i="6"/>
  <c r="S30" i="7"/>
  <c r="I31" i="7"/>
  <c r="K31" i="7"/>
  <c r="AH31" i="7"/>
  <c r="AD28" i="7"/>
  <c r="S28" i="7"/>
  <c r="AJ31" i="7"/>
  <c r="C33" i="7"/>
  <c r="AD32" i="7"/>
  <c r="AT29" i="6"/>
  <c r="C33" i="6"/>
  <c r="AF31" i="6"/>
  <c r="AL30" i="6"/>
  <c r="S30" i="6"/>
  <c r="I31" i="6"/>
  <c r="BB31" i="6"/>
  <c r="BF30" i="6"/>
  <c r="AB32" i="6"/>
  <c r="AC35" i="5"/>
  <c r="S22" i="5"/>
  <c r="AB34" i="5"/>
  <c r="C21" i="5"/>
  <c r="M20" i="5"/>
  <c r="AD33" i="5"/>
  <c r="AE21" i="5"/>
  <c r="AD21" i="5" s="1"/>
  <c r="Q22" i="5"/>
  <c r="P21" i="5"/>
  <c r="T33" i="5"/>
  <c r="R21" i="5"/>
  <c r="J21" i="5" l="1"/>
  <c r="AN31" i="14" s="1"/>
  <c r="AP31" i="14" s="1"/>
  <c r="I21" i="5"/>
  <c r="AN35" i="21" s="1"/>
  <c r="AP35" i="21" s="1"/>
  <c r="H21" i="5"/>
  <c r="AN41" i="20" s="1"/>
  <c r="AP41" i="20" s="1"/>
  <c r="AV41" i="20" s="1"/>
  <c r="AX37" i="20"/>
  <c r="U37" i="20" s="1"/>
  <c r="W37" i="20" s="1"/>
  <c r="Y37" i="20" s="1"/>
  <c r="AN37" i="19"/>
  <c r="E31" i="14"/>
  <c r="W30" i="21"/>
  <c r="BD42" i="20"/>
  <c r="BF41" i="20"/>
  <c r="AF42" i="20"/>
  <c r="AL41" i="20"/>
  <c r="Y36" i="20"/>
  <c r="AX39" i="20"/>
  <c r="AT40" i="20"/>
  <c r="AX40" i="20" s="1"/>
  <c r="U40" i="20" s="1"/>
  <c r="W40" i="20" s="1"/>
  <c r="Y40" i="20" s="1"/>
  <c r="K30" i="14"/>
  <c r="K31" i="14" s="1"/>
  <c r="M30" i="14"/>
  <c r="M31" i="14" s="1"/>
  <c r="AH31" i="14"/>
  <c r="BD31" i="14"/>
  <c r="AJ30" i="14"/>
  <c r="AJ31" i="14" s="1"/>
  <c r="BB30" i="14"/>
  <c r="BB31" i="14" s="1"/>
  <c r="BD36" i="19"/>
  <c r="M36" i="19"/>
  <c r="AJ36" i="19"/>
  <c r="I36" i="19"/>
  <c r="AH36" i="19"/>
  <c r="AR36" i="19"/>
  <c r="BF33" i="19"/>
  <c r="BB34" i="19"/>
  <c r="AR30" i="14"/>
  <c r="AR31" i="14" s="1"/>
  <c r="AF30" i="14"/>
  <c r="AF31" i="14" s="1"/>
  <c r="AL35" i="19"/>
  <c r="AF36" i="19"/>
  <c r="K37" i="19"/>
  <c r="AB34" i="14"/>
  <c r="C35" i="14"/>
  <c r="AH32" i="9"/>
  <c r="AR32" i="7"/>
  <c r="K32" i="8"/>
  <c r="K33" i="8" s="1"/>
  <c r="S31" i="9"/>
  <c r="I32" i="9"/>
  <c r="AB33" i="9"/>
  <c r="AR33" i="9"/>
  <c r="C34" i="9"/>
  <c r="AF32" i="9"/>
  <c r="AL31" i="9"/>
  <c r="AH32" i="6"/>
  <c r="M33" i="9"/>
  <c r="BB32" i="9"/>
  <c r="BF31" i="9"/>
  <c r="K33" i="9"/>
  <c r="BD33" i="9"/>
  <c r="M32" i="8"/>
  <c r="M33" i="8" s="1"/>
  <c r="BD32" i="8"/>
  <c r="AT30" i="9"/>
  <c r="AT28" i="9"/>
  <c r="AT30" i="7"/>
  <c r="BB32" i="8"/>
  <c r="BF31" i="8"/>
  <c r="G28" i="8"/>
  <c r="AD32" i="8"/>
  <c r="AT30" i="8"/>
  <c r="AJ32" i="8"/>
  <c r="AB33" i="8"/>
  <c r="AF32" i="8"/>
  <c r="AL31" i="8"/>
  <c r="AR32" i="8"/>
  <c r="S31" i="8"/>
  <c r="I32" i="8"/>
  <c r="AD33" i="8"/>
  <c r="C34" i="8"/>
  <c r="AH33" i="8"/>
  <c r="AH32" i="7"/>
  <c r="BB32" i="7"/>
  <c r="BF31" i="7"/>
  <c r="K32" i="7"/>
  <c r="K33" i="7" s="1"/>
  <c r="AT30" i="6"/>
  <c r="AJ32" i="6"/>
  <c r="I32" i="7"/>
  <c r="S31" i="7"/>
  <c r="AR32" i="6"/>
  <c r="AR33" i="7"/>
  <c r="C34" i="7"/>
  <c r="AD33" i="7"/>
  <c r="BD32" i="7"/>
  <c r="BD33" i="7" s="1"/>
  <c r="AB33" i="7"/>
  <c r="AJ32" i="7"/>
  <c r="AJ33" i="7" s="1"/>
  <c r="AL28" i="7"/>
  <c r="M32" i="7"/>
  <c r="AL31" i="7"/>
  <c r="AF32" i="7"/>
  <c r="AF32" i="6"/>
  <c r="AL31" i="6"/>
  <c r="AB33" i="6"/>
  <c r="M32" i="6"/>
  <c r="S31" i="6"/>
  <c r="I32" i="6"/>
  <c r="AD33" i="6"/>
  <c r="AH33" i="6"/>
  <c r="C34" i="6"/>
  <c r="K32" i="6"/>
  <c r="BB32" i="6"/>
  <c r="BF31" i="6"/>
  <c r="AD32" i="6"/>
  <c r="BD32" i="6"/>
  <c r="M21" i="5"/>
  <c r="AD34" i="5"/>
  <c r="AD22" i="5"/>
  <c r="C22" i="5"/>
  <c r="T21" i="5"/>
  <c r="Q23" i="5"/>
  <c r="P22" i="5"/>
  <c r="AC36" i="5"/>
  <c r="AD35" i="5"/>
  <c r="T35" i="5"/>
  <c r="AB35" i="5"/>
  <c r="T34" i="5"/>
  <c r="R22" i="5"/>
  <c r="T22" i="5" s="1"/>
  <c r="AV35" i="21" l="1"/>
  <c r="Y30" i="21"/>
  <c r="AT33" i="19"/>
  <c r="AX33" i="19" s="1"/>
  <c r="U33" i="19" s="1"/>
  <c r="W33" i="19" s="1"/>
  <c r="Y33" i="19" s="1"/>
  <c r="E32" i="14"/>
  <c r="I22" i="5"/>
  <c r="J22" i="5"/>
  <c r="H22" i="5"/>
  <c r="AN42" i="20"/>
  <c r="AP42" i="20" s="1"/>
  <c r="AV42" i="20" s="1"/>
  <c r="AT31" i="7"/>
  <c r="AN32" i="14"/>
  <c r="AP32" i="14" s="1"/>
  <c r="AT41" i="20"/>
  <c r="AX41" i="20" s="1"/>
  <c r="U41" i="20" s="1"/>
  <c r="W41" i="20" s="1"/>
  <c r="Y41" i="20" s="1"/>
  <c r="U39" i="20"/>
  <c r="AF43" i="20"/>
  <c r="AL42" i="20"/>
  <c r="BD43" i="20"/>
  <c r="BF42" i="20"/>
  <c r="AJ37" i="19"/>
  <c r="I37" i="19"/>
  <c r="BD37" i="19"/>
  <c r="AH37" i="19"/>
  <c r="AR37" i="19"/>
  <c r="M37" i="19"/>
  <c r="BF34" i="19"/>
  <c r="AT34" i="19" s="1"/>
  <c r="BB35" i="19"/>
  <c r="K38" i="19"/>
  <c r="AF37" i="19"/>
  <c r="AL36" i="19"/>
  <c r="AF32" i="14"/>
  <c r="C36" i="14"/>
  <c r="AB35" i="14"/>
  <c r="M33" i="7"/>
  <c r="AJ33" i="9"/>
  <c r="AH33" i="7"/>
  <c r="AT31" i="9"/>
  <c r="AH33" i="9"/>
  <c r="AH34" i="9" s="1"/>
  <c r="BB33" i="9"/>
  <c r="BF32" i="9"/>
  <c r="I33" i="9"/>
  <c r="S32" i="9"/>
  <c r="BD33" i="8"/>
  <c r="AF33" i="9"/>
  <c r="AL32" i="9"/>
  <c r="AR34" i="9"/>
  <c r="C35" i="9"/>
  <c r="AD34" i="9"/>
  <c r="AB34" i="9"/>
  <c r="AD33" i="9"/>
  <c r="AT31" i="8"/>
  <c r="AB34" i="8"/>
  <c r="S32" i="8"/>
  <c r="I33" i="8"/>
  <c r="AR33" i="8"/>
  <c r="AF33" i="8"/>
  <c r="AL32" i="8"/>
  <c r="AD34" i="8"/>
  <c r="AH34" i="8"/>
  <c r="C35" i="8"/>
  <c r="M34" i="8"/>
  <c r="AJ33" i="8"/>
  <c r="AD28" i="8"/>
  <c r="S28" i="8"/>
  <c r="BB33" i="8"/>
  <c r="BF32" i="8"/>
  <c r="I33" i="7"/>
  <c r="S32" i="7"/>
  <c r="AB34" i="7"/>
  <c r="AL32" i="7"/>
  <c r="AF33" i="7"/>
  <c r="AR34" i="7"/>
  <c r="C35" i="7"/>
  <c r="AT28" i="7"/>
  <c r="BB33" i="7"/>
  <c r="BF32" i="7"/>
  <c r="AT31" i="6"/>
  <c r="AB34" i="6"/>
  <c r="AJ33" i="6"/>
  <c r="S32" i="6"/>
  <c r="I33" i="6"/>
  <c r="AF33" i="6"/>
  <c r="AL32" i="6"/>
  <c r="BD33" i="6"/>
  <c r="AR33" i="6"/>
  <c r="BB33" i="6"/>
  <c r="BF32" i="6"/>
  <c r="K33" i="6"/>
  <c r="AD34" i="6"/>
  <c r="C35" i="6"/>
  <c r="AH34" i="6"/>
  <c r="M33" i="6"/>
  <c r="C23" i="5"/>
  <c r="P23" i="5"/>
  <c r="Q24" i="5"/>
  <c r="AC37" i="5"/>
  <c r="AD36" i="5"/>
  <c r="T36" i="5"/>
  <c r="AB36" i="5"/>
  <c r="M22" i="5"/>
  <c r="E33" i="14" l="1"/>
  <c r="AX35" i="21"/>
  <c r="J23" i="5"/>
  <c r="AN33" i="14" s="1"/>
  <c r="AP33" i="14" s="1"/>
  <c r="I23" i="5"/>
  <c r="H23" i="5"/>
  <c r="AT32" i="7"/>
  <c r="BD44" i="20"/>
  <c r="BF43" i="20"/>
  <c r="AT43" i="20" s="1"/>
  <c r="AT42" i="20"/>
  <c r="AX42" i="20" s="1"/>
  <c r="AF44" i="20"/>
  <c r="AL43" i="20"/>
  <c r="W39" i="20"/>
  <c r="K39" i="19"/>
  <c r="AH38" i="19"/>
  <c r="AH39" i="19" s="1"/>
  <c r="BF35" i="19"/>
  <c r="AT35" i="19" s="1"/>
  <c r="BB36" i="19"/>
  <c r="AF38" i="19"/>
  <c r="AL37" i="19"/>
  <c r="AR38" i="19"/>
  <c r="AR39" i="19" s="1"/>
  <c r="AJ32" i="14"/>
  <c r="AH32" i="14"/>
  <c r="BB32" i="14"/>
  <c r="BD32" i="14"/>
  <c r="K32" i="14"/>
  <c r="I38" i="19"/>
  <c r="I39" i="19" s="1"/>
  <c r="M32" i="14"/>
  <c r="AJ38" i="19"/>
  <c r="AJ39" i="19" s="1"/>
  <c r="AR32" i="14"/>
  <c r="BD38" i="19"/>
  <c r="BD39" i="19" s="1"/>
  <c r="M38" i="19"/>
  <c r="M39" i="19" s="1"/>
  <c r="AF33" i="14"/>
  <c r="AB36" i="14"/>
  <c r="C37" i="14"/>
  <c r="S33" i="9"/>
  <c r="I34" i="9"/>
  <c r="BB34" i="9"/>
  <c r="BF33" i="9"/>
  <c r="BD34" i="8"/>
  <c r="AT32" i="9"/>
  <c r="AJ34" i="9"/>
  <c r="BD34" i="9"/>
  <c r="AL33" i="9"/>
  <c r="AT33" i="9" s="1"/>
  <c r="AF34" i="9"/>
  <c r="M34" i="9"/>
  <c r="K34" i="8"/>
  <c r="K34" i="9"/>
  <c r="K35" i="9" s="1"/>
  <c r="AB35" i="9"/>
  <c r="AR35" i="9"/>
  <c r="C36" i="9"/>
  <c r="C36" i="8"/>
  <c r="BD35" i="8"/>
  <c r="AL28" i="8"/>
  <c r="I34" i="8"/>
  <c r="S33" i="8"/>
  <c r="AB35" i="8"/>
  <c r="AF34" i="8"/>
  <c r="AL33" i="8"/>
  <c r="AR34" i="8"/>
  <c r="BD34" i="6"/>
  <c r="BD34" i="7"/>
  <c r="BB34" i="8"/>
  <c r="BF33" i="8"/>
  <c r="AJ34" i="8"/>
  <c r="AT32" i="8"/>
  <c r="BB34" i="7"/>
  <c r="BF33" i="7"/>
  <c r="AB35" i="7"/>
  <c r="I34" i="7"/>
  <c r="S33" i="7"/>
  <c r="M34" i="6"/>
  <c r="AT32" i="6"/>
  <c r="AD34" i="7"/>
  <c r="AL33" i="7"/>
  <c r="AF34" i="7"/>
  <c r="K34" i="7"/>
  <c r="M34" i="7"/>
  <c r="K34" i="6"/>
  <c r="AH34" i="7"/>
  <c r="AR35" i="7"/>
  <c r="C36" i="7"/>
  <c r="AD35" i="7"/>
  <c r="AJ34" i="7"/>
  <c r="AR34" i="6"/>
  <c r="S33" i="6"/>
  <c r="I34" i="6"/>
  <c r="AF34" i="6"/>
  <c r="AL33" i="6"/>
  <c r="C36" i="6"/>
  <c r="AD35" i="6"/>
  <c r="AH35" i="6"/>
  <c r="AJ34" i="6"/>
  <c r="BB34" i="6"/>
  <c r="BF33" i="6"/>
  <c r="AB35" i="6"/>
  <c r="AC38" i="5"/>
  <c r="AD37" i="5"/>
  <c r="T37" i="5"/>
  <c r="AB37" i="5"/>
  <c r="P24" i="5"/>
  <c r="Q25" i="5"/>
  <c r="M23" i="5"/>
  <c r="C24" i="5"/>
  <c r="I24" i="5" l="1"/>
  <c r="J24" i="5"/>
  <c r="H24" i="5"/>
  <c r="E34" i="14"/>
  <c r="AF34" i="14" s="1"/>
  <c r="U35" i="21"/>
  <c r="AN34" i="14"/>
  <c r="AF45" i="20"/>
  <c r="AL44" i="20"/>
  <c r="U42" i="20"/>
  <c r="Y39" i="20"/>
  <c r="BD45" i="20"/>
  <c r="BF44" i="20"/>
  <c r="AT44" i="20" s="1"/>
  <c r="K33" i="14"/>
  <c r="AJ33" i="14"/>
  <c r="M33" i="14"/>
  <c r="BB33" i="14"/>
  <c r="AR33" i="14"/>
  <c r="BF36" i="19"/>
  <c r="AT36" i="19" s="1"/>
  <c r="BB37" i="19"/>
  <c r="AL38" i="19"/>
  <c r="AF39" i="19"/>
  <c r="BD33" i="14"/>
  <c r="AH33" i="14"/>
  <c r="AB37" i="14"/>
  <c r="C38" i="14"/>
  <c r="K35" i="8"/>
  <c r="M35" i="8"/>
  <c r="M36" i="8" s="1"/>
  <c r="K35" i="6"/>
  <c r="AT33" i="7"/>
  <c r="AT33" i="8"/>
  <c r="AJ35" i="6"/>
  <c r="AJ36" i="6" s="1"/>
  <c r="AR36" i="9"/>
  <c r="C37" i="9"/>
  <c r="AD36" i="9"/>
  <c r="AB36" i="9"/>
  <c r="AJ35" i="9"/>
  <c r="AR35" i="8"/>
  <c r="AH35" i="8"/>
  <c r="AD35" i="9"/>
  <c r="M35" i="9"/>
  <c r="BB35" i="9"/>
  <c r="BF34" i="9"/>
  <c r="AH35" i="9"/>
  <c r="BD35" i="6"/>
  <c r="AJ35" i="8"/>
  <c r="AJ36" i="8" s="1"/>
  <c r="AL34" i="9"/>
  <c r="AF35" i="9"/>
  <c r="BD35" i="9"/>
  <c r="I35" i="9"/>
  <c r="S34" i="9"/>
  <c r="BB35" i="8"/>
  <c r="BF34" i="8"/>
  <c r="AB36" i="8"/>
  <c r="S34" i="8"/>
  <c r="I35" i="8"/>
  <c r="AT33" i="6"/>
  <c r="AF35" i="8"/>
  <c r="AL34" i="8"/>
  <c r="BD36" i="8"/>
  <c r="C37" i="8"/>
  <c r="AD36" i="8"/>
  <c r="BD35" i="7"/>
  <c r="AT28" i="8"/>
  <c r="AD35" i="8"/>
  <c r="K35" i="7"/>
  <c r="K36" i="7" s="1"/>
  <c r="AJ35" i="7"/>
  <c r="AJ36" i="7" s="1"/>
  <c r="AR36" i="7"/>
  <c r="AD36" i="7"/>
  <c r="C37" i="7"/>
  <c r="AL34" i="7"/>
  <c r="AF35" i="7"/>
  <c r="M35" i="7"/>
  <c r="M36" i="7" s="1"/>
  <c r="S34" i="7"/>
  <c r="I35" i="7"/>
  <c r="AH35" i="7"/>
  <c r="AH36" i="7" s="1"/>
  <c r="BB35" i="7"/>
  <c r="BF34" i="7"/>
  <c r="BD36" i="7"/>
  <c r="AB36" i="7"/>
  <c r="BB35" i="6"/>
  <c r="BF34" i="6"/>
  <c r="S34" i="6"/>
  <c r="I35" i="6"/>
  <c r="AD36" i="6"/>
  <c r="AH36" i="6"/>
  <c r="C37" i="6"/>
  <c r="AF35" i="6"/>
  <c r="AL34" i="6"/>
  <c r="AB36" i="6"/>
  <c r="M35" i="6"/>
  <c r="AR35" i="6"/>
  <c r="Q26" i="5"/>
  <c r="P25" i="5"/>
  <c r="AC39" i="5"/>
  <c r="AD38" i="5"/>
  <c r="T38" i="5"/>
  <c r="AB38" i="5"/>
  <c r="C25" i="5"/>
  <c r="M24" i="5"/>
  <c r="J25" i="5" l="1"/>
  <c r="I25" i="5"/>
  <c r="H25" i="5"/>
  <c r="AN35" i="14"/>
  <c r="W35" i="21"/>
  <c r="AT34" i="8"/>
  <c r="E35" i="14"/>
  <c r="AF35" i="14" s="1"/>
  <c r="AP34" i="14"/>
  <c r="W42" i="20"/>
  <c r="BD46" i="20"/>
  <c r="BF45" i="20"/>
  <c r="AT45" i="20" s="1"/>
  <c r="AF46" i="20"/>
  <c r="AL45" i="20"/>
  <c r="BB34" i="14"/>
  <c r="AH34" i="14"/>
  <c r="AJ34" i="14"/>
  <c r="BF37" i="19"/>
  <c r="AT37" i="19" s="1"/>
  <c r="BB38" i="19"/>
  <c r="AL39" i="19"/>
  <c r="K34" i="14"/>
  <c r="M34" i="14"/>
  <c r="BD34" i="14"/>
  <c r="AR34" i="14"/>
  <c r="AB38" i="14"/>
  <c r="C39" i="14"/>
  <c r="AH36" i="8"/>
  <c r="AR36" i="8"/>
  <c r="AT34" i="9"/>
  <c r="BB36" i="9"/>
  <c r="BF35" i="9"/>
  <c r="AB37" i="9"/>
  <c r="BD36" i="9"/>
  <c r="K36" i="9"/>
  <c r="I36" i="9"/>
  <c r="S35" i="9"/>
  <c r="AL35" i="9"/>
  <c r="AF36" i="9"/>
  <c r="AH36" i="9"/>
  <c r="M36" i="9"/>
  <c r="AJ36" i="9"/>
  <c r="Q54" i="9"/>
  <c r="AR37" i="9"/>
  <c r="AD37" i="9"/>
  <c r="C38" i="9"/>
  <c r="M36" i="6"/>
  <c r="BD36" i="6"/>
  <c r="K36" i="8"/>
  <c r="BB36" i="8"/>
  <c r="BF35" i="8"/>
  <c r="BD37" i="8"/>
  <c r="C38" i="8"/>
  <c r="Q54" i="8"/>
  <c r="AB37" i="8"/>
  <c r="M37" i="8"/>
  <c r="AL35" i="8"/>
  <c r="AF36" i="8"/>
  <c r="I36" i="8"/>
  <c r="S35" i="8"/>
  <c r="AJ37" i="7"/>
  <c r="K36" i="6"/>
  <c r="AL35" i="7"/>
  <c r="AF36" i="7"/>
  <c r="BB36" i="7"/>
  <c r="BF35" i="7"/>
  <c r="AT34" i="7"/>
  <c r="K37" i="7"/>
  <c r="AD37" i="7"/>
  <c r="Q54" i="7"/>
  <c r="C38" i="7"/>
  <c r="AB37" i="7"/>
  <c r="S35" i="7"/>
  <c r="I36" i="7"/>
  <c r="AR37" i="7"/>
  <c r="AF36" i="6"/>
  <c r="AL35" i="6"/>
  <c r="AD37" i="6"/>
  <c r="AH37" i="6"/>
  <c r="C38" i="6"/>
  <c r="AB37" i="6"/>
  <c r="S35" i="6"/>
  <c r="I36" i="6"/>
  <c r="BB36" i="6"/>
  <c r="BF35" i="6"/>
  <c r="AR36" i="6"/>
  <c r="AT34" i="6"/>
  <c r="C26" i="5"/>
  <c r="M25" i="5"/>
  <c r="AC40" i="5"/>
  <c r="AD39" i="5"/>
  <c r="AB39" i="5"/>
  <c r="P26" i="5"/>
  <c r="Q27" i="5"/>
  <c r="E36" i="14" l="1"/>
  <c r="AT35" i="8"/>
  <c r="J26" i="5"/>
  <c r="AN36" i="14" s="1"/>
  <c r="AP36" i="14" s="1"/>
  <c r="I26" i="5"/>
  <c r="H26" i="5"/>
  <c r="Y35" i="21"/>
  <c r="AP35" i="14"/>
  <c r="BD47" i="20"/>
  <c r="BF46" i="20"/>
  <c r="AF47" i="20"/>
  <c r="AL46" i="20"/>
  <c r="Y42" i="20"/>
  <c r="AJ35" i="14"/>
  <c r="AR35" i="14"/>
  <c r="M35" i="14"/>
  <c r="BF38" i="19"/>
  <c r="AT38" i="19" s="1"/>
  <c r="BB39" i="19"/>
  <c r="BF39" i="19" s="1"/>
  <c r="AT39" i="19" s="1"/>
  <c r="BB35" i="14"/>
  <c r="AH35" i="14"/>
  <c r="K35" i="14"/>
  <c r="AF36" i="14"/>
  <c r="BD35" i="14"/>
  <c r="AB39" i="14"/>
  <c r="C40" i="14"/>
  <c r="AJ37" i="8"/>
  <c r="BD37" i="9"/>
  <c r="M37" i="9"/>
  <c r="AR38" i="9"/>
  <c r="C39" i="9"/>
  <c r="AD38" i="9"/>
  <c r="AR37" i="8"/>
  <c r="AR38" i="8" s="1"/>
  <c r="AJ37" i="9"/>
  <c r="AL36" i="9"/>
  <c r="AF37" i="9"/>
  <c r="I37" i="9"/>
  <c r="S36" i="9"/>
  <c r="BF36" i="9"/>
  <c r="BB37" i="9"/>
  <c r="AT35" i="9"/>
  <c r="AB38" i="9"/>
  <c r="AH37" i="9"/>
  <c r="AH38" i="9" s="1"/>
  <c r="K37" i="9"/>
  <c r="S36" i="8"/>
  <c r="I37" i="8"/>
  <c r="AB38" i="8"/>
  <c r="AJ38" i="8"/>
  <c r="C39" i="8"/>
  <c r="AD38" i="8"/>
  <c r="BD37" i="7"/>
  <c r="M37" i="7"/>
  <c r="AL36" i="8"/>
  <c r="AF37" i="8"/>
  <c r="AD37" i="8"/>
  <c r="K37" i="8"/>
  <c r="AH37" i="8"/>
  <c r="AT35" i="7"/>
  <c r="BB37" i="8"/>
  <c r="BF36" i="8"/>
  <c r="BB37" i="7"/>
  <c r="BF36" i="7"/>
  <c r="I37" i="7"/>
  <c r="S36" i="7"/>
  <c r="AH37" i="7"/>
  <c r="AB38" i="7"/>
  <c r="C39" i="7"/>
  <c r="K38" i="7"/>
  <c r="AD38" i="7"/>
  <c r="AL36" i="7"/>
  <c r="AF37" i="7"/>
  <c r="AB38" i="6"/>
  <c r="AD38" i="6"/>
  <c r="AH38" i="6"/>
  <c r="C39" i="6"/>
  <c r="AT35" i="6"/>
  <c r="BB37" i="6"/>
  <c r="BF36" i="6"/>
  <c r="AF37" i="6"/>
  <c r="AL36" i="6"/>
  <c r="S36" i="6"/>
  <c r="I37" i="6"/>
  <c r="K37" i="6"/>
  <c r="K38" i="6" s="1"/>
  <c r="AJ37" i="6"/>
  <c r="M37" i="6"/>
  <c r="AR37" i="6"/>
  <c r="BD37" i="6"/>
  <c r="AC41" i="5"/>
  <c r="AD40" i="5"/>
  <c r="T40" i="5"/>
  <c r="AB40" i="5"/>
  <c r="T39" i="5"/>
  <c r="C27" i="5"/>
  <c r="M26" i="5"/>
  <c r="Q28" i="5"/>
  <c r="P27" i="5"/>
  <c r="J27" i="5" l="1"/>
  <c r="AN37" i="14" s="1"/>
  <c r="AP37" i="14" s="1"/>
  <c r="I27" i="5"/>
  <c r="H27" i="5"/>
  <c r="E37" i="14"/>
  <c r="E38" i="14"/>
  <c r="AT46" i="20"/>
  <c r="AF48" i="20"/>
  <c r="AL47" i="20"/>
  <c r="BD48" i="20"/>
  <c r="BF47" i="20"/>
  <c r="AH36" i="14"/>
  <c r="AR36" i="14"/>
  <c r="AJ36" i="14"/>
  <c r="BD36" i="14"/>
  <c r="K36" i="14"/>
  <c r="M36" i="14"/>
  <c r="AF37" i="14"/>
  <c r="BB36" i="14"/>
  <c r="C41" i="14"/>
  <c r="AB40" i="14"/>
  <c r="AT36" i="8"/>
  <c r="AT36" i="9"/>
  <c r="AJ38" i="9"/>
  <c r="AF38" i="9"/>
  <c r="AL37" i="9"/>
  <c r="K38" i="8"/>
  <c r="AB39" i="9"/>
  <c r="M38" i="9"/>
  <c r="BD38" i="9"/>
  <c r="AR39" i="9"/>
  <c r="AD39" i="9"/>
  <c r="C40" i="9"/>
  <c r="BD38" i="8"/>
  <c r="BB38" i="9"/>
  <c r="BF37" i="9"/>
  <c r="M38" i="8"/>
  <c r="K38" i="9"/>
  <c r="I38" i="9"/>
  <c r="S37" i="9"/>
  <c r="AJ39" i="8"/>
  <c r="C40" i="8"/>
  <c r="AT36" i="7"/>
  <c r="AH38" i="8"/>
  <c r="AF38" i="8"/>
  <c r="AL37" i="8"/>
  <c r="AB39" i="8"/>
  <c r="BB38" i="8"/>
  <c r="BF37" i="8"/>
  <c r="S37" i="8"/>
  <c r="I38" i="8"/>
  <c r="I38" i="7"/>
  <c r="S37" i="7"/>
  <c r="AT36" i="6"/>
  <c r="BD38" i="7"/>
  <c r="AD39" i="7"/>
  <c r="C40" i="7"/>
  <c r="K39" i="7"/>
  <c r="AH38" i="7"/>
  <c r="M38" i="7"/>
  <c r="AF38" i="7"/>
  <c r="AL37" i="7"/>
  <c r="AB39" i="7"/>
  <c r="BF37" i="7"/>
  <c r="BB38" i="7"/>
  <c r="AJ38" i="7"/>
  <c r="AR38" i="7"/>
  <c r="AF38" i="6"/>
  <c r="AL37" i="6"/>
  <c r="BB38" i="6"/>
  <c r="BF37" i="6"/>
  <c r="AR38" i="6"/>
  <c r="S37" i="6"/>
  <c r="I38" i="6"/>
  <c r="M38" i="6"/>
  <c r="BD38" i="6"/>
  <c r="AJ38" i="6"/>
  <c r="AD39" i="6"/>
  <c r="AH39" i="6"/>
  <c r="C40" i="6"/>
  <c r="AB39" i="6"/>
  <c r="Q29" i="5"/>
  <c r="P28" i="5"/>
  <c r="C28" i="5"/>
  <c r="M27" i="5"/>
  <c r="AC42" i="5"/>
  <c r="AD41" i="5"/>
  <c r="T41" i="5"/>
  <c r="AB41" i="5"/>
  <c r="I28" i="5" l="1"/>
  <c r="J28" i="5"/>
  <c r="AN38" i="14" s="1"/>
  <c r="AP38" i="14" s="1"/>
  <c r="H28" i="5"/>
  <c r="BD49" i="20"/>
  <c r="BF48" i="20"/>
  <c r="AF49" i="20"/>
  <c r="AL48" i="20"/>
  <c r="AT47" i="20"/>
  <c r="AF38" i="14"/>
  <c r="AJ37" i="14"/>
  <c r="AJ38" i="14" s="1"/>
  <c r="K37" i="14"/>
  <c r="K38" i="14" s="1"/>
  <c r="BD37" i="14"/>
  <c r="BD38" i="14" s="1"/>
  <c r="BB37" i="14"/>
  <c r="BB38" i="14" s="1"/>
  <c r="M37" i="14"/>
  <c r="M38" i="14" s="1"/>
  <c r="AR37" i="14"/>
  <c r="AR38" i="14" s="1"/>
  <c r="AH37" i="14"/>
  <c r="AH38" i="14" s="1"/>
  <c r="AB41" i="14"/>
  <c r="C42" i="14"/>
  <c r="M39" i="6"/>
  <c r="K39" i="6"/>
  <c r="S38" i="9"/>
  <c r="I39" i="9"/>
  <c r="AD40" i="9"/>
  <c r="AR40" i="9"/>
  <c r="C41" i="9"/>
  <c r="AB40" i="9"/>
  <c r="AJ39" i="6"/>
  <c r="K39" i="9"/>
  <c r="BF38" i="9"/>
  <c r="BB39" i="9"/>
  <c r="M39" i="9"/>
  <c r="AT37" i="9"/>
  <c r="AH39" i="9"/>
  <c r="AT37" i="7"/>
  <c r="AJ39" i="9"/>
  <c r="BD39" i="9"/>
  <c r="AF39" i="9"/>
  <c r="AL38" i="9"/>
  <c r="K39" i="8"/>
  <c r="AF39" i="8"/>
  <c r="AL38" i="8"/>
  <c r="BD39" i="8"/>
  <c r="AJ39" i="7"/>
  <c r="I39" i="8"/>
  <c r="S38" i="8"/>
  <c r="M39" i="8"/>
  <c r="AB40" i="8"/>
  <c r="AH39" i="8"/>
  <c r="C41" i="8"/>
  <c r="AD40" i="8"/>
  <c r="AJ40" i="8"/>
  <c r="AR39" i="8"/>
  <c r="BB39" i="8"/>
  <c r="BF38" i="8"/>
  <c r="AT37" i="8"/>
  <c r="AD39" i="8"/>
  <c r="BD39" i="7"/>
  <c r="BB39" i="7"/>
  <c r="BF38" i="7"/>
  <c r="M39" i="7"/>
  <c r="K40" i="7"/>
  <c r="C41" i="7"/>
  <c r="AD40" i="7"/>
  <c r="AT37" i="6"/>
  <c r="AL38" i="7"/>
  <c r="AT38" i="7" s="1"/>
  <c r="AF39" i="7"/>
  <c r="S38" i="7"/>
  <c r="I39" i="7"/>
  <c r="AR39" i="6"/>
  <c r="AR39" i="7"/>
  <c r="AB40" i="7"/>
  <c r="AH39" i="7"/>
  <c r="AF39" i="6"/>
  <c r="AL38" i="6"/>
  <c r="AD40" i="6"/>
  <c r="AH40" i="6"/>
  <c r="C41" i="6"/>
  <c r="AB40" i="6"/>
  <c r="BD39" i="6"/>
  <c r="S38" i="6"/>
  <c r="I39" i="6"/>
  <c r="BB39" i="6"/>
  <c r="BF38" i="6"/>
  <c r="AC43" i="5"/>
  <c r="AD42" i="5"/>
  <c r="T42" i="5"/>
  <c r="AB42" i="5"/>
  <c r="P29" i="5"/>
  <c r="Q30" i="5"/>
  <c r="C29" i="5"/>
  <c r="E39" i="14" s="1"/>
  <c r="M28" i="5"/>
  <c r="AT38" i="9" l="1"/>
  <c r="J29" i="5"/>
  <c r="AN39" i="14" s="1"/>
  <c r="AP39" i="14" s="1"/>
  <c r="I29" i="5"/>
  <c r="H29" i="5"/>
  <c r="AT48" i="20"/>
  <c r="BD50" i="20"/>
  <c r="BF49" i="20"/>
  <c r="AF50" i="20"/>
  <c r="AL49" i="20"/>
  <c r="AR39" i="14"/>
  <c r="C43" i="14"/>
  <c r="AB42" i="14"/>
  <c r="AH40" i="9"/>
  <c r="BD40" i="9"/>
  <c r="AT38" i="8"/>
  <c r="AJ40" i="9"/>
  <c r="BF39" i="9"/>
  <c r="BB40" i="9"/>
  <c r="AB41" i="9"/>
  <c r="M40" i="6"/>
  <c r="M41" i="6" s="1"/>
  <c r="M40" i="9"/>
  <c r="M41" i="9" s="1"/>
  <c r="BD40" i="6"/>
  <c r="AR40" i="8"/>
  <c r="M40" i="8"/>
  <c r="K40" i="8"/>
  <c r="AF40" i="9"/>
  <c r="AL39" i="9"/>
  <c r="K40" i="9"/>
  <c r="K41" i="9" s="1"/>
  <c r="C42" i="9"/>
  <c r="AR41" i="9"/>
  <c r="AD41" i="9"/>
  <c r="S39" i="9"/>
  <c r="I40" i="9"/>
  <c r="BF39" i="8"/>
  <c r="BB40" i="8"/>
  <c r="I40" i="8"/>
  <c r="S39" i="8"/>
  <c r="AJ40" i="6"/>
  <c r="C42" i="8"/>
  <c r="AD41" i="8"/>
  <c r="K40" i="6"/>
  <c r="AT38" i="6"/>
  <c r="AH40" i="8"/>
  <c r="BD40" i="8"/>
  <c r="AR40" i="6"/>
  <c r="AB41" i="8"/>
  <c r="AF40" i="8"/>
  <c r="AL39" i="8"/>
  <c r="M40" i="7"/>
  <c r="AB41" i="7"/>
  <c r="AJ40" i="7"/>
  <c r="BD40" i="7"/>
  <c r="AF40" i="7"/>
  <c r="AL39" i="7"/>
  <c r="AH40" i="7"/>
  <c r="AH41" i="7" s="1"/>
  <c r="AR40" i="7"/>
  <c r="I40" i="7"/>
  <c r="S39" i="7"/>
  <c r="C42" i="7"/>
  <c r="AD41" i="7"/>
  <c r="K41" i="7"/>
  <c r="BF39" i="7"/>
  <c r="BB40" i="7"/>
  <c r="BB40" i="6"/>
  <c r="BF39" i="6"/>
  <c r="AB41" i="6"/>
  <c r="I40" i="6"/>
  <c r="S39" i="6"/>
  <c r="C42" i="6"/>
  <c r="AD41" i="6"/>
  <c r="AH41" i="6"/>
  <c r="AF40" i="6"/>
  <c r="AL39" i="6"/>
  <c r="M29" i="5"/>
  <c r="AC44" i="5"/>
  <c r="AD43" i="5"/>
  <c r="AB43" i="5"/>
  <c r="P30" i="5"/>
  <c r="Q31" i="5"/>
  <c r="C30" i="5"/>
  <c r="I30" i="5" l="1"/>
  <c r="J30" i="5"/>
  <c r="AN40" i="14" s="1"/>
  <c r="AP40" i="14" s="1"/>
  <c r="H30" i="5"/>
  <c r="E40" i="14"/>
  <c r="AR40" i="14" s="1"/>
  <c r="AT49" i="20"/>
  <c r="AF51" i="20"/>
  <c r="AL50" i="20"/>
  <c r="BD51" i="20"/>
  <c r="BF50" i="20"/>
  <c r="K39" i="14"/>
  <c r="K40" i="14" s="1"/>
  <c r="M39" i="14"/>
  <c r="BB39" i="14"/>
  <c r="BD39" i="14"/>
  <c r="BD40" i="14" s="1"/>
  <c r="AF39" i="14"/>
  <c r="AJ39" i="14"/>
  <c r="AH39" i="14"/>
  <c r="C44" i="14"/>
  <c r="AB43" i="14"/>
  <c r="K41" i="8"/>
  <c r="M41" i="8"/>
  <c r="AT39" i="9"/>
  <c r="AR41" i="8"/>
  <c r="BD41" i="8"/>
  <c r="K41" i="6"/>
  <c r="I41" i="9"/>
  <c r="S40" i="9"/>
  <c r="AF41" i="9"/>
  <c r="AL40" i="9"/>
  <c r="AJ41" i="9"/>
  <c r="AJ42" i="9" s="1"/>
  <c r="AH41" i="9"/>
  <c r="BF40" i="9"/>
  <c r="BB41" i="9"/>
  <c r="AT39" i="8"/>
  <c r="AR41" i="6"/>
  <c r="C43" i="9"/>
  <c r="AR42" i="9"/>
  <c r="AD42" i="9"/>
  <c r="BD41" i="9"/>
  <c r="AB42" i="9"/>
  <c r="BB41" i="8"/>
  <c r="BF40" i="8"/>
  <c r="BD41" i="6"/>
  <c r="AJ41" i="8"/>
  <c r="AB42" i="8"/>
  <c r="AH41" i="8"/>
  <c r="S40" i="8"/>
  <c r="I41" i="8"/>
  <c r="C43" i="8"/>
  <c r="AD42" i="8"/>
  <c r="AF41" i="8"/>
  <c r="AL40" i="8"/>
  <c r="AT40" i="8" s="1"/>
  <c r="M41" i="7"/>
  <c r="AJ41" i="6"/>
  <c r="S40" i="7"/>
  <c r="I41" i="7"/>
  <c r="AF41" i="7"/>
  <c r="AL40" i="7"/>
  <c r="AJ41" i="7"/>
  <c r="C43" i="7"/>
  <c r="AD42" i="7"/>
  <c r="K42" i="7"/>
  <c r="AB42" i="7"/>
  <c r="AT39" i="7"/>
  <c r="BB41" i="7"/>
  <c r="BF40" i="7"/>
  <c r="AR41" i="7"/>
  <c r="BD41" i="7"/>
  <c r="AF41" i="6"/>
  <c r="AL40" i="6"/>
  <c r="S40" i="6"/>
  <c r="I41" i="6"/>
  <c r="C43" i="6"/>
  <c r="AD42" i="6"/>
  <c r="AH42" i="6"/>
  <c r="BB41" i="6"/>
  <c r="BF40" i="6"/>
  <c r="AT39" i="6"/>
  <c r="AB42" i="6"/>
  <c r="AD44" i="5"/>
  <c r="T44" i="5"/>
  <c r="AB44" i="5"/>
  <c r="AC45" i="5"/>
  <c r="C31" i="5"/>
  <c r="M30" i="5"/>
  <c r="P31" i="5"/>
  <c r="Q32" i="5"/>
  <c r="T43" i="5"/>
  <c r="AH40" i="14" l="1"/>
  <c r="J31" i="5"/>
  <c r="AN41" i="14" s="1"/>
  <c r="AP41" i="14" s="1"/>
  <c r="I31" i="5"/>
  <c r="H31" i="5"/>
  <c r="AJ40" i="14"/>
  <c r="BB40" i="14"/>
  <c r="AF40" i="14"/>
  <c r="M40" i="14"/>
  <c r="E41" i="14"/>
  <c r="AH41" i="14" s="1"/>
  <c r="AF52" i="20"/>
  <c r="AL51" i="20"/>
  <c r="BD52" i="20"/>
  <c r="BF51" i="20"/>
  <c r="AT50" i="20"/>
  <c r="C45" i="14"/>
  <c r="AB44" i="14"/>
  <c r="AR42" i="8"/>
  <c r="AT40" i="6"/>
  <c r="K42" i="8"/>
  <c r="K43" i="8" s="1"/>
  <c r="BD42" i="8"/>
  <c r="BD43" i="8" s="1"/>
  <c r="S41" i="9"/>
  <c r="I42" i="9"/>
  <c r="M42" i="9"/>
  <c r="AT40" i="9"/>
  <c r="AT40" i="7"/>
  <c r="AJ42" i="6"/>
  <c r="AB43" i="9"/>
  <c r="K42" i="9"/>
  <c r="AL41" i="9"/>
  <c r="AF42" i="9"/>
  <c r="M42" i="8"/>
  <c r="M43" i="8" s="1"/>
  <c r="BD42" i="9"/>
  <c r="AR43" i="9"/>
  <c r="C44" i="9"/>
  <c r="AD43" i="9"/>
  <c r="BB42" i="9"/>
  <c r="BF41" i="9"/>
  <c r="AH42" i="9"/>
  <c r="AD43" i="8"/>
  <c r="AR43" i="8"/>
  <c r="C44" i="8"/>
  <c r="AB43" i="8"/>
  <c r="BD42" i="7"/>
  <c r="BD43" i="7" s="1"/>
  <c r="K42" i="6"/>
  <c r="AR42" i="7"/>
  <c r="AR43" i="7" s="1"/>
  <c r="M42" i="7"/>
  <c r="AF42" i="8"/>
  <c r="AL41" i="8"/>
  <c r="AJ42" i="8"/>
  <c r="M42" i="6"/>
  <c r="S41" i="8"/>
  <c r="I42" i="8"/>
  <c r="AH42" i="8"/>
  <c r="BB42" i="8"/>
  <c r="BF41" i="8"/>
  <c r="AB43" i="7"/>
  <c r="AL41" i="7"/>
  <c r="AF42" i="7"/>
  <c r="BF41" i="7"/>
  <c r="BB42" i="7"/>
  <c r="AH42" i="7"/>
  <c r="AD43" i="7"/>
  <c r="K43" i="7"/>
  <c r="C44" i="7"/>
  <c r="I42" i="7"/>
  <c r="S41" i="7"/>
  <c r="AR42" i="6"/>
  <c r="AJ42" i="7"/>
  <c r="AB43" i="6"/>
  <c r="BF41" i="6"/>
  <c r="BB42" i="6"/>
  <c r="C44" i="6"/>
  <c r="AH43" i="6"/>
  <c r="AD43" i="6"/>
  <c r="AL41" i="6"/>
  <c r="AF42" i="6"/>
  <c r="BD42" i="6"/>
  <c r="I42" i="6"/>
  <c r="S41" i="6"/>
  <c r="AC46" i="5"/>
  <c r="AB45" i="5"/>
  <c r="AD45" i="5"/>
  <c r="P32" i="5"/>
  <c r="Q33" i="5"/>
  <c r="M31" i="5"/>
  <c r="C32" i="5"/>
  <c r="I32" i="5" l="1"/>
  <c r="J32" i="5"/>
  <c r="AN42" i="14" s="1"/>
  <c r="AP42" i="14" s="1"/>
  <c r="H32" i="5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AN36" i="19" s="1"/>
  <c r="E43" i="14"/>
  <c r="E42" i="14"/>
  <c r="AH42" i="14" s="1"/>
  <c r="AT51" i="20"/>
  <c r="BD53" i="20"/>
  <c r="BF52" i="20"/>
  <c r="AF53" i="20"/>
  <c r="AL52" i="20"/>
  <c r="M41" i="14"/>
  <c r="AJ41" i="14"/>
  <c r="BD41" i="14"/>
  <c r="BB41" i="14"/>
  <c r="AR41" i="14"/>
  <c r="K41" i="14"/>
  <c r="AF41" i="14"/>
  <c r="C46" i="14"/>
  <c r="AB45" i="14"/>
  <c r="AH43" i="8"/>
  <c r="AJ43" i="8"/>
  <c r="AH43" i="9"/>
  <c r="K43" i="9"/>
  <c r="M43" i="9"/>
  <c r="AD44" i="9"/>
  <c r="C45" i="9"/>
  <c r="AR44" i="9"/>
  <c r="AJ43" i="9"/>
  <c r="I43" i="9"/>
  <c r="S42" i="9"/>
  <c r="BB43" i="9"/>
  <c r="BF42" i="9"/>
  <c r="AF43" i="9"/>
  <c r="AL42" i="9"/>
  <c r="AB44" i="9"/>
  <c r="AT41" i="8"/>
  <c r="BD43" i="9"/>
  <c r="AT41" i="9"/>
  <c r="S42" i="8"/>
  <c r="I43" i="8"/>
  <c r="AB44" i="8"/>
  <c r="BB43" i="8"/>
  <c r="BF42" i="8"/>
  <c r="C45" i="8"/>
  <c r="AD44" i="8"/>
  <c r="M44" i="8"/>
  <c r="BD44" i="8"/>
  <c r="AT41" i="7"/>
  <c r="AF43" i="8"/>
  <c r="AL42" i="8"/>
  <c r="BD43" i="6"/>
  <c r="S42" i="7"/>
  <c r="I43" i="7"/>
  <c r="M43" i="7"/>
  <c r="AB44" i="7"/>
  <c r="AJ43" i="7"/>
  <c r="AH43" i="7"/>
  <c r="AL42" i="7"/>
  <c r="AF43" i="7"/>
  <c r="K44" i="7"/>
  <c r="AD44" i="7"/>
  <c r="C45" i="7"/>
  <c r="BB43" i="7"/>
  <c r="BF42" i="7"/>
  <c r="C45" i="6"/>
  <c r="AD44" i="6"/>
  <c r="AH44" i="6"/>
  <c r="AF43" i="6"/>
  <c r="AL42" i="6"/>
  <c r="AT41" i="6"/>
  <c r="K43" i="6"/>
  <c r="AR43" i="6"/>
  <c r="AB44" i="6"/>
  <c r="S42" i="6"/>
  <c r="I43" i="6"/>
  <c r="M43" i="6"/>
  <c r="AJ43" i="6"/>
  <c r="AJ44" i="6" s="1"/>
  <c r="BF42" i="6"/>
  <c r="BB43" i="6"/>
  <c r="P33" i="5"/>
  <c r="Q34" i="5"/>
  <c r="T45" i="5"/>
  <c r="AD46" i="5"/>
  <c r="T46" i="5"/>
  <c r="AB46" i="5"/>
  <c r="AC47" i="5"/>
  <c r="M32" i="5"/>
  <c r="C33" i="5"/>
  <c r="AR42" i="14" l="1"/>
  <c r="AJ42" i="14"/>
  <c r="J33" i="5"/>
  <c r="AN43" i="14" s="1"/>
  <c r="AP43" i="14" s="1"/>
  <c r="I33" i="5"/>
  <c r="BB42" i="14"/>
  <c r="BB43" i="14" s="1"/>
  <c r="M42" i="14"/>
  <c r="K42" i="14"/>
  <c r="AF42" i="14"/>
  <c r="BD42" i="14"/>
  <c r="AT52" i="20"/>
  <c r="AF54" i="20"/>
  <c r="AL53" i="20"/>
  <c r="BD54" i="20"/>
  <c r="BF53" i="20"/>
  <c r="C47" i="14"/>
  <c r="AB46" i="14"/>
  <c r="BD44" i="9"/>
  <c r="AT42" i="9"/>
  <c r="AJ44" i="8"/>
  <c r="C46" i="9"/>
  <c r="AD45" i="9"/>
  <c r="AR45" i="9"/>
  <c r="K44" i="9"/>
  <c r="AT42" i="7"/>
  <c r="AH44" i="8"/>
  <c r="AL43" i="9"/>
  <c r="AF44" i="9"/>
  <c r="I44" i="9"/>
  <c r="S43" i="9"/>
  <c r="AH44" i="9"/>
  <c r="BB44" i="9"/>
  <c r="BF43" i="9"/>
  <c r="M44" i="9"/>
  <c r="M45" i="9" s="1"/>
  <c r="AR44" i="8"/>
  <c r="AB45" i="9"/>
  <c r="AJ44" i="9"/>
  <c r="BD44" i="7"/>
  <c r="AB45" i="8"/>
  <c r="AH44" i="7"/>
  <c r="AH45" i="7" s="1"/>
  <c r="M44" i="7"/>
  <c r="AT42" i="8"/>
  <c r="K44" i="8"/>
  <c r="BF43" i="8"/>
  <c r="BB44" i="8"/>
  <c r="AL43" i="8"/>
  <c r="AF44" i="8"/>
  <c r="C46" i="8"/>
  <c r="AD45" i="8"/>
  <c r="M45" i="8"/>
  <c r="I44" i="8"/>
  <c r="S43" i="8"/>
  <c r="K45" i="7"/>
  <c r="C46" i="7"/>
  <c r="AB45" i="7"/>
  <c r="AR44" i="7"/>
  <c r="AR45" i="7" s="1"/>
  <c r="AF44" i="7"/>
  <c r="AL43" i="7"/>
  <c r="M44" i="6"/>
  <c r="M45" i="6" s="1"/>
  <c r="BD45" i="7"/>
  <c r="K44" i="6"/>
  <c r="BF43" i="7"/>
  <c r="BB44" i="7"/>
  <c r="AJ44" i="7"/>
  <c r="AJ45" i="7" s="1"/>
  <c r="S43" i="7"/>
  <c r="I44" i="7"/>
  <c r="AF44" i="6"/>
  <c r="AL43" i="6"/>
  <c r="C46" i="6"/>
  <c r="AD45" i="6"/>
  <c r="AH45" i="6"/>
  <c r="AB45" i="6"/>
  <c r="BD44" i="6"/>
  <c r="BD45" i="6" s="1"/>
  <c r="BF43" i="6"/>
  <c r="BB44" i="6"/>
  <c r="S43" i="6"/>
  <c r="I44" i="6"/>
  <c r="AR44" i="6"/>
  <c r="AR45" i="6" s="1"/>
  <c r="AT42" i="6"/>
  <c r="P34" i="5"/>
  <c r="Q35" i="5"/>
  <c r="M33" i="5"/>
  <c r="C34" i="5"/>
  <c r="AC48" i="5"/>
  <c r="AB47" i="5"/>
  <c r="AD47" i="5"/>
  <c r="J34" i="5" l="1"/>
  <c r="AN44" i="14" s="1"/>
  <c r="AP44" i="14" s="1"/>
  <c r="I34" i="5"/>
  <c r="E44" i="14"/>
  <c r="BB44" i="14" s="1"/>
  <c r="AF55" i="20"/>
  <c r="AL54" i="20"/>
  <c r="BD55" i="20"/>
  <c r="BF54" i="20"/>
  <c r="AT53" i="20"/>
  <c r="K43" i="14"/>
  <c r="AF43" i="14"/>
  <c r="AJ43" i="14"/>
  <c r="AH43" i="14"/>
  <c r="BD43" i="14"/>
  <c r="M43" i="14"/>
  <c r="AR43" i="14"/>
  <c r="AB47" i="14"/>
  <c r="C48" i="14"/>
  <c r="AT43" i="8"/>
  <c r="M45" i="7"/>
  <c r="M46" i="7" s="1"/>
  <c r="AB46" i="9"/>
  <c r="I45" i="9"/>
  <c r="S44" i="9"/>
  <c r="BF44" i="9"/>
  <c r="BB45" i="9"/>
  <c r="AL44" i="9"/>
  <c r="AF45" i="9"/>
  <c r="K45" i="9"/>
  <c r="C47" i="9"/>
  <c r="AR46" i="9"/>
  <c r="BD45" i="9"/>
  <c r="AJ45" i="9"/>
  <c r="AH45" i="9"/>
  <c r="AH46" i="9" s="1"/>
  <c r="AT43" i="9"/>
  <c r="BB45" i="8"/>
  <c r="BF44" i="8"/>
  <c r="AB46" i="8"/>
  <c r="K45" i="8"/>
  <c r="S44" i="8"/>
  <c r="I45" i="8"/>
  <c r="M46" i="8"/>
  <c r="C47" i="8"/>
  <c r="AD46" i="8"/>
  <c r="AJ45" i="8"/>
  <c r="BD45" i="8"/>
  <c r="BD46" i="8" s="1"/>
  <c r="AR45" i="8"/>
  <c r="AF45" i="8"/>
  <c r="AL44" i="8"/>
  <c r="AH45" i="8"/>
  <c r="AH46" i="8" s="1"/>
  <c r="BF44" i="7"/>
  <c r="BB45" i="7"/>
  <c r="C47" i="7"/>
  <c r="K46" i="7"/>
  <c r="AD46" i="7"/>
  <c r="S44" i="7"/>
  <c r="I45" i="7"/>
  <c r="AT43" i="7"/>
  <c r="AH46" i="7"/>
  <c r="AF45" i="7"/>
  <c r="AL44" i="7"/>
  <c r="AB46" i="7"/>
  <c r="G49" i="7"/>
  <c r="AD49" i="7" s="1"/>
  <c r="AD45" i="7"/>
  <c r="AF45" i="6"/>
  <c r="AL44" i="6"/>
  <c r="S44" i="6"/>
  <c r="I45" i="6"/>
  <c r="C47" i="6"/>
  <c r="AD46" i="6"/>
  <c r="AH46" i="6"/>
  <c r="K45" i="6"/>
  <c r="AJ45" i="6"/>
  <c r="BF44" i="6"/>
  <c r="BB45" i="6"/>
  <c r="AB46" i="6"/>
  <c r="AT43" i="6"/>
  <c r="M34" i="5"/>
  <c r="T47" i="5"/>
  <c r="AD48" i="5"/>
  <c r="AC49" i="5"/>
  <c r="AB48" i="5"/>
  <c r="P35" i="5"/>
  <c r="Q36" i="5"/>
  <c r="C35" i="5"/>
  <c r="AT44" i="9" l="1"/>
  <c r="E45" i="14"/>
  <c r="BB45" i="14" s="1"/>
  <c r="J35" i="5"/>
  <c r="AN45" i="14" s="1"/>
  <c r="AP45" i="14" s="1"/>
  <c r="I35" i="5"/>
  <c r="AT54" i="20"/>
  <c r="BD56" i="20"/>
  <c r="BF55" i="20"/>
  <c r="AF56" i="20"/>
  <c r="AL55" i="20"/>
  <c r="AR44" i="14"/>
  <c r="AJ44" i="14"/>
  <c r="M44" i="14"/>
  <c r="AF44" i="14"/>
  <c r="BD44" i="14"/>
  <c r="K44" i="14"/>
  <c r="AH44" i="14"/>
  <c r="C49" i="14"/>
  <c r="AB48" i="14"/>
  <c r="AR47" i="9"/>
  <c r="C48" i="9"/>
  <c r="S45" i="9"/>
  <c r="I46" i="9"/>
  <c r="BD46" i="9"/>
  <c r="BD47" i="9" s="1"/>
  <c r="AD46" i="9"/>
  <c r="G50" i="9"/>
  <c r="AD50" i="9" s="1"/>
  <c r="BB46" i="9"/>
  <c r="BF45" i="9"/>
  <c r="K46" i="9"/>
  <c r="K47" i="9" s="1"/>
  <c r="AB47" i="9"/>
  <c r="M46" i="9"/>
  <c r="AJ46" i="7"/>
  <c r="AR46" i="7"/>
  <c r="AR46" i="8"/>
  <c r="AJ46" i="9"/>
  <c r="AL45" i="9"/>
  <c r="AT45" i="9" s="1"/>
  <c r="AF46" i="9"/>
  <c r="AT44" i="8"/>
  <c r="AJ46" i="8"/>
  <c r="AD47" i="8"/>
  <c r="M47" i="8"/>
  <c r="C48" i="8"/>
  <c r="K46" i="8"/>
  <c r="BB46" i="8"/>
  <c r="BF45" i="8"/>
  <c r="S45" i="8"/>
  <c r="I46" i="8"/>
  <c r="AB47" i="8"/>
  <c r="AH47" i="8"/>
  <c r="AF46" i="8"/>
  <c r="AL45" i="8"/>
  <c r="I46" i="7"/>
  <c r="S45" i="7"/>
  <c r="AT44" i="7"/>
  <c r="BD46" i="7"/>
  <c r="AB47" i="7"/>
  <c r="C48" i="7"/>
  <c r="K47" i="7"/>
  <c r="AL45" i="7"/>
  <c r="AF46" i="7"/>
  <c r="BF45" i="7"/>
  <c r="BB46" i="7"/>
  <c r="AB47" i="6"/>
  <c r="BD46" i="6"/>
  <c r="AL45" i="6"/>
  <c r="AF46" i="6"/>
  <c r="BF45" i="6"/>
  <c r="BB46" i="6"/>
  <c r="S45" i="6"/>
  <c r="I46" i="6"/>
  <c r="M46" i="6"/>
  <c r="K46" i="6"/>
  <c r="AR46" i="6"/>
  <c r="AJ46" i="6"/>
  <c r="C48" i="6"/>
  <c r="AD47" i="6"/>
  <c r="AH47" i="6"/>
  <c r="AT44" i="6"/>
  <c r="P36" i="5"/>
  <c r="Q37" i="5"/>
  <c r="AC50" i="5"/>
  <c r="AB49" i="5"/>
  <c r="AD49" i="5"/>
  <c r="T48" i="5"/>
  <c r="M35" i="5"/>
  <c r="C36" i="5"/>
  <c r="I36" i="5" l="1"/>
  <c r="J36" i="5"/>
  <c r="AN46" i="14" s="1"/>
  <c r="AP46" i="14" s="1"/>
  <c r="E46" i="14"/>
  <c r="AF57" i="20"/>
  <c r="AL56" i="20"/>
  <c r="AT55" i="20"/>
  <c r="BD57" i="20"/>
  <c r="BF56" i="20"/>
  <c r="AJ45" i="14"/>
  <c r="AJ46" i="14" s="1"/>
  <c r="K45" i="14"/>
  <c r="AF45" i="14"/>
  <c r="AF46" i="14" s="1"/>
  <c r="AH45" i="14"/>
  <c r="AH46" i="14" s="1"/>
  <c r="M45" i="14"/>
  <c r="M46" i="14" s="1"/>
  <c r="BD45" i="14"/>
  <c r="BD46" i="14" s="1"/>
  <c r="BB46" i="14"/>
  <c r="AR45" i="14"/>
  <c r="AR46" i="14" s="1"/>
  <c r="AB49" i="14"/>
  <c r="C50" i="14"/>
  <c r="K47" i="8"/>
  <c r="AR48" i="9"/>
  <c r="C49" i="9"/>
  <c r="AF47" i="9"/>
  <c r="AL46" i="9"/>
  <c r="AB48" i="9"/>
  <c r="BF46" i="9"/>
  <c r="BB47" i="9"/>
  <c r="S46" i="9"/>
  <c r="I47" i="9"/>
  <c r="G48" i="9"/>
  <c r="AD47" i="9"/>
  <c r="K48" i="9"/>
  <c r="AJ47" i="9"/>
  <c r="M47" i="9"/>
  <c r="AH47" i="9"/>
  <c r="AH48" i="9" s="1"/>
  <c r="AR47" i="7"/>
  <c r="BD47" i="7"/>
  <c r="AF47" i="8"/>
  <c r="AL46" i="8"/>
  <c r="AJ47" i="7"/>
  <c r="M47" i="7"/>
  <c r="S46" i="8"/>
  <c r="I47" i="8"/>
  <c r="BB47" i="8"/>
  <c r="BF46" i="8"/>
  <c r="AH48" i="8"/>
  <c r="K48" i="8"/>
  <c r="BD47" i="8"/>
  <c r="AT45" i="8"/>
  <c r="AB48" i="8"/>
  <c r="AR47" i="8"/>
  <c r="C49" i="8"/>
  <c r="AD48" i="8"/>
  <c r="M48" i="8"/>
  <c r="AJ47" i="8"/>
  <c r="AJ48" i="8" s="1"/>
  <c r="K48" i="7"/>
  <c r="C49" i="7"/>
  <c r="AD47" i="7"/>
  <c r="G48" i="7"/>
  <c r="AF47" i="7"/>
  <c r="AL46" i="7"/>
  <c r="AH47" i="7"/>
  <c r="S46" i="7"/>
  <c r="I47" i="7"/>
  <c r="BB47" i="7"/>
  <c r="BF46" i="7"/>
  <c r="AR48" i="7"/>
  <c r="AT45" i="7"/>
  <c r="AB48" i="7"/>
  <c r="C49" i="6"/>
  <c r="AH48" i="6"/>
  <c r="K47" i="6"/>
  <c r="BF46" i="6"/>
  <c r="BB47" i="6"/>
  <c r="BD47" i="6"/>
  <c r="AJ47" i="6"/>
  <c r="M47" i="6"/>
  <c r="AR47" i="6"/>
  <c r="S46" i="6"/>
  <c r="I47" i="6"/>
  <c r="AF47" i="6"/>
  <c r="AL46" i="6"/>
  <c r="AB48" i="6"/>
  <c r="AT45" i="6"/>
  <c r="M36" i="5"/>
  <c r="C37" i="5"/>
  <c r="E47" i="14" s="1"/>
  <c r="AD50" i="5"/>
  <c r="AC51" i="5"/>
  <c r="AB50" i="5"/>
  <c r="T49" i="5"/>
  <c r="P37" i="5"/>
  <c r="Q38" i="5"/>
  <c r="J37" i="5" l="1"/>
  <c r="AN47" i="14" s="1"/>
  <c r="AP47" i="14" s="1"/>
  <c r="I37" i="5"/>
  <c r="K46" i="14"/>
  <c r="BD58" i="20"/>
  <c r="BF57" i="20"/>
  <c r="AT56" i="20"/>
  <c r="AF58" i="20"/>
  <c r="AL57" i="20"/>
  <c r="BB47" i="14"/>
  <c r="M47" i="14"/>
  <c r="AJ47" i="14"/>
  <c r="K47" i="14"/>
  <c r="AF47" i="14"/>
  <c r="AR47" i="14"/>
  <c r="AH47" i="14"/>
  <c r="BD47" i="14"/>
  <c r="AB50" i="14"/>
  <c r="C51" i="14"/>
  <c r="AT46" i="7"/>
  <c r="M48" i="9"/>
  <c r="BF47" i="9"/>
  <c r="BB48" i="9"/>
  <c r="AT46" i="9"/>
  <c r="AJ48" i="9"/>
  <c r="AD48" i="9"/>
  <c r="G49" i="9"/>
  <c r="AF48" i="9"/>
  <c r="AL47" i="9"/>
  <c r="BD48" i="9"/>
  <c r="AJ48" i="7"/>
  <c r="S47" i="9"/>
  <c r="I48" i="9"/>
  <c r="AB49" i="9"/>
  <c r="C50" i="9"/>
  <c r="AR49" i="9"/>
  <c r="AJ49" i="8"/>
  <c r="C50" i="8"/>
  <c r="AD49" i="8"/>
  <c r="M49" i="8"/>
  <c r="AF48" i="8"/>
  <c r="AL47" i="8"/>
  <c r="AR48" i="8"/>
  <c r="BD48" i="8"/>
  <c r="BD49" i="8" s="1"/>
  <c r="BF47" i="8"/>
  <c r="BB48" i="8"/>
  <c r="AB49" i="8"/>
  <c r="I48" i="8"/>
  <c r="S47" i="8"/>
  <c r="AT46" i="8"/>
  <c r="AR48" i="6"/>
  <c r="AJ48" i="6"/>
  <c r="K48" i="6"/>
  <c r="BD48" i="6"/>
  <c r="M48" i="7"/>
  <c r="AH48" i="7"/>
  <c r="C50" i="7"/>
  <c r="K49" i="7"/>
  <c r="BB48" i="7"/>
  <c r="BF47" i="7"/>
  <c r="G50" i="7"/>
  <c r="AD48" i="7"/>
  <c r="M48" i="6"/>
  <c r="AB49" i="7"/>
  <c r="BD48" i="7"/>
  <c r="I48" i="7"/>
  <c r="S47" i="7"/>
  <c r="AF48" i="7"/>
  <c r="AL47" i="7"/>
  <c r="AF48" i="6"/>
  <c r="AL47" i="6"/>
  <c r="G52" i="6"/>
  <c r="AD48" i="6"/>
  <c r="S47" i="6"/>
  <c r="I48" i="6"/>
  <c r="AB49" i="6"/>
  <c r="C50" i="6"/>
  <c r="AD49" i="6"/>
  <c r="AH49" i="6"/>
  <c r="AT46" i="6"/>
  <c r="BF47" i="6"/>
  <c r="BB48" i="6"/>
  <c r="T50" i="5"/>
  <c r="P38" i="5"/>
  <c r="Q39" i="5"/>
  <c r="AC52" i="5"/>
  <c r="AB51" i="5"/>
  <c r="AD51" i="5"/>
  <c r="T51" i="5"/>
  <c r="M37" i="5"/>
  <c r="C38" i="5"/>
  <c r="I38" i="5" l="1"/>
  <c r="J38" i="5"/>
  <c r="AN48" i="14" s="1"/>
  <c r="AP48" i="14" s="1"/>
  <c r="E49" i="14"/>
  <c r="E48" i="14"/>
  <c r="AT47" i="7"/>
  <c r="AT57" i="20"/>
  <c r="AF59" i="20"/>
  <c r="AL58" i="20"/>
  <c r="BD59" i="20"/>
  <c r="BF58" i="20"/>
  <c r="BB48" i="14"/>
  <c r="AB51" i="14"/>
  <c r="C52" i="14"/>
  <c r="AD49" i="9"/>
  <c r="G51" i="9"/>
  <c r="AR49" i="8"/>
  <c r="AB50" i="9"/>
  <c r="BD49" i="9"/>
  <c r="BD50" i="9" s="1"/>
  <c r="K49" i="9"/>
  <c r="K50" i="9" s="1"/>
  <c r="I49" i="9"/>
  <c r="S48" i="9"/>
  <c r="AT47" i="9"/>
  <c r="AJ49" i="9"/>
  <c r="AJ50" i="9" s="1"/>
  <c r="M49" i="9"/>
  <c r="AH49" i="9"/>
  <c r="BF48" i="9"/>
  <c r="BB49" i="9"/>
  <c r="K49" i="8"/>
  <c r="C51" i="9"/>
  <c r="AR50" i="9"/>
  <c r="AF49" i="9"/>
  <c r="AL48" i="9"/>
  <c r="AB50" i="8"/>
  <c r="BB49" i="8"/>
  <c r="BF48" i="8"/>
  <c r="AH49" i="8"/>
  <c r="M50" i="8"/>
  <c r="AD50" i="8"/>
  <c r="C51" i="8"/>
  <c r="S48" i="8"/>
  <c r="I49" i="8"/>
  <c r="AT47" i="8"/>
  <c r="BD49" i="7"/>
  <c r="AJ49" i="7"/>
  <c r="AH49" i="7"/>
  <c r="AR49" i="7"/>
  <c r="AL48" i="8"/>
  <c r="AF49" i="8"/>
  <c r="AT47" i="6"/>
  <c r="C51" i="7"/>
  <c r="K50" i="7"/>
  <c r="I49" i="7"/>
  <c r="S48" i="7"/>
  <c r="BB49" i="7"/>
  <c r="BF48" i="7"/>
  <c r="M49" i="6"/>
  <c r="AF49" i="7"/>
  <c r="AL48" i="7"/>
  <c r="AB50" i="7"/>
  <c r="G51" i="7"/>
  <c r="AD50" i="7"/>
  <c r="M49" i="7"/>
  <c r="S48" i="6"/>
  <c r="I49" i="6"/>
  <c r="BF48" i="6"/>
  <c r="BB49" i="6"/>
  <c r="C51" i="6"/>
  <c r="AD50" i="6"/>
  <c r="AH50" i="6"/>
  <c r="AB50" i="6"/>
  <c r="BD49" i="6"/>
  <c r="K49" i="6"/>
  <c r="AF49" i="6"/>
  <c r="AL48" i="6"/>
  <c r="AR49" i="6"/>
  <c r="AJ49" i="6"/>
  <c r="AD52" i="6"/>
  <c r="M38" i="5"/>
  <c r="C39" i="5"/>
  <c r="P39" i="5"/>
  <c r="Q40" i="5"/>
  <c r="AD52" i="5"/>
  <c r="T52" i="5"/>
  <c r="AB52" i="5"/>
  <c r="AC53" i="5"/>
  <c r="J39" i="5" l="1"/>
  <c r="AN49" i="14" s="1"/>
  <c r="AP49" i="14" s="1"/>
  <c r="I39" i="5"/>
  <c r="AT48" i="6"/>
  <c r="AT58" i="20"/>
  <c r="BD60" i="20"/>
  <c r="BF59" i="20"/>
  <c r="AF60" i="20"/>
  <c r="AL59" i="20"/>
  <c r="K48" i="14"/>
  <c r="M48" i="14"/>
  <c r="AF48" i="14"/>
  <c r="AR48" i="14"/>
  <c r="AH48" i="14"/>
  <c r="BD48" i="14"/>
  <c r="AJ48" i="14"/>
  <c r="BB49" i="14"/>
  <c r="C53" i="14"/>
  <c r="AB52" i="14"/>
  <c r="AH50" i="7"/>
  <c r="K50" i="8"/>
  <c r="K51" i="8" s="1"/>
  <c r="AT48" i="8"/>
  <c r="AF50" i="9"/>
  <c r="AL49" i="9"/>
  <c r="AR51" i="9"/>
  <c r="C52" i="9"/>
  <c r="BB50" i="9"/>
  <c r="BF49" i="9"/>
  <c r="G52" i="9"/>
  <c r="AD51" i="9"/>
  <c r="M50" i="7"/>
  <c r="AH50" i="9"/>
  <c r="AT48" i="9"/>
  <c r="M50" i="9"/>
  <c r="S49" i="9"/>
  <c r="I50" i="9"/>
  <c r="AB51" i="9"/>
  <c r="AJ50" i="7"/>
  <c r="AF50" i="8"/>
  <c r="AL49" i="8"/>
  <c r="AR50" i="8"/>
  <c r="BD50" i="8"/>
  <c r="AJ50" i="6"/>
  <c r="K50" i="6"/>
  <c r="S49" i="8"/>
  <c r="I50" i="8"/>
  <c r="AB51" i="8"/>
  <c r="AR50" i="6"/>
  <c r="BD50" i="6"/>
  <c r="AR50" i="7"/>
  <c r="BB50" i="8"/>
  <c r="BF49" i="8"/>
  <c r="AJ50" i="8"/>
  <c r="AJ51" i="8" s="1"/>
  <c r="AD51" i="8"/>
  <c r="M51" i="8"/>
  <c r="C52" i="8"/>
  <c r="AH50" i="8"/>
  <c r="AH51" i="8" s="1"/>
  <c r="AB51" i="7"/>
  <c r="M50" i="6"/>
  <c r="AT48" i="7"/>
  <c r="BF49" i="7"/>
  <c r="BB50" i="7"/>
  <c r="AD51" i="7"/>
  <c r="G52" i="7"/>
  <c r="AF50" i="7"/>
  <c r="AL49" i="7"/>
  <c r="BD50" i="7"/>
  <c r="I50" i="7"/>
  <c r="S49" i="7"/>
  <c r="K51" i="7"/>
  <c r="C52" i="7"/>
  <c r="AL49" i="6"/>
  <c r="AF50" i="6"/>
  <c r="AB51" i="6"/>
  <c r="C52" i="6"/>
  <c r="AH51" i="6"/>
  <c r="S49" i="6"/>
  <c r="I50" i="6"/>
  <c r="BF49" i="6"/>
  <c r="BB50" i="6"/>
  <c r="M39" i="5"/>
  <c r="C40" i="5"/>
  <c r="P40" i="5"/>
  <c r="Q41" i="5"/>
  <c r="AC54" i="5"/>
  <c r="AB53" i="5"/>
  <c r="AD53" i="5"/>
  <c r="T53" i="5"/>
  <c r="AT49" i="8" l="1"/>
  <c r="E50" i="14"/>
  <c r="I40" i="5"/>
  <c r="J40" i="5"/>
  <c r="AN50" i="14" s="1"/>
  <c r="AP50" i="14" s="1"/>
  <c r="AT59" i="20"/>
  <c r="AF61" i="20"/>
  <c r="AL60" i="20"/>
  <c r="BD61" i="20"/>
  <c r="BF60" i="20"/>
  <c r="AJ49" i="14"/>
  <c r="M49" i="14"/>
  <c r="BB50" i="14"/>
  <c r="AR49" i="14"/>
  <c r="K49" i="14"/>
  <c r="BD49" i="14"/>
  <c r="AF49" i="14"/>
  <c r="AH49" i="14"/>
  <c r="AB53" i="14"/>
  <c r="C54" i="14"/>
  <c r="K51" i="9"/>
  <c r="AH51" i="9"/>
  <c r="BD51" i="7"/>
  <c r="M51" i="9"/>
  <c r="AD52" i="9"/>
  <c r="AD54" i="9" s="1"/>
  <c r="AF12" i="9" s="1"/>
  <c r="G54" i="9"/>
  <c r="AB52" i="9"/>
  <c r="BD51" i="9"/>
  <c r="BB51" i="9"/>
  <c r="BF50" i="9"/>
  <c r="AT49" i="9"/>
  <c r="I51" i="9"/>
  <c r="S50" i="9"/>
  <c r="AF51" i="9"/>
  <c r="AL50" i="9"/>
  <c r="AT49" i="7"/>
  <c r="AJ51" i="9"/>
  <c r="O54" i="9"/>
  <c r="AR52" i="9"/>
  <c r="AR54" i="9" s="1"/>
  <c r="AB52" i="8"/>
  <c r="AF51" i="8"/>
  <c r="AL50" i="8"/>
  <c r="AH51" i="7"/>
  <c r="S50" i="8"/>
  <c r="I51" i="8"/>
  <c r="BD51" i="8"/>
  <c r="O54" i="8"/>
  <c r="M52" i="8"/>
  <c r="M54" i="8" s="1"/>
  <c r="M51" i="7"/>
  <c r="BB51" i="8"/>
  <c r="BF50" i="8"/>
  <c r="AR51" i="8"/>
  <c r="M51" i="6"/>
  <c r="AD52" i="7"/>
  <c r="AD54" i="7" s="1"/>
  <c r="AF12" i="7" s="1"/>
  <c r="G54" i="7"/>
  <c r="S50" i="7"/>
  <c r="I51" i="7"/>
  <c r="AJ51" i="7"/>
  <c r="AB52" i="7"/>
  <c r="K52" i="7"/>
  <c r="K54" i="7" s="1"/>
  <c r="O54" i="7"/>
  <c r="BB51" i="7"/>
  <c r="BF50" i="7"/>
  <c r="M52" i="7"/>
  <c r="M54" i="7" s="1"/>
  <c r="BD51" i="6"/>
  <c r="AJ51" i="6"/>
  <c r="AF51" i="7"/>
  <c r="AL50" i="7"/>
  <c r="AT50" i="7" s="1"/>
  <c r="AR51" i="7"/>
  <c r="BF50" i="6"/>
  <c r="BB51" i="6"/>
  <c r="S50" i="6"/>
  <c r="I51" i="6"/>
  <c r="AF51" i="6"/>
  <c r="AL50" i="6"/>
  <c r="AT49" i="6"/>
  <c r="Q54" i="6"/>
  <c r="AH52" i="6"/>
  <c r="AH54" i="6" s="1"/>
  <c r="O54" i="6"/>
  <c r="AR51" i="6"/>
  <c r="AD51" i="6"/>
  <c r="AD54" i="6" s="1"/>
  <c r="AF12" i="6" s="1"/>
  <c r="G54" i="6"/>
  <c r="K51" i="6"/>
  <c r="AB52" i="6"/>
  <c r="AD54" i="5"/>
  <c r="T54" i="5"/>
  <c r="AB54" i="5"/>
  <c r="AC55" i="5"/>
  <c r="P41" i="5"/>
  <c r="Q42" i="5"/>
  <c r="M40" i="5"/>
  <c r="C41" i="5"/>
  <c r="E51" i="14" s="1"/>
  <c r="J41" i="5" l="1"/>
  <c r="AN51" i="14" s="1"/>
  <c r="AP51" i="14" s="1"/>
  <c r="I41" i="5"/>
  <c r="BD62" i="20"/>
  <c r="BF61" i="20"/>
  <c r="AF62" i="20"/>
  <c r="AL61" i="20"/>
  <c r="AT60" i="20"/>
  <c r="AR50" i="14"/>
  <c r="AF50" i="14"/>
  <c r="AJ50" i="14"/>
  <c r="AH50" i="14"/>
  <c r="BB51" i="14"/>
  <c r="BD50" i="14"/>
  <c r="K50" i="14"/>
  <c r="M50" i="14"/>
  <c r="AB54" i="14"/>
  <c r="C55" i="14"/>
  <c r="AT50" i="9"/>
  <c r="AF52" i="9"/>
  <c r="AL51" i="9"/>
  <c r="BD52" i="9"/>
  <c r="BD54" i="9" s="1"/>
  <c r="K52" i="9"/>
  <c r="K54" i="9" s="1"/>
  <c r="AH52" i="9"/>
  <c r="AH54" i="9" s="1"/>
  <c r="AJ52" i="9"/>
  <c r="AJ54" i="9" s="1"/>
  <c r="M52" i="9"/>
  <c r="M54" i="9" s="1"/>
  <c r="AJ52" i="7"/>
  <c r="AJ54" i="7" s="1"/>
  <c r="AJ52" i="8"/>
  <c r="AJ54" i="8" s="1"/>
  <c r="K52" i="8"/>
  <c r="K54" i="8" s="1"/>
  <c r="I52" i="9"/>
  <c r="S51" i="9"/>
  <c r="BB52" i="9"/>
  <c r="BF51" i="9"/>
  <c r="AF52" i="8"/>
  <c r="AL51" i="8"/>
  <c r="BF51" i="8"/>
  <c r="BB52" i="8"/>
  <c r="AH52" i="8"/>
  <c r="AH54" i="8" s="1"/>
  <c r="I52" i="8"/>
  <c r="S51" i="8"/>
  <c r="K52" i="6"/>
  <c r="K54" i="6" s="1"/>
  <c r="AR52" i="8"/>
  <c r="AR54" i="8" s="1"/>
  <c r="AD52" i="8"/>
  <c r="AD54" i="8" s="1"/>
  <c r="AF12" i="8" s="1"/>
  <c r="G54" i="8"/>
  <c r="BD52" i="8"/>
  <c r="BD54" i="8" s="1"/>
  <c r="AT50" i="8"/>
  <c r="AT50" i="6"/>
  <c r="AF52" i="7"/>
  <c r="AL51" i="7"/>
  <c r="S51" i="7"/>
  <c r="I52" i="7"/>
  <c r="BF51" i="7"/>
  <c r="BB52" i="7"/>
  <c r="AR52" i="6"/>
  <c r="AR54" i="6" s="1"/>
  <c r="BD52" i="6"/>
  <c r="BD54" i="6" s="1"/>
  <c r="AR52" i="7"/>
  <c r="AR54" i="7" s="1"/>
  <c r="BD52" i="7"/>
  <c r="BD54" i="7" s="1"/>
  <c r="AH52" i="7"/>
  <c r="AH54" i="7" s="1"/>
  <c r="AF52" i="6"/>
  <c r="AL51" i="6"/>
  <c r="BF51" i="6"/>
  <c r="BB52" i="6"/>
  <c r="M52" i="6"/>
  <c r="M54" i="6" s="1"/>
  <c r="AJ52" i="6"/>
  <c r="AJ54" i="6" s="1"/>
  <c r="S51" i="6"/>
  <c r="I52" i="6"/>
  <c r="M41" i="5"/>
  <c r="C42" i="5"/>
  <c r="P42" i="5"/>
  <c r="Q43" i="5"/>
  <c r="AC56" i="5"/>
  <c r="AB55" i="5"/>
  <c r="AD55" i="5"/>
  <c r="T55" i="5"/>
  <c r="J42" i="5" l="1"/>
  <c r="AN52" i="14" s="1"/>
  <c r="AP52" i="14" s="1"/>
  <c r="I42" i="5"/>
  <c r="E52" i="14"/>
  <c r="BB52" i="14" s="1"/>
  <c r="AL62" i="20"/>
  <c r="AF66" i="20"/>
  <c r="AT61" i="20"/>
  <c r="BF62" i="20"/>
  <c r="BF66" i="20" s="1"/>
  <c r="BD66" i="20"/>
  <c r="C56" i="14"/>
  <c r="BD51" i="14"/>
  <c r="BD52" i="14" s="1"/>
  <c r="AJ51" i="14"/>
  <c r="M51" i="14"/>
  <c r="AF51" i="14"/>
  <c r="AF52" i="14" s="1"/>
  <c r="AH51" i="14"/>
  <c r="AR51" i="14"/>
  <c r="K51" i="14"/>
  <c r="AB55" i="14"/>
  <c r="S52" i="9"/>
  <c r="I54" i="9"/>
  <c r="AT51" i="9"/>
  <c r="AT51" i="7"/>
  <c r="BF52" i="9"/>
  <c r="BF54" i="9" s="1"/>
  <c r="BB54" i="9"/>
  <c r="AL52" i="9"/>
  <c r="AF54" i="9"/>
  <c r="S52" i="8"/>
  <c r="I54" i="8"/>
  <c r="BF52" i="8"/>
  <c r="BF54" i="8" s="1"/>
  <c r="BB54" i="8"/>
  <c r="AT51" i="8"/>
  <c r="AL52" i="8"/>
  <c r="AF54" i="8"/>
  <c r="AL52" i="7"/>
  <c r="AF54" i="7"/>
  <c r="BF52" i="7"/>
  <c r="BF54" i="7" s="1"/>
  <c r="BB54" i="7"/>
  <c r="S52" i="7"/>
  <c r="I54" i="7"/>
  <c r="S52" i="6"/>
  <c r="I54" i="6"/>
  <c r="AT51" i="6"/>
  <c r="AL52" i="6"/>
  <c r="AF54" i="6"/>
  <c r="BF52" i="6"/>
  <c r="BF54" i="6" s="1"/>
  <c r="BB54" i="6"/>
  <c r="P43" i="5"/>
  <c r="Q44" i="5"/>
  <c r="M42" i="5"/>
  <c r="C43" i="5"/>
  <c r="E53" i="14" s="1"/>
  <c r="AD56" i="5"/>
  <c r="T56" i="5"/>
  <c r="AC57" i="5"/>
  <c r="AB56" i="5"/>
  <c r="AR52" i="14" l="1"/>
  <c r="AJ52" i="14"/>
  <c r="J43" i="5"/>
  <c r="AN53" i="14" s="1"/>
  <c r="AP53" i="14" s="1"/>
  <c r="I43" i="5"/>
  <c r="I44" i="5" s="1"/>
  <c r="I45" i="5" s="1"/>
  <c r="I46" i="5" s="1"/>
  <c r="I47" i="5" s="1"/>
  <c r="I48" i="5" s="1"/>
  <c r="AN36" i="21" s="1"/>
  <c r="AP36" i="21" s="1"/>
  <c r="AV36" i="21" s="1"/>
  <c r="K52" i="14"/>
  <c r="M52" i="14"/>
  <c r="AH52" i="14"/>
  <c r="AT62" i="20"/>
  <c r="AL66" i="20"/>
  <c r="BB53" i="14"/>
  <c r="AB56" i="14"/>
  <c r="AT52" i="9"/>
  <c r="AL54" i="9"/>
  <c r="S54" i="9"/>
  <c r="K14" i="18" s="1"/>
  <c r="AT52" i="8"/>
  <c r="AL54" i="8"/>
  <c r="S54" i="8"/>
  <c r="I14" i="18" s="1"/>
  <c r="S54" i="7"/>
  <c r="G14" i="18" s="1"/>
  <c r="AT52" i="7"/>
  <c r="AL54" i="7"/>
  <c r="AT52" i="6"/>
  <c r="AL54" i="6"/>
  <c r="S54" i="6"/>
  <c r="E14" i="18" s="1"/>
  <c r="M43" i="5"/>
  <c r="C44" i="5"/>
  <c r="Q45" i="5"/>
  <c r="P44" i="5"/>
  <c r="AC58" i="5"/>
  <c r="AB57" i="5"/>
  <c r="T57" i="5"/>
  <c r="AD57" i="5"/>
  <c r="E55" i="14" l="1"/>
  <c r="C45" i="5"/>
  <c r="J45" i="5" s="1"/>
  <c r="AN55" i="14" s="1"/>
  <c r="AP55" i="14" s="1"/>
  <c r="J44" i="5"/>
  <c r="AN54" i="14" s="1"/>
  <c r="AP54" i="14" s="1"/>
  <c r="E54" i="14"/>
  <c r="E56" i="14"/>
  <c r="AX36" i="21"/>
  <c r="AT66" i="20"/>
  <c r="BD53" i="14"/>
  <c r="AF53" i="14"/>
  <c r="AJ53" i="14"/>
  <c r="M53" i="14"/>
  <c r="AH53" i="14"/>
  <c r="K53" i="14"/>
  <c r="AR53" i="14"/>
  <c r="C46" i="5"/>
  <c r="K46" i="5"/>
  <c r="K47" i="5" s="1"/>
  <c r="K48" i="5" s="1"/>
  <c r="AT54" i="9"/>
  <c r="AT54" i="8"/>
  <c r="AT54" i="7"/>
  <c r="AT54" i="6"/>
  <c r="M44" i="5"/>
  <c r="AD58" i="5"/>
  <c r="T58" i="5"/>
  <c r="AB58" i="5"/>
  <c r="AC59" i="5"/>
  <c r="Q46" i="5"/>
  <c r="P45" i="5"/>
  <c r="C47" i="5" l="1"/>
  <c r="J46" i="5"/>
  <c r="AN56" i="14" s="1"/>
  <c r="AP56" i="14" s="1"/>
  <c r="U36" i="21"/>
  <c r="M54" i="14"/>
  <c r="M55" i="14" s="1"/>
  <c r="M56" i="14" s="1"/>
  <c r="K54" i="14"/>
  <c r="K55" i="14" s="1"/>
  <c r="K56" i="14" s="1"/>
  <c r="BD54" i="14"/>
  <c r="BD55" i="14" s="1"/>
  <c r="BD56" i="14" s="1"/>
  <c r="BB54" i="14"/>
  <c r="BB55" i="14" s="1"/>
  <c r="BB56" i="14" s="1"/>
  <c r="AH54" i="14"/>
  <c r="AH55" i="14" s="1"/>
  <c r="AH56" i="14" s="1"/>
  <c r="AJ54" i="14"/>
  <c r="AJ55" i="14" s="1"/>
  <c r="AJ56" i="14" s="1"/>
  <c r="AR54" i="14"/>
  <c r="AR55" i="14" s="1"/>
  <c r="AR56" i="14" s="1"/>
  <c r="AF54" i="14"/>
  <c r="AF55" i="14" s="1"/>
  <c r="AF56" i="14" s="1"/>
  <c r="AC60" i="5"/>
  <c r="AB59" i="5"/>
  <c r="AD59" i="5"/>
  <c r="Q47" i="5"/>
  <c r="P46" i="5"/>
  <c r="W36" i="21" l="1"/>
  <c r="C48" i="5"/>
  <c r="J47" i="5"/>
  <c r="K40" i="19"/>
  <c r="K41" i="19" s="1"/>
  <c r="K42" i="19" s="1"/>
  <c r="K43" i="19" s="1"/>
  <c r="K44" i="19" s="1"/>
  <c r="K45" i="19" s="1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K60" i="19" s="1"/>
  <c r="K61" i="19" s="1"/>
  <c r="K62" i="19" s="1"/>
  <c r="K66" i="19" s="1"/>
  <c r="I40" i="19"/>
  <c r="I41" i="19" s="1"/>
  <c r="I42" i="19" s="1"/>
  <c r="I43" i="19" s="1"/>
  <c r="I44" i="19" s="1"/>
  <c r="I45" i="19" s="1"/>
  <c r="I46" i="19" s="1"/>
  <c r="I47" i="19" s="1"/>
  <c r="I48" i="19" s="1"/>
  <c r="I49" i="19" s="1"/>
  <c r="I50" i="19" s="1"/>
  <c r="I51" i="19" s="1"/>
  <c r="I52" i="19" s="1"/>
  <c r="I53" i="19" s="1"/>
  <c r="I54" i="19" s="1"/>
  <c r="I55" i="19" s="1"/>
  <c r="I56" i="19" s="1"/>
  <c r="I57" i="19" s="1"/>
  <c r="I58" i="19" s="1"/>
  <c r="I59" i="19" s="1"/>
  <c r="I60" i="19" s="1"/>
  <c r="I61" i="19" s="1"/>
  <c r="I62" i="19" s="1"/>
  <c r="I66" i="19" s="1"/>
  <c r="M40" i="19"/>
  <c r="M41" i="19" s="1"/>
  <c r="M42" i="19" s="1"/>
  <c r="M43" i="19" s="1"/>
  <c r="M44" i="19" s="1"/>
  <c r="M45" i="19" s="1"/>
  <c r="M46" i="19" s="1"/>
  <c r="M47" i="19" s="1"/>
  <c r="M48" i="19" s="1"/>
  <c r="M49" i="19" s="1"/>
  <c r="M50" i="19" s="1"/>
  <c r="M51" i="19" s="1"/>
  <c r="M52" i="19" s="1"/>
  <c r="M53" i="19" s="1"/>
  <c r="M54" i="19" s="1"/>
  <c r="M55" i="19" s="1"/>
  <c r="M56" i="19" s="1"/>
  <c r="M57" i="19" s="1"/>
  <c r="M58" i="19" s="1"/>
  <c r="M59" i="19" s="1"/>
  <c r="M60" i="19" s="1"/>
  <c r="M61" i="19" s="1"/>
  <c r="M62" i="19" s="1"/>
  <c r="M66" i="19" s="1"/>
  <c r="AR40" i="19"/>
  <c r="AR41" i="19" s="1"/>
  <c r="AR42" i="19" s="1"/>
  <c r="AR43" i="19" s="1"/>
  <c r="AR44" i="19" s="1"/>
  <c r="AR45" i="19" s="1"/>
  <c r="AR46" i="19" s="1"/>
  <c r="AR47" i="19" s="1"/>
  <c r="AR48" i="19" s="1"/>
  <c r="AR49" i="19" s="1"/>
  <c r="AR50" i="19" s="1"/>
  <c r="AR51" i="19" s="1"/>
  <c r="AR52" i="19" s="1"/>
  <c r="AR53" i="19" s="1"/>
  <c r="AR54" i="19" s="1"/>
  <c r="AR55" i="19" s="1"/>
  <c r="AR56" i="19" s="1"/>
  <c r="AR57" i="19" s="1"/>
  <c r="AR58" i="19" s="1"/>
  <c r="AR59" i="19" s="1"/>
  <c r="AR60" i="19" s="1"/>
  <c r="AR61" i="19" s="1"/>
  <c r="AR62" i="19" s="1"/>
  <c r="AR66" i="19" s="1"/>
  <c r="AJ40" i="19"/>
  <c r="AJ41" i="19" s="1"/>
  <c r="AJ42" i="19" s="1"/>
  <c r="AJ43" i="19" s="1"/>
  <c r="AJ44" i="19" s="1"/>
  <c r="AJ45" i="19" s="1"/>
  <c r="AJ46" i="19" s="1"/>
  <c r="AJ47" i="19" s="1"/>
  <c r="AJ48" i="19" s="1"/>
  <c r="AJ49" i="19" s="1"/>
  <c r="AJ50" i="19" s="1"/>
  <c r="AJ51" i="19" s="1"/>
  <c r="AJ52" i="19" s="1"/>
  <c r="AJ53" i="19" s="1"/>
  <c r="AJ54" i="19" s="1"/>
  <c r="AJ55" i="19" s="1"/>
  <c r="AJ56" i="19" s="1"/>
  <c r="AJ57" i="19" s="1"/>
  <c r="AJ58" i="19" s="1"/>
  <c r="AJ59" i="19" s="1"/>
  <c r="AJ60" i="19" s="1"/>
  <c r="AJ61" i="19" s="1"/>
  <c r="AJ62" i="19" s="1"/>
  <c r="AJ66" i="19" s="1"/>
  <c r="AH40" i="19"/>
  <c r="AH41" i="19" s="1"/>
  <c r="AH42" i="19" s="1"/>
  <c r="AH43" i="19" s="1"/>
  <c r="AH44" i="19" s="1"/>
  <c r="AH45" i="19" s="1"/>
  <c r="AH46" i="19" s="1"/>
  <c r="AH47" i="19" s="1"/>
  <c r="AH48" i="19" s="1"/>
  <c r="AH49" i="19" s="1"/>
  <c r="AH50" i="19" s="1"/>
  <c r="AH51" i="19" s="1"/>
  <c r="AH52" i="19" s="1"/>
  <c r="AH53" i="19" s="1"/>
  <c r="AH54" i="19" s="1"/>
  <c r="AH55" i="19" s="1"/>
  <c r="AH56" i="19" s="1"/>
  <c r="AH57" i="19" s="1"/>
  <c r="AH58" i="19" s="1"/>
  <c r="AH59" i="19" s="1"/>
  <c r="AH60" i="19" s="1"/>
  <c r="AH61" i="19" s="1"/>
  <c r="AH62" i="19" s="1"/>
  <c r="AH66" i="19" s="1"/>
  <c r="BD40" i="19"/>
  <c r="BD41" i="19" s="1"/>
  <c r="BD42" i="19" s="1"/>
  <c r="BD43" i="19" s="1"/>
  <c r="BD44" i="19" s="1"/>
  <c r="BD45" i="19" s="1"/>
  <c r="BD46" i="19" s="1"/>
  <c r="BD47" i="19" s="1"/>
  <c r="BD48" i="19" s="1"/>
  <c r="BD49" i="19" s="1"/>
  <c r="BD50" i="19" s="1"/>
  <c r="BD51" i="19" s="1"/>
  <c r="BD52" i="19" s="1"/>
  <c r="BD53" i="19" s="1"/>
  <c r="BD54" i="19" s="1"/>
  <c r="BD55" i="19" s="1"/>
  <c r="BD56" i="19" s="1"/>
  <c r="BD57" i="19" s="1"/>
  <c r="BD58" i="19" s="1"/>
  <c r="BD59" i="19" s="1"/>
  <c r="BD60" i="19" s="1"/>
  <c r="BD61" i="19" s="1"/>
  <c r="BD62" i="19" s="1"/>
  <c r="BD66" i="19" s="1"/>
  <c r="BB40" i="19"/>
  <c r="AF40" i="19"/>
  <c r="P47" i="5"/>
  <c r="Q48" i="5"/>
  <c r="T59" i="5"/>
  <c r="AD60" i="5"/>
  <c r="AB60" i="5"/>
  <c r="AC61" i="5"/>
  <c r="AN58" i="19" l="1"/>
  <c r="AP58" i="19" s="1"/>
  <c r="AV58" i="19" s="1"/>
  <c r="AN41" i="19"/>
  <c r="AN56" i="19"/>
  <c r="AP56" i="19" s="1"/>
  <c r="AV56" i="19" s="1"/>
  <c r="AN51" i="19"/>
  <c r="AN40" i="19"/>
  <c r="AN55" i="19"/>
  <c r="AP55" i="19" s="1"/>
  <c r="AV55" i="19" s="1"/>
  <c r="AN42" i="21"/>
  <c r="AN62" i="20"/>
  <c r="AN43" i="19"/>
  <c r="AN57" i="19"/>
  <c r="AP57" i="19" s="1"/>
  <c r="AV57" i="19" s="1"/>
  <c r="AN44" i="19"/>
  <c r="AN45" i="19"/>
  <c r="AN49" i="19"/>
  <c r="AN38" i="19"/>
  <c r="AN53" i="19"/>
  <c r="AP53" i="19" s="1"/>
  <c r="AV53" i="19" s="1"/>
  <c r="AN46" i="19"/>
  <c r="AN47" i="19"/>
  <c r="AN48" i="19"/>
  <c r="AN39" i="19"/>
  <c r="AN60" i="20"/>
  <c r="AP60" i="20" s="1"/>
  <c r="AV60" i="20" s="1"/>
  <c r="AX60" i="20" s="1"/>
  <c r="U60" i="20" s="1"/>
  <c r="W60" i="20" s="1"/>
  <c r="Y60" i="20" s="1"/>
  <c r="AN52" i="19"/>
  <c r="AN50" i="19"/>
  <c r="AN54" i="20"/>
  <c r="AP54" i="20" s="1"/>
  <c r="AV54" i="20" s="1"/>
  <c r="AX54" i="20" s="1"/>
  <c r="U54" i="20" s="1"/>
  <c r="W54" i="20" s="1"/>
  <c r="Y54" i="20" s="1"/>
  <c r="AN42" i="19"/>
  <c r="AN61" i="20"/>
  <c r="AP61" i="20" s="1"/>
  <c r="AV61" i="20" s="1"/>
  <c r="AX61" i="20" s="1"/>
  <c r="U61" i="20" s="1"/>
  <c r="W61" i="20" s="1"/>
  <c r="Y61" i="20" s="1"/>
  <c r="AN59" i="20"/>
  <c r="AP59" i="20" s="1"/>
  <c r="AV59" i="20" s="1"/>
  <c r="AX59" i="20" s="1"/>
  <c r="U59" i="20" s="1"/>
  <c r="W59" i="20" s="1"/>
  <c r="Y59" i="20" s="1"/>
  <c r="AN44" i="20"/>
  <c r="AP44" i="20" s="1"/>
  <c r="AV44" i="20" s="1"/>
  <c r="AX44" i="20" s="1"/>
  <c r="U44" i="20" s="1"/>
  <c r="W44" i="20" s="1"/>
  <c r="Y44" i="20" s="1"/>
  <c r="AN50" i="20"/>
  <c r="AP50" i="20" s="1"/>
  <c r="AV50" i="20" s="1"/>
  <c r="AX50" i="20" s="1"/>
  <c r="U50" i="20" s="1"/>
  <c r="W50" i="20" s="1"/>
  <c r="Y50" i="20" s="1"/>
  <c r="AN60" i="19"/>
  <c r="AP60" i="19" s="1"/>
  <c r="AV60" i="19" s="1"/>
  <c r="AN56" i="20"/>
  <c r="AP56" i="20" s="1"/>
  <c r="AV56" i="20" s="1"/>
  <c r="AX56" i="20" s="1"/>
  <c r="U56" i="20" s="1"/>
  <c r="W56" i="20" s="1"/>
  <c r="Y56" i="20" s="1"/>
  <c r="AN37" i="21"/>
  <c r="AP37" i="21" s="1"/>
  <c r="AV37" i="21" s="1"/>
  <c r="AN39" i="21"/>
  <c r="AP39" i="21" s="1"/>
  <c r="AV39" i="21" s="1"/>
  <c r="AX39" i="21" s="1"/>
  <c r="U39" i="21" s="1"/>
  <c r="W39" i="21" s="1"/>
  <c r="Y39" i="21" s="1"/>
  <c r="AN54" i="19"/>
  <c r="AP54" i="19" s="1"/>
  <c r="AV54" i="19" s="1"/>
  <c r="AN59" i="19"/>
  <c r="AP59" i="19" s="1"/>
  <c r="AV59" i="19" s="1"/>
  <c r="AN51" i="20"/>
  <c r="AP51" i="20" s="1"/>
  <c r="AV51" i="20" s="1"/>
  <c r="AX51" i="20" s="1"/>
  <c r="U51" i="20" s="1"/>
  <c r="W51" i="20" s="1"/>
  <c r="Y51" i="20" s="1"/>
  <c r="AN57" i="20"/>
  <c r="AP57" i="20" s="1"/>
  <c r="AV57" i="20" s="1"/>
  <c r="AX57" i="20" s="1"/>
  <c r="U57" i="20" s="1"/>
  <c r="W57" i="20" s="1"/>
  <c r="Y57" i="20" s="1"/>
  <c r="AN43" i="20"/>
  <c r="AP43" i="20" s="1"/>
  <c r="AV43" i="20" s="1"/>
  <c r="AX43" i="20" s="1"/>
  <c r="AN55" i="20"/>
  <c r="AP55" i="20" s="1"/>
  <c r="AV55" i="20" s="1"/>
  <c r="AX55" i="20" s="1"/>
  <c r="U55" i="20" s="1"/>
  <c r="W55" i="20" s="1"/>
  <c r="Y55" i="20" s="1"/>
  <c r="AN52" i="20"/>
  <c r="AP52" i="20" s="1"/>
  <c r="AV52" i="20" s="1"/>
  <c r="AX52" i="20" s="1"/>
  <c r="U52" i="20" s="1"/>
  <c r="W52" i="20" s="1"/>
  <c r="Y52" i="20" s="1"/>
  <c r="AN38" i="21"/>
  <c r="AP38" i="21" s="1"/>
  <c r="AV38" i="21" s="1"/>
  <c r="AX38" i="21" s="1"/>
  <c r="U38" i="21" s="1"/>
  <c r="W38" i="21" s="1"/>
  <c r="Y38" i="21" s="1"/>
  <c r="AN48" i="20"/>
  <c r="AP48" i="20" s="1"/>
  <c r="AV48" i="20" s="1"/>
  <c r="AX48" i="20" s="1"/>
  <c r="U48" i="20" s="1"/>
  <c r="W48" i="20" s="1"/>
  <c r="Y48" i="20" s="1"/>
  <c r="AN46" i="20"/>
  <c r="AP46" i="20" s="1"/>
  <c r="AV46" i="20" s="1"/>
  <c r="AX46" i="20" s="1"/>
  <c r="U46" i="20" s="1"/>
  <c r="W46" i="20" s="1"/>
  <c r="Y46" i="20" s="1"/>
  <c r="AN41" i="21"/>
  <c r="AP41" i="21" s="1"/>
  <c r="AV41" i="21" s="1"/>
  <c r="AX41" i="21" s="1"/>
  <c r="U41" i="21" s="1"/>
  <c r="W41" i="21" s="1"/>
  <c r="Y41" i="21" s="1"/>
  <c r="AN47" i="20"/>
  <c r="AP47" i="20" s="1"/>
  <c r="AV47" i="20" s="1"/>
  <c r="AX47" i="20" s="1"/>
  <c r="U47" i="20" s="1"/>
  <c r="W47" i="20" s="1"/>
  <c r="Y47" i="20" s="1"/>
  <c r="AN49" i="20"/>
  <c r="AP49" i="20" s="1"/>
  <c r="AV49" i="20" s="1"/>
  <c r="AX49" i="20" s="1"/>
  <c r="U49" i="20" s="1"/>
  <c r="W49" i="20" s="1"/>
  <c r="Y49" i="20" s="1"/>
  <c r="AN53" i="20"/>
  <c r="AP53" i="20" s="1"/>
  <c r="AV53" i="20" s="1"/>
  <c r="AX53" i="20" s="1"/>
  <c r="U53" i="20" s="1"/>
  <c r="W53" i="20" s="1"/>
  <c r="Y53" i="20" s="1"/>
  <c r="AN40" i="21"/>
  <c r="AP40" i="21" s="1"/>
  <c r="AV40" i="21" s="1"/>
  <c r="AX40" i="21" s="1"/>
  <c r="U40" i="21" s="1"/>
  <c r="W40" i="21" s="1"/>
  <c r="Y40" i="21" s="1"/>
  <c r="AN45" i="20"/>
  <c r="AP45" i="20" s="1"/>
  <c r="AV45" i="20" s="1"/>
  <c r="AX45" i="20" s="1"/>
  <c r="U45" i="20" s="1"/>
  <c r="W45" i="20" s="1"/>
  <c r="Y45" i="20" s="1"/>
  <c r="AN61" i="19"/>
  <c r="AP61" i="19" s="1"/>
  <c r="AV61" i="19" s="1"/>
  <c r="AN58" i="20"/>
  <c r="AP58" i="20" s="1"/>
  <c r="AV58" i="20" s="1"/>
  <c r="AX58" i="20" s="1"/>
  <c r="U58" i="20" s="1"/>
  <c r="W58" i="20" s="1"/>
  <c r="Y58" i="20" s="1"/>
  <c r="AN62" i="19"/>
  <c r="Y36" i="21"/>
  <c r="AF41" i="19"/>
  <c r="AL40" i="19"/>
  <c r="BB41" i="19"/>
  <c r="BF40" i="19"/>
  <c r="T60" i="5"/>
  <c r="Q49" i="5"/>
  <c r="P48" i="5"/>
  <c r="AC62" i="5"/>
  <c r="AB61" i="5"/>
  <c r="AD61" i="5"/>
  <c r="T61" i="5"/>
  <c r="AX37" i="21" l="1"/>
  <c r="AP42" i="21"/>
  <c r="AN47" i="21"/>
  <c r="AP62" i="20"/>
  <c r="AN66" i="20"/>
  <c r="AP62" i="19"/>
  <c r="AV62" i="19" s="1"/>
  <c r="AN66" i="19"/>
  <c r="U43" i="20"/>
  <c r="AT40" i="19"/>
  <c r="AL41" i="19"/>
  <c r="AF42" i="19"/>
  <c r="BF41" i="19"/>
  <c r="BB42" i="19"/>
  <c r="P49" i="5"/>
  <c r="Q50" i="5"/>
  <c r="AD62" i="5"/>
  <c r="AB62" i="5"/>
  <c r="AC63" i="5"/>
  <c r="AV42" i="21" l="1"/>
  <c r="AP47" i="21"/>
  <c r="W43" i="20"/>
  <c r="AV62" i="20"/>
  <c r="AP66" i="20"/>
  <c r="U37" i="21"/>
  <c r="AT41" i="19"/>
  <c r="BB43" i="19"/>
  <c r="BF42" i="19"/>
  <c r="AL42" i="19"/>
  <c r="AF43" i="19"/>
  <c r="AC64" i="5"/>
  <c r="AB63" i="5"/>
  <c r="AD63" i="5"/>
  <c r="Q51" i="5"/>
  <c r="P50" i="5"/>
  <c r="T62" i="5"/>
  <c r="W37" i="21" l="1"/>
  <c r="Y43" i="20"/>
  <c r="AV66" i="20"/>
  <c r="AX62" i="20"/>
  <c r="AX42" i="21"/>
  <c r="AV47" i="21"/>
  <c r="AL43" i="19"/>
  <c r="AF44" i="19"/>
  <c r="AT42" i="19"/>
  <c r="BF43" i="19"/>
  <c r="BB44" i="19"/>
  <c r="P51" i="5"/>
  <c r="Q52" i="5"/>
  <c r="T63" i="5"/>
  <c r="AD64" i="5"/>
  <c r="AC65" i="5"/>
  <c r="AB64" i="5"/>
  <c r="U42" i="21" l="1"/>
  <c r="AX47" i="21"/>
  <c r="U62" i="20"/>
  <c r="AX66" i="20"/>
  <c r="Y37" i="21"/>
  <c r="AF45" i="19"/>
  <c r="AL44" i="19"/>
  <c r="BF44" i="19"/>
  <c r="BB45" i="19"/>
  <c r="AT43" i="19"/>
  <c r="AC66" i="5"/>
  <c r="AB65" i="5"/>
  <c r="T65" i="5"/>
  <c r="AD65" i="5"/>
  <c r="Q53" i="5"/>
  <c r="P52" i="5"/>
  <c r="T64" i="5"/>
  <c r="W62" i="20" l="1"/>
  <c r="U66" i="20"/>
  <c r="S16" i="18" s="1"/>
  <c r="W42" i="21"/>
  <c r="U47" i="21"/>
  <c r="Q16" i="18" s="1"/>
  <c r="AL45" i="19"/>
  <c r="AF46" i="19"/>
  <c r="AT44" i="19"/>
  <c r="BF45" i="19"/>
  <c r="BB46" i="19"/>
  <c r="Q54" i="5"/>
  <c r="P53" i="5"/>
  <c r="AD66" i="5"/>
  <c r="T66" i="5"/>
  <c r="AC67" i="5"/>
  <c r="AB66" i="5"/>
  <c r="Y42" i="21" l="1"/>
  <c r="Y47" i="21" s="1"/>
  <c r="Q20" i="18" s="1"/>
  <c r="S41" i="23" s="1"/>
  <c r="U41" i="23" s="1"/>
  <c r="W47" i="21"/>
  <c r="Q18" i="18" s="1"/>
  <c r="Y62" i="20"/>
  <c r="Y66" i="20" s="1"/>
  <c r="S20" i="18" s="1"/>
  <c r="S39" i="23" s="1"/>
  <c r="U39" i="23" s="1"/>
  <c r="W66" i="20"/>
  <c r="S18" i="18" s="1"/>
  <c r="AT45" i="19"/>
  <c r="AF47" i="19"/>
  <c r="AL46" i="19"/>
  <c r="BB47" i="19"/>
  <c r="BF46" i="19"/>
  <c r="AC68" i="5"/>
  <c r="AB67" i="5"/>
  <c r="AD67" i="5"/>
  <c r="Q55" i="5"/>
  <c r="P54" i="5"/>
  <c r="AT46" i="19" l="1"/>
  <c r="BB48" i="19"/>
  <c r="BF47" i="19"/>
  <c r="AF48" i="19"/>
  <c r="AL47" i="19"/>
  <c r="P55" i="5"/>
  <c r="Q56" i="5"/>
  <c r="T67" i="5"/>
  <c r="AD68" i="5"/>
  <c r="AB68" i="5"/>
  <c r="AC69" i="5"/>
  <c r="AT47" i="19" l="1"/>
  <c r="AL48" i="19"/>
  <c r="AF49" i="19"/>
  <c r="BF48" i="19"/>
  <c r="BB49" i="19"/>
  <c r="AC70" i="5"/>
  <c r="AB69" i="5"/>
  <c r="AD69" i="5"/>
  <c r="T69" i="5"/>
  <c r="Q57" i="5"/>
  <c r="P56" i="5"/>
  <c r="T68" i="5"/>
  <c r="AL49" i="19" l="1"/>
  <c r="AF50" i="19"/>
  <c r="BF49" i="19"/>
  <c r="BB50" i="19"/>
  <c r="AT48" i="19"/>
  <c r="AD70" i="5"/>
  <c r="AB70" i="5"/>
  <c r="AC71" i="5"/>
  <c r="P57" i="5"/>
  <c r="Q58" i="5"/>
  <c r="BF50" i="19" l="1"/>
  <c r="BB51" i="19"/>
  <c r="AF51" i="19"/>
  <c r="AL50" i="19"/>
  <c r="AT49" i="19"/>
  <c r="Q59" i="5"/>
  <c r="P58" i="5"/>
  <c r="T70" i="5"/>
  <c r="AC72" i="5"/>
  <c r="AB71" i="5"/>
  <c r="AD71" i="5"/>
  <c r="T71" i="5"/>
  <c r="AT50" i="19" l="1"/>
  <c r="AF52" i="19"/>
  <c r="AF53" i="19" s="1"/>
  <c r="AL51" i="19"/>
  <c r="BB52" i="19"/>
  <c r="BB53" i="19" s="1"/>
  <c r="BF51" i="19"/>
  <c r="P59" i="5"/>
  <c r="Q60" i="5"/>
  <c r="AD72" i="5"/>
  <c r="AC73" i="5"/>
  <c r="AB72" i="5"/>
  <c r="BF53" i="19" l="1"/>
  <c r="BB54" i="19"/>
  <c r="AL53" i="19"/>
  <c r="AT53" i="19" s="1"/>
  <c r="AX53" i="19" s="1"/>
  <c r="U53" i="19" s="1"/>
  <c r="W53" i="19" s="1"/>
  <c r="Y53" i="19" s="1"/>
  <c r="AF54" i="19"/>
  <c r="AT51" i="19"/>
  <c r="AL52" i="19"/>
  <c r="BF52" i="19"/>
  <c r="T72" i="5"/>
  <c r="Q61" i="5"/>
  <c r="P60" i="5"/>
  <c r="AC74" i="5"/>
  <c r="AB73" i="5"/>
  <c r="T73" i="5"/>
  <c r="AD73" i="5"/>
  <c r="AF55" i="19" l="1"/>
  <c r="AL54" i="19"/>
  <c r="BF54" i="19"/>
  <c r="BB55" i="19"/>
  <c r="AT52" i="19"/>
  <c r="AC75" i="5"/>
  <c r="AB74" i="5"/>
  <c r="T74" i="5"/>
  <c r="AD74" i="5"/>
  <c r="Q62" i="5"/>
  <c r="P61" i="5"/>
  <c r="AT54" i="19" l="1"/>
  <c r="AX54" i="19" s="1"/>
  <c r="U54" i="19" s="1"/>
  <c r="W54" i="19" s="1"/>
  <c r="Y54" i="19" s="1"/>
  <c r="BF55" i="19"/>
  <c r="BB56" i="19"/>
  <c r="AF56" i="19"/>
  <c r="AL55" i="19"/>
  <c r="AT55" i="19" s="1"/>
  <c r="AX55" i="19" s="1"/>
  <c r="U55" i="19" s="1"/>
  <c r="W55" i="19" s="1"/>
  <c r="Y55" i="19" s="1"/>
  <c r="AB75" i="5"/>
  <c r="T75" i="5"/>
  <c r="AC76" i="5"/>
  <c r="AD75" i="5"/>
  <c r="Q63" i="5"/>
  <c r="P62" i="5"/>
  <c r="BB57" i="19" l="1"/>
  <c r="BF56" i="19"/>
  <c r="AL56" i="19"/>
  <c r="AT56" i="19" s="1"/>
  <c r="AX56" i="19" s="1"/>
  <c r="U56" i="19" s="1"/>
  <c r="W56" i="19" s="1"/>
  <c r="Y56" i="19" s="1"/>
  <c r="AF57" i="19"/>
  <c r="P63" i="5"/>
  <c r="Q64" i="5"/>
  <c r="AB76" i="5"/>
  <c r="AC77" i="5"/>
  <c r="AD76" i="5"/>
  <c r="AL57" i="19" l="1"/>
  <c r="AF58" i="19"/>
  <c r="BB58" i="19"/>
  <c r="BF57" i="19"/>
  <c r="T76" i="5"/>
  <c r="AD77" i="5"/>
  <c r="T77" i="5"/>
  <c r="AB77" i="5"/>
  <c r="AC78" i="5"/>
  <c r="Q65" i="5"/>
  <c r="P64" i="5"/>
  <c r="BF58" i="19" l="1"/>
  <c r="BB59" i="19"/>
  <c r="AF59" i="19"/>
  <c r="AL58" i="19"/>
  <c r="AT58" i="19" s="1"/>
  <c r="AX58" i="19" s="1"/>
  <c r="U58" i="19" s="1"/>
  <c r="W58" i="19" s="1"/>
  <c r="Y58" i="19" s="1"/>
  <c r="AT57" i="19"/>
  <c r="AX57" i="19" s="1"/>
  <c r="U57" i="19" s="1"/>
  <c r="W57" i="19" s="1"/>
  <c r="Y57" i="19" s="1"/>
  <c r="P65" i="5"/>
  <c r="Q66" i="5"/>
  <c r="AC79" i="5"/>
  <c r="AB78" i="5"/>
  <c r="AD78" i="5"/>
  <c r="T78" i="5"/>
  <c r="AF60" i="19" l="1"/>
  <c r="AL59" i="19"/>
  <c r="BF59" i="19"/>
  <c r="BB60" i="19"/>
  <c r="Q67" i="5"/>
  <c r="P66" i="5"/>
  <c r="AB79" i="5"/>
  <c r="AC80" i="5"/>
  <c r="AD79" i="5"/>
  <c r="T79" i="5"/>
  <c r="BB61" i="19" l="1"/>
  <c r="BF60" i="19"/>
  <c r="AT59" i="19"/>
  <c r="AX59" i="19" s="1"/>
  <c r="U59" i="19" s="1"/>
  <c r="W59" i="19" s="1"/>
  <c r="Y59" i="19" s="1"/>
  <c r="AL60" i="19"/>
  <c r="AT60" i="19" s="1"/>
  <c r="AX60" i="19" s="1"/>
  <c r="U60" i="19" s="1"/>
  <c r="W60" i="19" s="1"/>
  <c r="Y60" i="19" s="1"/>
  <c r="AF61" i="19"/>
  <c r="AB80" i="5"/>
  <c r="AC81" i="5"/>
  <c r="AD80" i="5"/>
  <c r="T80" i="5"/>
  <c r="P67" i="5"/>
  <c r="Q68" i="5"/>
  <c r="AL61" i="19" l="1"/>
  <c r="AF62" i="19"/>
  <c r="BF61" i="19"/>
  <c r="BB62" i="19"/>
  <c r="Q69" i="5"/>
  <c r="P68" i="5"/>
  <c r="AD81" i="5"/>
  <c r="T81" i="5"/>
  <c r="AC82" i="5"/>
  <c r="AB81" i="5"/>
  <c r="BF62" i="19" l="1"/>
  <c r="BF66" i="19" s="1"/>
  <c r="BB66" i="19"/>
  <c r="AL62" i="19"/>
  <c r="AF66" i="19"/>
  <c r="AT61" i="19"/>
  <c r="AX61" i="19" s="1"/>
  <c r="U61" i="19" s="1"/>
  <c r="W61" i="19" s="1"/>
  <c r="Y61" i="19" s="1"/>
  <c r="AC83" i="5"/>
  <c r="AB82" i="5"/>
  <c r="AD82" i="5"/>
  <c r="Q70" i="5"/>
  <c r="P69" i="5"/>
  <c r="AT62" i="19" l="1"/>
  <c r="AL66" i="19"/>
  <c r="Q71" i="5"/>
  <c r="P70" i="5"/>
  <c r="T82" i="5"/>
  <c r="AC84" i="5"/>
  <c r="AD83" i="5"/>
  <c r="AB83" i="5"/>
  <c r="AX62" i="19" l="1"/>
  <c r="U62" i="19" s="1"/>
  <c r="W62" i="19" s="1"/>
  <c r="Y62" i="19" s="1"/>
  <c r="AT66" i="19"/>
  <c r="AD84" i="5"/>
  <c r="AB84" i="5"/>
  <c r="AC85" i="5"/>
  <c r="T83" i="5"/>
  <c r="P71" i="5"/>
  <c r="Q72" i="5"/>
  <c r="Q73" i="5" l="1"/>
  <c r="P72" i="5"/>
  <c r="AD85" i="5"/>
  <c r="T85" i="5"/>
  <c r="AB85" i="5"/>
  <c r="AC86" i="5"/>
  <c r="T84" i="5"/>
  <c r="AC87" i="5" l="1"/>
  <c r="AB86" i="5"/>
  <c r="AD86" i="5"/>
  <c r="T86" i="5"/>
  <c r="P73" i="5"/>
  <c r="Q74" i="5"/>
  <c r="AD87" i="5" l="1"/>
  <c r="T87" i="5"/>
  <c r="AB87" i="5"/>
  <c r="AC88" i="5"/>
  <c r="P74" i="5"/>
  <c r="Q75" i="5"/>
  <c r="Q76" i="5" l="1"/>
  <c r="P75" i="5"/>
  <c r="AC89" i="5"/>
  <c r="AD88" i="5"/>
  <c r="AB88" i="5"/>
  <c r="T88" i="5"/>
  <c r="P76" i="5" l="1"/>
  <c r="Q77" i="5"/>
  <c r="AD89" i="5"/>
  <c r="AC90" i="5"/>
  <c r="AB89" i="5"/>
  <c r="AC91" i="5" l="1"/>
  <c r="AB90" i="5"/>
  <c r="T90" i="5"/>
  <c r="AD90" i="5"/>
  <c r="T89" i="5"/>
  <c r="P77" i="5"/>
  <c r="Q78" i="5"/>
  <c r="Q79" i="5" l="1"/>
  <c r="P78" i="5"/>
  <c r="AB91" i="5"/>
  <c r="T91" i="5"/>
  <c r="AC92" i="5"/>
  <c r="AD91" i="5"/>
  <c r="T92" i="5" l="1"/>
  <c r="AC93" i="5"/>
  <c r="AD92" i="5"/>
  <c r="AB92" i="5"/>
  <c r="Q80" i="5"/>
  <c r="P79" i="5"/>
  <c r="Q81" i="5" l="1"/>
  <c r="P80" i="5"/>
  <c r="AD93" i="5"/>
  <c r="T93" i="5"/>
  <c r="AB93" i="5"/>
  <c r="AC94" i="5"/>
  <c r="AC95" i="5" l="1"/>
  <c r="AB94" i="5"/>
  <c r="AD94" i="5"/>
  <c r="P81" i="5"/>
  <c r="Q82" i="5"/>
  <c r="P82" i="5" l="1"/>
  <c r="Q83" i="5"/>
  <c r="T94" i="5"/>
  <c r="AC96" i="5"/>
  <c r="AD95" i="5"/>
  <c r="AB95" i="5"/>
  <c r="Q84" i="5" l="1"/>
  <c r="P83" i="5"/>
  <c r="T95" i="5"/>
  <c r="AB96" i="5"/>
  <c r="AC97" i="5"/>
  <c r="AD96" i="5"/>
  <c r="T96" i="5"/>
  <c r="AD97" i="5" l="1"/>
  <c r="AC98" i="5"/>
  <c r="AB97" i="5"/>
  <c r="P84" i="5"/>
  <c r="Q85" i="5"/>
  <c r="Q86" i="5" l="1"/>
  <c r="P85" i="5"/>
  <c r="AC99" i="5"/>
  <c r="AB98" i="5"/>
  <c r="AD98" i="5"/>
  <c r="T98" i="5"/>
  <c r="T97" i="5"/>
  <c r="AC100" i="5" l="1"/>
  <c r="AD99" i="5"/>
  <c r="AB99" i="5"/>
  <c r="Q87" i="5"/>
  <c r="P86" i="5"/>
  <c r="AC101" i="5" l="1"/>
  <c r="AB100" i="5"/>
  <c r="AD100" i="5"/>
  <c r="T99" i="5"/>
  <c r="Q88" i="5"/>
  <c r="P87" i="5"/>
  <c r="P88" i="5" l="1"/>
  <c r="Q89" i="5"/>
  <c r="AD101" i="5"/>
  <c r="T101" i="5"/>
  <c r="AB101" i="5"/>
  <c r="AC102" i="5"/>
  <c r="T100" i="5"/>
  <c r="AC103" i="5" l="1"/>
  <c r="AB102" i="5"/>
  <c r="AD102" i="5"/>
  <c r="Q90" i="5"/>
  <c r="P89" i="5"/>
  <c r="P90" i="5" l="1"/>
  <c r="Q91" i="5"/>
  <c r="T102" i="5"/>
  <c r="AC104" i="5"/>
  <c r="AB103" i="5"/>
  <c r="AD103" i="5"/>
  <c r="T103" i="5" l="1"/>
  <c r="AC105" i="5"/>
  <c r="AD104" i="5"/>
  <c r="AB104" i="5"/>
  <c r="T104" i="5"/>
  <c r="Q92" i="5"/>
  <c r="P91" i="5"/>
  <c r="Q93" i="5" l="1"/>
  <c r="P92" i="5"/>
  <c r="AD105" i="5"/>
  <c r="T105" i="5"/>
  <c r="AC106" i="5"/>
  <c r="AB105" i="5"/>
  <c r="AC107" i="5" l="1"/>
  <c r="AB106" i="5"/>
  <c r="T106" i="5"/>
  <c r="AD106" i="5"/>
  <c r="P93" i="5"/>
  <c r="Q94" i="5"/>
  <c r="Q95" i="5" l="1"/>
  <c r="P94" i="5"/>
  <c r="AB107" i="5"/>
  <c r="T107" i="5"/>
  <c r="AC108" i="5"/>
  <c r="AD107" i="5"/>
  <c r="AB108" i="5" l="1"/>
  <c r="AD108" i="5"/>
  <c r="AC109" i="5"/>
  <c r="Q96" i="5"/>
  <c r="P95" i="5"/>
  <c r="Q97" i="5" l="1"/>
  <c r="P96" i="5"/>
  <c r="AD109" i="5"/>
  <c r="T109" i="5"/>
  <c r="AB109" i="5"/>
  <c r="AC110" i="5"/>
  <c r="T108" i="5"/>
  <c r="Q98" i="5" l="1"/>
  <c r="P97" i="5"/>
  <c r="AC111" i="5"/>
  <c r="AB110" i="5"/>
  <c r="AD110" i="5"/>
  <c r="T110" i="5"/>
  <c r="AB111" i="5" l="1"/>
  <c r="AD111" i="5"/>
  <c r="AC112" i="5"/>
  <c r="P98" i="5"/>
  <c r="Q99" i="5"/>
  <c r="AB112" i="5" l="1"/>
  <c r="AC113" i="5"/>
  <c r="AD112" i="5"/>
  <c r="T112" i="5"/>
  <c r="T111" i="5"/>
  <c r="Q100" i="5"/>
  <c r="P99" i="5"/>
  <c r="AD113" i="5" l="1"/>
  <c r="AC114" i="5"/>
  <c r="AB113" i="5"/>
  <c r="Q101" i="5"/>
  <c r="P100" i="5"/>
  <c r="AC115" i="5" l="1"/>
  <c r="AB114" i="5"/>
  <c r="AD114" i="5"/>
  <c r="T114" i="5"/>
  <c r="Q102" i="5"/>
  <c r="P101" i="5"/>
  <c r="T113" i="5"/>
  <c r="AC116" i="5" l="1"/>
  <c r="AB115" i="5"/>
  <c r="AD115" i="5"/>
  <c r="Q103" i="5"/>
  <c r="P102" i="5"/>
  <c r="T115" i="5" l="1"/>
  <c r="Q104" i="5"/>
  <c r="P103" i="5"/>
  <c r="AD116" i="5"/>
  <c r="T116" i="5"/>
  <c r="AC117" i="5"/>
  <c r="AB116" i="5"/>
  <c r="AC118" i="5" l="1"/>
  <c r="AB117" i="5"/>
  <c r="AD117" i="5"/>
  <c r="P104" i="5"/>
  <c r="Q105" i="5"/>
  <c r="P105" i="5" l="1"/>
  <c r="Q106" i="5"/>
  <c r="T117" i="5"/>
  <c r="AC119" i="5"/>
  <c r="AB118" i="5"/>
  <c r="T118" i="5"/>
  <c r="AD118" i="5"/>
  <c r="AC120" i="5" l="1"/>
  <c r="AB119" i="5"/>
  <c r="AD119" i="5"/>
  <c r="P106" i="5"/>
  <c r="Q107" i="5"/>
  <c r="AD120" i="5" l="1"/>
  <c r="AC121" i="5"/>
  <c r="AB120" i="5"/>
  <c r="T119" i="5"/>
  <c r="Q108" i="5"/>
  <c r="P107" i="5"/>
  <c r="P108" i="5" l="1"/>
  <c r="Q109" i="5"/>
  <c r="T120" i="5"/>
  <c r="AC122" i="5"/>
  <c r="AB121" i="5"/>
  <c r="AD121" i="5"/>
  <c r="T121" i="5"/>
  <c r="AC123" i="5" l="1"/>
  <c r="AB122" i="5"/>
  <c r="AD122" i="5"/>
  <c r="T122" i="5"/>
  <c r="P109" i="5"/>
  <c r="Q110" i="5"/>
  <c r="AC124" i="5" l="1"/>
  <c r="AB123" i="5"/>
  <c r="T123" i="5"/>
  <c r="AD123" i="5"/>
  <c r="Q111" i="5"/>
  <c r="P110" i="5"/>
  <c r="Q112" i="5" l="1"/>
  <c r="P111" i="5"/>
  <c r="AD124" i="5"/>
  <c r="T124" i="5"/>
  <c r="AC125" i="5"/>
  <c r="AB124" i="5"/>
  <c r="AC126" i="5" l="1"/>
  <c r="AB125" i="5"/>
  <c r="AD125" i="5"/>
  <c r="Q113" i="5"/>
  <c r="P112" i="5"/>
  <c r="P113" i="5" l="1"/>
  <c r="Q114" i="5"/>
  <c r="T125" i="5"/>
  <c r="AC127" i="5"/>
  <c r="AB126" i="5"/>
  <c r="AD126" i="5"/>
  <c r="T126" i="5"/>
  <c r="P114" i="5" l="1"/>
  <c r="Q115" i="5"/>
  <c r="AC128" i="5"/>
  <c r="AB127" i="5"/>
  <c r="AD127" i="5"/>
  <c r="Q116" i="5" l="1"/>
  <c r="P115" i="5"/>
  <c r="AD128" i="5"/>
  <c r="T128" i="5"/>
  <c r="AC129" i="5"/>
  <c r="AB128" i="5"/>
  <c r="T127" i="5"/>
  <c r="AC130" i="5" l="1"/>
  <c r="AB129" i="5"/>
  <c r="AD129" i="5"/>
  <c r="Q117" i="5"/>
  <c r="P116" i="5"/>
  <c r="Q118" i="5" l="1"/>
  <c r="P117" i="5"/>
  <c r="T129" i="5"/>
  <c r="AC131" i="5"/>
  <c r="AB130" i="5"/>
  <c r="T130" i="5"/>
  <c r="AD130" i="5"/>
  <c r="AC132" i="5" l="1"/>
  <c r="AB131" i="5"/>
  <c r="AD131" i="5"/>
  <c r="Q119" i="5"/>
  <c r="P118" i="5"/>
  <c r="T131" i="5" l="1"/>
  <c r="Q120" i="5"/>
  <c r="P119" i="5"/>
  <c r="AD132" i="5"/>
  <c r="T132" i="5"/>
  <c r="AC133" i="5"/>
  <c r="AB132" i="5"/>
  <c r="AC134" i="5" l="1"/>
  <c r="AB133" i="5"/>
  <c r="AD133" i="5"/>
  <c r="Q121" i="5"/>
  <c r="P120" i="5"/>
  <c r="Q122" i="5" l="1"/>
  <c r="P121" i="5"/>
  <c r="T133" i="5"/>
  <c r="AC135" i="5"/>
  <c r="AB134" i="5"/>
  <c r="AD134" i="5"/>
  <c r="Q123" i="5" l="1"/>
  <c r="P122" i="5"/>
  <c r="AC136" i="5"/>
  <c r="AB135" i="5"/>
  <c r="T135" i="5"/>
  <c r="AD135" i="5"/>
  <c r="T134" i="5"/>
  <c r="Q124" i="5" l="1"/>
  <c r="P123" i="5"/>
  <c r="AD136" i="5"/>
  <c r="T136" i="5"/>
  <c r="AC137" i="5"/>
  <c r="AB136" i="5"/>
  <c r="AC138" i="5" l="1"/>
  <c r="AB137" i="5"/>
  <c r="AD137" i="5"/>
  <c r="Q125" i="5"/>
  <c r="P124" i="5"/>
  <c r="Q126" i="5" l="1"/>
  <c r="P125" i="5"/>
  <c r="T137" i="5"/>
  <c r="AC139" i="5"/>
  <c r="AB138" i="5"/>
  <c r="AD138" i="5"/>
  <c r="T138" i="5"/>
  <c r="AC140" i="5" l="1"/>
  <c r="AB139" i="5"/>
  <c r="T139" i="5"/>
  <c r="AD139" i="5"/>
  <c r="Q127" i="5"/>
  <c r="P126" i="5"/>
  <c r="Q128" i="5" l="1"/>
  <c r="P127" i="5"/>
  <c r="AD140" i="5"/>
  <c r="T140" i="5"/>
  <c r="AC141" i="5"/>
  <c r="AB140" i="5"/>
  <c r="AC142" i="5" l="1"/>
  <c r="AB141" i="5"/>
  <c r="AD141" i="5"/>
  <c r="Q129" i="5"/>
  <c r="P128" i="5"/>
  <c r="Q130" i="5" l="1"/>
  <c r="P129" i="5"/>
  <c r="T141" i="5"/>
  <c r="AC143" i="5"/>
  <c r="AB142" i="5"/>
  <c r="AD142" i="5"/>
  <c r="T142" i="5"/>
  <c r="Q131" i="5" l="1"/>
  <c r="P130" i="5"/>
  <c r="AC144" i="5"/>
  <c r="AB143" i="5"/>
  <c r="AD143" i="5"/>
  <c r="AD144" i="5" l="1"/>
  <c r="AC145" i="5"/>
  <c r="AB144" i="5"/>
  <c r="T143" i="5"/>
  <c r="Q132" i="5"/>
  <c r="P131" i="5"/>
  <c r="Q133" i="5" l="1"/>
  <c r="P132" i="5"/>
  <c r="AC146" i="5"/>
  <c r="AB145" i="5"/>
  <c r="AD145" i="5"/>
  <c r="T145" i="5"/>
  <c r="T144" i="5"/>
  <c r="AC147" i="5" l="1"/>
  <c r="AB146" i="5"/>
  <c r="T146" i="5"/>
  <c r="AD146" i="5"/>
  <c r="Q134" i="5"/>
  <c r="P133" i="5"/>
  <c r="AC148" i="5" l="1"/>
  <c r="AB147" i="5"/>
  <c r="AD147" i="5"/>
  <c r="Q135" i="5"/>
  <c r="P134" i="5"/>
  <c r="T147" i="5" l="1"/>
  <c r="Q136" i="5"/>
  <c r="P135" i="5"/>
  <c r="AD148" i="5"/>
  <c r="T148" i="5"/>
  <c r="AC149" i="5"/>
  <c r="AB148" i="5"/>
  <c r="AC150" i="5" l="1"/>
  <c r="AB149" i="5"/>
  <c r="AD149" i="5"/>
  <c r="Q137" i="5"/>
  <c r="P136" i="5"/>
  <c r="Q138" i="5" l="1"/>
  <c r="P137" i="5"/>
  <c r="T149" i="5"/>
  <c r="AC151" i="5"/>
  <c r="AB150" i="5"/>
  <c r="AD150" i="5"/>
  <c r="Q139" i="5" l="1"/>
  <c r="P138" i="5"/>
  <c r="AC152" i="5"/>
  <c r="AB151" i="5"/>
  <c r="T151" i="5"/>
  <c r="AD151" i="5"/>
  <c r="T150" i="5"/>
  <c r="AD152" i="5" l="1"/>
  <c r="AC153" i="5"/>
  <c r="AB152" i="5"/>
  <c r="Q140" i="5"/>
  <c r="P139" i="5"/>
  <c r="Q141" i="5" l="1"/>
  <c r="P140" i="5"/>
  <c r="T152" i="5"/>
  <c r="AC154" i="5"/>
  <c r="AB153" i="5"/>
  <c r="AD153" i="5"/>
  <c r="T153" i="5"/>
  <c r="AC155" i="5" l="1"/>
  <c r="AB154" i="5"/>
  <c r="AD154" i="5"/>
  <c r="Q142" i="5"/>
  <c r="P141" i="5"/>
  <c r="Q143" i="5" l="1"/>
  <c r="P142" i="5"/>
  <c r="T154" i="5"/>
  <c r="AC156" i="5"/>
  <c r="AB155" i="5"/>
  <c r="AD155" i="5"/>
  <c r="Q144" i="5" l="1"/>
  <c r="P143" i="5"/>
  <c r="AD156" i="5"/>
  <c r="T156" i="5"/>
  <c r="AC157" i="5"/>
  <c r="AB156" i="5"/>
  <c r="T155" i="5"/>
  <c r="AC158" i="5" l="1"/>
  <c r="AB157" i="5"/>
  <c r="AD157" i="5"/>
  <c r="Q145" i="5"/>
  <c r="P144" i="5"/>
  <c r="Q146" i="5" l="1"/>
  <c r="P145" i="5"/>
  <c r="T157" i="5"/>
  <c r="AC159" i="5"/>
  <c r="AD158" i="5"/>
  <c r="AB158" i="5"/>
  <c r="T158" i="5" l="1"/>
  <c r="AB159" i="5"/>
  <c r="AC160" i="5"/>
  <c r="AD159" i="5"/>
  <c r="Q147" i="5"/>
  <c r="P146" i="5"/>
  <c r="AD160" i="5" l="1"/>
  <c r="T160" i="5"/>
  <c r="AB160" i="5"/>
  <c r="AC161" i="5"/>
  <c r="Q148" i="5"/>
  <c r="P147" i="5"/>
  <c r="T159" i="5"/>
  <c r="AC162" i="5" l="1"/>
  <c r="AB161" i="5"/>
  <c r="AD161" i="5"/>
  <c r="Q149" i="5"/>
  <c r="P148" i="5"/>
  <c r="Q150" i="5" l="1"/>
  <c r="P149" i="5"/>
  <c r="T161" i="5"/>
  <c r="AC163" i="5"/>
  <c r="AD162" i="5"/>
  <c r="AB162" i="5"/>
  <c r="Q151" i="5" l="1"/>
  <c r="P150" i="5"/>
  <c r="T162" i="5"/>
  <c r="AC164" i="5"/>
  <c r="AD163" i="5"/>
  <c r="AB163" i="5"/>
  <c r="T163" i="5" l="1"/>
  <c r="AD164" i="5"/>
  <c r="T164" i="5"/>
  <c r="AC165" i="5"/>
  <c r="AB164" i="5"/>
  <c r="Q152" i="5"/>
  <c r="P151" i="5"/>
  <c r="AC166" i="5" l="1"/>
  <c r="AB165" i="5"/>
  <c r="T165" i="5"/>
  <c r="AD165" i="5"/>
  <c r="Q153" i="5"/>
  <c r="P152" i="5"/>
  <c r="Q154" i="5" l="1"/>
  <c r="P153" i="5"/>
  <c r="AB166" i="5"/>
  <c r="T166" i="5"/>
  <c r="AD166" i="5"/>
  <c r="AC167" i="5"/>
  <c r="AC168" i="5" l="1"/>
  <c r="AD167" i="5"/>
  <c r="AB167" i="5"/>
  <c r="Q155" i="5"/>
  <c r="P154" i="5"/>
  <c r="Q156" i="5" l="1"/>
  <c r="P155" i="5"/>
  <c r="AD168" i="5"/>
  <c r="T168" i="5"/>
  <c r="AC169" i="5"/>
  <c r="AB168" i="5"/>
  <c r="T167" i="5"/>
  <c r="AC170" i="5" l="1"/>
  <c r="AB169" i="5"/>
  <c r="T169" i="5"/>
  <c r="AD169" i="5"/>
  <c r="P156" i="5"/>
  <c r="Q157" i="5"/>
  <c r="P157" i="5" l="1"/>
  <c r="Q158" i="5"/>
  <c r="AB170" i="5"/>
  <c r="AD170" i="5"/>
  <c r="AC171" i="5"/>
  <c r="AB171" i="5" l="1"/>
  <c r="AC172" i="5"/>
  <c r="AD171" i="5"/>
  <c r="Q159" i="5"/>
  <c r="P158" i="5"/>
  <c r="T170" i="5"/>
  <c r="AD172" i="5" l="1"/>
  <c r="AC173" i="5"/>
  <c r="AB172" i="5"/>
  <c r="T171" i="5"/>
  <c r="Q160" i="5"/>
  <c r="P159" i="5"/>
  <c r="T172" i="5" l="1"/>
  <c r="AC174" i="5"/>
  <c r="AB173" i="5"/>
  <c r="AD173" i="5"/>
  <c r="Q161" i="5"/>
  <c r="P160" i="5"/>
  <c r="T173" i="5" l="1"/>
  <c r="AC175" i="5"/>
  <c r="AD174" i="5"/>
  <c r="AB174" i="5"/>
  <c r="Q162" i="5"/>
  <c r="P161" i="5"/>
  <c r="Q163" i="5" l="1"/>
  <c r="P162" i="5"/>
  <c r="T174" i="5"/>
  <c r="AB175" i="5"/>
  <c r="AC176" i="5"/>
  <c r="AD175" i="5"/>
  <c r="P163" i="5" l="1"/>
  <c r="Q164" i="5"/>
  <c r="T175" i="5"/>
  <c r="AD176" i="5"/>
  <c r="AB176" i="5"/>
  <c r="AC177" i="5"/>
  <c r="AC178" i="5" l="1"/>
  <c r="AB177" i="5"/>
  <c r="AD177" i="5"/>
  <c r="T177" i="5"/>
  <c r="Q165" i="5"/>
  <c r="P164" i="5"/>
  <c r="T176" i="5"/>
  <c r="AC179" i="5" l="1"/>
  <c r="AD178" i="5"/>
  <c r="AB178" i="5"/>
  <c r="T178" i="5"/>
  <c r="Q166" i="5"/>
  <c r="P165" i="5"/>
  <c r="Q167" i="5" l="1"/>
  <c r="P166" i="5"/>
  <c r="AC180" i="5"/>
  <c r="AD179" i="5"/>
  <c r="AB179" i="5"/>
  <c r="T179" i="5" l="1"/>
  <c r="AD180" i="5"/>
  <c r="T180" i="5"/>
  <c r="AC181" i="5"/>
  <c r="AB180" i="5"/>
  <c r="P167" i="5"/>
  <c r="Q168" i="5"/>
  <c r="P168" i="5" l="1"/>
  <c r="Q169" i="5"/>
  <c r="AC182" i="5"/>
  <c r="AB181" i="5"/>
  <c r="T181" i="5"/>
  <c r="AD181" i="5"/>
  <c r="P169" i="5" l="1"/>
  <c r="Q170" i="5"/>
  <c r="AB182" i="5"/>
  <c r="T182" i="5"/>
  <c r="AC183" i="5"/>
  <c r="AD182" i="5"/>
  <c r="Q171" i="5" l="1"/>
  <c r="P170" i="5"/>
  <c r="AC184" i="5"/>
  <c r="AD183" i="5"/>
  <c r="AB183" i="5"/>
  <c r="AD184" i="5" l="1"/>
  <c r="AC185" i="5"/>
  <c r="AB184" i="5"/>
  <c r="T183" i="5"/>
  <c r="Q172" i="5"/>
  <c r="P171" i="5"/>
  <c r="P172" i="5" l="1"/>
  <c r="Q173" i="5"/>
  <c r="T184" i="5"/>
  <c r="AC186" i="5"/>
  <c r="AB185" i="5"/>
  <c r="AD185" i="5"/>
  <c r="AB186" i="5" l="1"/>
  <c r="T186" i="5"/>
  <c r="AD186" i="5"/>
  <c r="AC187" i="5"/>
  <c r="T185" i="5"/>
  <c r="P173" i="5"/>
  <c r="Q174" i="5"/>
  <c r="Q175" i="5" l="1"/>
  <c r="P174" i="5"/>
  <c r="AB187" i="5"/>
  <c r="T187" i="5"/>
  <c r="AD187" i="5"/>
  <c r="AC188" i="5"/>
  <c r="AD188" i="5" l="1"/>
  <c r="AB188" i="5"/>
  <c r="AC189" i="5"/>
  <c r="Q176" i="5"/>
  <c r="P175" i="5"/>
  <c r="Q177" i="5" l="1"/>
  <c r="P176" i="5"/>
  <c r="T188" i="5"/>
  <c r="AC190" i="5"/>
  <c r="AB189" i="5"/>
  <c r="AD189" i="5"/>
  <c r="T189" i="5"/>
  <c r="AC191" i="5" l="1"/>
  <c r="AD190" i="5"/>
  <c r="AB190" i="5"/>
  <c r="Q178" i="5"/>
  <c r="P177" i="5"/>
  <c r="Q179" i="5" l="1"/>
  <c r="P178" i="5"/>
  <c r="T190" i="5"/>
  <c r="AB191" i="5"/>
  <c r="AC192" i="5"/>
  <c r="AD191" i="5"/>
  <c r="P179" i="5" l="1"/>
  <c r="Q180" i="5"/>
  <c r="T191" i="5"/>
  <c r="AD192" i="5"/>
  <c r="AB192" i="5"/>
  <c r="AC193" i="5"/>
  <c r="AC194" i="5" l="1"/>
  <c r="AB193" i="5"/>
  <c r="AD193" i="5"/>
  <c r="T193" i="5"/>
  <c r="Q181" i="5"/>
  <c r="P180" i="5"/>
  <c r="T192" i="5"/>
  <c r="AC195" i="5" l="1"/>
  <c r="AD194" i="5"/>
  <c r="AB194" i="5"/>
  <c r="T194" i="5"/>
  <c r="Q182" i="5"/>
  <c r="P181" i="5"/>
  <c r="Q183" i="5" l="1"/>
  <c r="P182" i="5"/>
  <c r="AC196" i="5"/>
  <c r="AD195" i="5"/>
  <c r="AB195" i="5"/>
  <c r="T195" i="5" l="1"/>
  <c r="AD196" i="5"/>
  <c r="T196" i="5"/>
  <c r="AB196" i="5"/>
  <c r="AC197" i="5"/>
  <c r="P183" i="5"/>
  <c r="Q184" i="5"/>
  <c r="P184" i="5" l="1"/>
  <c r="Q185" i="5"/>
  <c r="AC198" i="5"/>
  <c r="AB197" i="5"/>
  <c r="AD197" i="5"/>
  <c r="T197" i="5" l="1"/>
  <c r="AD198" i="5"/>
  <c r="T198" i="5"/>
  <c r="AB198" i="5"/>
  <c r="AC199" i="5"/>
  <c r="P185" i="5"/>
  <c r="Q186" i="5"/>
  <c r="Q187" i="5" l="1"/>
  <c r="P186" i="5"/>
  <c r="AC200" i="5"/>
  <c r="AB199" i="5"/>
  <c r="AD199" i="5"/>
  <c r="T199" i="5"/>
  <c r="AD200" i="5" l="1"/>
  <c r="AC201" i="5"/>
  <c r="AB200" i="5"/>
  <c r="Q188" i="5"/>
  <c r="P187" i="5"/>
  <c r="AC202" i="5" l="1"/>
  <c r="AB201" i="5"/>
  <c r="T201" i="5"/>
  <c r="AD201" i="5"/>
  <c r="P188" i="5"/>
  <c r="Q189" i="5"/>
  <c r="T200" i="5"/>
  <c r="P189" i="5" l="1"/>
  <c r="Q190" i="5"/>
  <c r="AD202" i="5"/>
  <c r="T202" i="5"/>
  <c r="AB202" i="5"/>
  <c r="AC203" i="5"/>
  <c r="Q191" i="5" l="1"/>
  <c r="P190" i="5"/>
  <c r="AC204" i="5"/>
  <c r="AB203" i="5"/>
  <c r="AD203" i="5"/>
  <c r="T203" i="5"/>
  <c r="AD204" i="5" l="1"/>
  <c r="AB204" i="5"/>
  <c r="AC205" i="5"/>
  <c r="Q192" i="5"/>
  <c r="P191" i="5"/>
  <c r="Q193" i="5" l="1"/>
  <c r="P192" i="5"/>
  <c r="T204" i="5"/>
  <c r="AC206" i="5"/>
  <c r="AB205" i="5"/>
  <c r="AD205" i="5"/>
  <c r="T205" i="5"/>
  <c r="Q194" i="5" l="1"/>
  <c r="P193" i="5"/>
  <c r="AD206" i="5"/>
  <c r="T206" i="5"/>
  <c r="AB206" i="5"/>
  <c r="AC207" i="5"/>
  <c r="AC208" i="5" l="1"/>
  <c r="AB207" i="5"/>
  <c r="AD207" i="5"/>
  <c r="T207" i="5"/>
  <c r="Q195" i="5"/>
  <c r="P194" i="5"/>
  <c r="P195" i="5" l="1"/>
  <c r="Q196" i="5"/>
  <c r="AD208" i="5"/>
  <c r="T208" i="5"/>
  <c r="AC209" i="5"/>
  <c r="AB208" i="5"/>
  <c r="AC210" i="5" l="1"/>
  <c r="AB209" i="5"/>
  <c r="T209" i="5"/>
  <c r="AD209" i="5"/>
  <c r="Q197" i="5"/>
  <c r="P196" i="5"/>
  <c r="Q198" i="5" l="1"/>
  <c r="P197" i="5"/>
  <c r="AD210" i="5"/>
  <c r="AB210" i="5"/>
  <c r="AC211" i="5"/>
  <c r="Q199" i="5" l="1"/>
  <c r="P198" i="5"/>
  <c r="T210" i="5"/>
  <c r="AC212" i="5"/>
  <c r="AB211" i="5"/>
  <c r="AD211" i="5"/>
  <c r="T211" i="5"/>
  <c r="AD212" i="5" l="1"/>
  <c r="T212" i="5"/>
  <c r="AB212" i="5"/>
  <c r="AC213" i="5"/>
  <c r="P199" i="5"/>
  <c r="Q200" i="5"/>
  <c r="AC214" i="5" l="1"/>
  <c r="AB213" i="5"/>
  <c r="AD213" i="5"/>
  <c r="Q201" i="5"/>
  <c r="P200" i="5"/>
  <c r="P201" i="5" l="1"/>
  <c r="Q202" i="5"/>
  <c r="T213" i="5"/>
  <c r="AD214" i="5"/>
  <c r="AB214" i="5"/>
  <c r="AC215" i="5"/>
  <c r="AC216" i="5" l="1"/>
  <c r="AB215" i="5"/>
  <c r="AD215" i="5"/>
  <c r="T215" i="5"/>
  <c r="Q203" i="5"/>
  <c r="P202" i="5"/>
  <c r="T214" i="5"/>
  <c r="AD216" i="5" l="1"/>
  <c r="AC217" i="5"/>
  <c r="AB216" i="5"/>
  <c r="P203" i="5"/>
  <c r="Q204" i="5"/>
  <c r="Q205" i="5" l="1"/>
  <c r="P204" i="5"/>
  <c r="T216" i="5"/>
  <c r="AC218" i="5"/>
  <c r="AB217" i="5"/>
  <c r="AD217" i="5"/>
  <c r="Q206" i="5" l="1"/>
  <c r="P205" i="5"/>
  <c r="AD218" i="5"/>
  <c r="T218" i="5"/>
  <c r="AB218" i="5"/>
  <c r="AC219" i="5"/>
  <c r="T217" i="5"/>
  <c r="AC220" i="5" l="1"/>
  <c r="AB219" i="5"/>
  <c r="AD219" i="5"/>
  <c r="T219" i="5"/>
  <c r="Q207" i="5"/>
  <c r="P206" i="5"/>
  <c r="AD220" i="5" l="1"/>
  <c r="AB220" i="5"/>
  <c r="AC221" i="5"/>
  <c r="P207" i="5"/>
  <c r="Q208" i="5"/>
  <c r="T220" i="5" l="1"/>
  <c r="Q209" i="5"/>
  <c r="P208" i="5"/>
  <c r="AC222" i="5"/>
  <c r="AB221" i="5"/>
  <c r="AD221" i="5"/>
  <c r="T221" i="5"/>
  <c r="AD222" i="5" l="1"/>
  <c r="AB222" i="5"/>
  <c r="AC223" i="5"/>
  <c r="P209" i="5"/>
  <c r="Q210" i="5"/>
  <c r="AC224" i="5" l="1"/>
  <c r="AB223" i="5"/>
  <c r="AD223" i="5"/>
  <c r="Q211" i="5"/>
  <c r="P210" i="5"/>
  <c r="T222" i="5"/>
  <c r="P211" i="5" l="1"/>
  <c r="Q212" i="5"/>
  <c r="T223" i="5"/>
  <c r="AD224" i="5"/>
  <c r="T224" i="5"/>
  <c r="AC225" i="5"/>
  <c r="AB224" i="5"/>
  <c r="AC226" i="5" l="1"/>
  <c r="AB225" i="5"/>
  <c r="T225" i="5"/>
  <c r="AD225" i="5"/>
  <c r="Q213" i="5"/>
  <c r="P212" i="5"/>
  <c r="Q214" i="5" l="1"/>
  <c r="P213" i="5"/>
  <c r="AD226" i="5"/>
  <c r="AB226" i="5"/>
  <c r="AC227" i="5"/>
  <c r="Q215" i="5" l="1"/>
  <c r="P214" i="5"/>
  <c r="T226" i="5"/>
  <c r="AC228" i="5"/>
  <c r="AB227" i="5"/>
  <c r="AD227" i="5"/>
  <c r="T227" i="5"/>
  <c r="T228" i="5" l="1"/>
  <c r="AD228" i="5"/>
  <c r="AB228" i="5"/>
  <c r="AC229" i="5"/>
  <c r="P215" i="5"/>
  <c r="Q216" i="5"/>
  <c r="AD229" i="5" l="1"/>
  <c r="AB229" i="5"/>
  <c r="AC230" i="5"/>
  <c r="Q217" i="5"/>
  <c r="P216" i="5"/>
  <c r="P217" i="5" l="1"/>
  <c r="Q218" i="5"/>
  <c r="T229" i="5"/>
  <c r="AC231" i="5"/>
  <c r="AB230" i="5"/>
  <c r="AD230" i="5"/>
  <c r="T230" i="5"/>
  <c r="AD231" i="5" l="1"/>
  <c r="AB231" i="5"/>
  <c r="AC232" i="5"/>
  <c r="Q219" i="5"/>
  <c r="P218" i="5"/>
  <c r="T231" i="5" l="1"/>
  <c r="AC233" i="5"/>
  <c r="AD232" i="5"/>
  <c r="AB232" i="5"/>
  <c r="T232" i="5"/>
  <c r="P219" i="5"/>
  <c r="Q220" i="5"/>
  <c r="Q221" i="5" l="1"/>
  <c r="P220" i="5"/>
  <c r="AD233" i="5"/>
  <c r="T233" i="5"/>
  <c r="AC234" i="5"/>
  <c r="AB233" i="5"/>
  <c r="AC235" i="5" l="1"/>
  <c r="AB234" i="5"/>
  <c r="T234" i="5"/>
  <c r="AD234" i="5"/>
  <c r="Q222" i="5"/>
  <c r="P221" i="5"/>
  <c r="Q223" i="5" l="1"/>
  <c r="P222" i="5"/>
  <c r="AB235" i="5"/>
  <c r="T235" i="5"/>
  <c r="AC236" i="5"/>
  <c r="AD235" i="5"/>
  <c r="AC237" i="5" l="1"/>
  <c r="AD236" i="5"/>
  <c r="AB236" i="5"/>
  <c r="P223" i="5"/>
  <c r="Q224" i="5"/>
  <c r="AD237" i="5" l="1"/>
  <c r="AB237" i="5"/>
  <c r="AC238" i="5"/>
  <c r="Q225" i="5"/>
  <c r="P224" i="5"/>
  <c r="T236" i="5"/>
  <c r="AC239" i="5" l="1"/>
  <c r="AB238" i="5"/>
  <c r="T238" i="5"/>
  <c r="AD238" i="5"/>
  <c r="P225" i="5"/>
  <c r="Q226" i="5"/>
  <c r="T237" i="5"/>
  <c r="Q227" i="5" l="1"/>
  <c r="P226" i="5"/>
  <c r="AC240" i="5"/>
  <c r="AD239" i="5"/>
  <c r="AB239" i="5"/>
  <c r="T239" i="5" l="1"/>
  <c r="AB240" i="5"/>
  <c r="AC241" i="5"/>
  <c r="AD240" i="5"/>
  <c r="P227" i="5"/>
  <c r="Q228" i="5"/>
  <c r="T240" i="5" l="1"/>
  <c r="P228" i="5"/>
  <c r="Q229" i="5"/>
  <c r="AD241" i="5"/>
  <c r="AC242" i="5"/>
  <c r="AB241" i="5"/>
  <c r="Q230" i="5" l="1"/>
  <c r="P229" i="5"/>
  <c r="AC243" i="5"/>
  <c r="AB242" i="5"/>
  <c r="AD242" i="5"/>
  <c r="T241" i="5"/>
  <c r="T242" i="5" l="1"/>
  <c r="AC244" i="5"/>
  <c r="AD243" i="5"/>
  <c r="AB243" i="5"/>
  <c r="Q231" i="5"/>
  <c r="P230" i="5"/>
  <c r="Q232" i="5" l="1"/>
  <c r="P231" i="5"/>
  <c r="AC245" i="5"/>
  <c r="AD244" i="5"/>
  <c r="AB244" i="5"/>
  <c r="T243" i="5"/>
  <c r="AD245" i="5" l="1"/>
  <c r="AB245" i="5"/>
  <c r="AC246" i="5"/>
  <c r="T244" i="5"/>
  <c r="P232" i="5"/>
  <c r="Q233" i="5"/>
  <c r="Q234" i="5" l="1"/>
  <c r="P233" i="5"/>
  <c r="T245" i="5"/>
  <c r="AC247" i="5"/>
  <c r="AB246" i="5"/>
  <c r="AD246" i="5"/>
  <c r="T246" i="5"/>
  <c r="P234" i="5" l="1"/>
  <c r="Q235" i="5"/>
  <c r="AC248" i="5"/>
  <c r="AB247" i="5"/>
  <c r="AD247" i="5"/>
  <c r="T247" i="5"/>
  <c r="Q236" i="5" l="1"/>
  <c r="P235" i="5"/>
  <c r="AC249" i="5"/>
  <c r="AD248" i="5"/>
  <c r="AB248" i="5"/>
  <c r="T248" i="5"/>
  <c r="AD249" i="5" l="1"/>
  <c r="AC250" i="5"/>
  <c r="AB249" i="5"/>
  <c r="Q237" i="5"/>
  <c r="P236" i="5"/>
  <c r="AC251" i="5" l="1"/>
  <c r="AB250" i="5"/>
  <c r="T250" i="5"/>
  <c r="AD250" i="5"/>
  <c r="P237" i="5"/>
  <c r="Q238" i="5"/>
  <c r="T249" i="5"/>
  <c r="Q239" i="5" l="1"/>
  <c r="P238" i="5"/>
  <c r="AB251" i="5"/>
  <c r="T251" i="5"/>
  <c r="AC252" i="5"/>
  <c r="AD251" i="5"/>
  <c r="T252" i="5" l="1"/>
  <c r="AB252" i="5"/>
  <c r="AC253" i="5"/>
  <c r="AD252" i="5"/>
  <c r="Q240" i="5"/>
  <c r="P239" i="5"/>
  <c r="Q241" i="5" l="1"/>
  <c r="P240" i="5"/>
  <c r="T253" i="5"/>
  <c r="AD253" i="5"/>
  <c r="AB253" i="5"/>
  <c r="AC254" i="5"/>
  <c r="AD254" i="5" l="1"/>
  <c r="AB254" i="5"/>
  <c r="AC255" i="5"/>
  <c r="Q242" i="5"/>
  <c r="P241" i="5"/>
  <c r="P242" i="5" l="1"/>
  <c r="Q243" i="5"/>
  <c r="T254" i="5"/>
  <c r="AC256" i="5"/>
  <c r="AB255" i="5"/>
  <c r="AD255" i="5"/>
  <c r="T255" i="5"/>
  <c r="AD256" i="5" l="1"/>
  <c r="T256" i="5"/>
  <c r="AC257" i="5"/>
  <c r="AB256" i="5"/>
  <c r="Q244" i="5"/>
  <c r="P243" i="5"/>
  <c r="AB257" i="5" l="1"/>
  <c r="AC258" i="5"/>
  <c r="T257" i="5"/>
  <c r="AD257" i="5"/>
  <c r="Q245" i="5"/>
  <c r="P244" i="5"/>
  <c r="Q246" i="5" l="1"/>
  <c r="P245" i="5"/>
  <c r="AD258" i="5"/>
  <c r="T258" i="5"/>
  <c r="AB258" i="5"/>
  <c r="AC259" i="5"/>
  <c r="AC260" i="5" l="1"/>
  <c r="AB259" i="5"/>
  <c r="AD259" i="5"/>
  <c r="T259" i="5"/>
  <c r="Q247" i="5"/>
  <c r="P246" i="5"/>
  <c r="Q248" i="5" l="1"/>
  <c r="P247" i="5"/>
  <c r="AC261" i="5"/>
  <c r="AD260" i="5"/>
  <c r="AB260" i="5"/>
  <c r="T260" i="5" l="1"/>
  <c r="AD261" i="5"/>
  <c r="AC262" i="5"/>
  <c r="AB261" i="5"/>
  <c r="P248" i="5"/>
  <c r="Q249" i="5"/>
  <c r="P249" i="5" l="1"/>
  <c r="Q250" i="5"/>
  <c r="AD262" i="5"/>
  <c r="T262" i="5"/>
  <c r="AB262" i="5"/>
  <c r="AC263" i="5"/>
  <c r="T261" i="5"/>
  <c r="AC264" i="5" l="1"/>
  <c r="AB263" i="5"/>
  <c r="AD263" i="5"/>
  <c r="P250" i="5"/>
  <c r="Q251" i="5"/>
  <c r="Q252" i="5" l="1"/>
  <c r="P251" i="5"/>
  <c r="T263" i="5"/>
  <c r="AB264" i="5"/>
  <c r="AD264" i="5"/>
  <c r="AC265" i="5"/>
  <c r="AC266" i="5" l="1"/>
  <c r="AD265" i="5"/>
  <c r="AB265" i="5"/>
  <c r="T265" i="5"/>
  <c r="T264" i="5"/>
  <c r="P252" i="5"/>
  <c r="Q253" i="5"/>
  <c r="P253" i="5" l="1"/>
  <c r="Q254" i="5"/>
  <c r="AD266" i="5"/>
  <c r="AC267" i="5"/>
  <c r="AB266" i="5"/>
  <c r="P254" i="5" l="1"/>
  <c r="Q255" i="5"/>
  <c r="T266" i="5"/>
  <c r="AC268" i="5"/>
  <c r="AB267" i="5"/>
  <c r="T267" i="5"/>
  <c r="AD267" i="5"/>
  <c r="AB268" i="5" l="1"/>
  <c r="AC269" i="5"/>
  <c r="AD268" i="5"/>
  <c r="P255" i="5"/>
  <c r="Q256" i="5"/>
  <c r="T268" i="5" l="1"/>
  <c r="AB269" i="5"/>
  <c r="T269" i="5"/>
  <c r="AC270" i="5"/>
  <c r="AD269" i="5"/>
  <c r="Q257" i="5"/>
  <c r="P256" i="5"/>
  <c r="Q258" i="5" l="1"/>
  <c r="P257" i="5"/>
  <c r="AD270" i="5"/>
  <c r="T270" i="5"/>
  <c r="AB270" i="5"/>
  <c r="AC271" i="5"/>
  <c r="Q259" i="5" l="1"/>
  <c r="P258" i="5"/>
  <c r="AC272" i="5"/>
  <c r="AB271" i="5"/>
  <c r="AD271" i="5"/>
  <c r="T271" i="5"/>
  <c r="AC273" i="5" l="1"/>
  <c r="AD272" i="5"/>
  <c r="T272" i="5"/>
  <c r="AB272" i="5"/>
  <c r="P259" i="5"/>
  <c r="Q260" i="5"/>
  <c r="Q261" i="5" l="1"/>
  <c r="P260" i="5"/>
  <c r="AB273" i="5"/>
  <c r="AD273" i="5"/>
  <c r="AC274" i="5"/>
  <c r="AD274" i="5" l="1"/>
  <c r="AB274" i="5"/>
  <c r="AC275" i="5"/>
  <c r="T273" i="5"/>
  <c r="Q262" i="5"/>
  <c r="P261" i="5"/>
  <c r="Q263" i="5" l="1"/>
  <c r="P262" i="5"/>
  <c r="AC276" i="5"/>
  <c r="AB275" i="5"/>
  <c r="AD275" i="5"/>
  <c r="T275" i="5"/>
  <c r="T274" i="5"/>
  <c r="AC277" i="5" l="1"/>
  <c r="AD276" i="5"/>
  <c r="T276" i="5"/>
  <c r="AB276" i="5"/>
  <c r="Q264" i="5"/>
  <c r="P263" i="5"/>
  <c r="Q265" i="5" l="1"/>
  <c r="P264" i="5"/>
  <c r="AC278" i="5"/>
  <c r="AD277" i="5"/>
  <c r="AB277" i="5"/>
  <c r="AD278" i="5" l="1"/>
  <c r="AC279" i="5"/>
  <c r="AB278" i="5"/>
  <c r="T277" i="5"/>
  <c r="P265" i="5"/>
  <c r="Q266" i="5"/>
  <c r="Q267" i="5" l="1"/>
  <c r="P266" i="5"/>
  <c r="AC280" i="5"/>
  <c r="AB279" i="5"/>
  <c r="AD279" i="5"/>
  <c r="T278" i="5"/>
  <c r="AB280" i="5" l="1"/>
  <c r="AC281" i="5"/>
  <c r="AD280" i="5"/>
  <c r="T279" i="5"/>
  <c r="Q268" i="5"/>
  <c r="P267" i="5"/>
  <c r="Q269" i="5" l="1"/>
  <c r="P268" i="5"/>
  <c r="AC282" i="5"/>
  <c r="AD281" i="5"/>
  <c r="AB281" i="5"/>
  <c r="T280" i="5"/>
  <c r="T281" i="5" l="1"/>
  <c r="AD282" i="5"/>
  <c r="T282" i="5"/>
  <c r="AC283" i="5"/>
  <c r="AB282" i="5"/>
  <c r="Q270" i="5"/>
  <c r="P269" i="5"/>
  <c r="AC284" i="5" l="1"/>
  <c r="AB283" i="5"/>
  <c r="T283" i="5"/>
  <c r="AD283" i="5"/>
  <c r="P270" i="5"/>
  <c r="Q271" i="5"/>
  <c r="P271" i="5" l="1"/>
  <c r="Q272" i="5"/>
  <c r="AC285" i="5"/>
  <c r="AB284" i="5"/>
  <c r="AD284" i="5"/>
  <c r="AC286" i="5" l="1"/>
  <c r="AB285" i="5"/>
  <c r="AD285" i="5"/>
  <c r="T284" i="5"/>
  <c r="Q273" i="5"/>
  <c r="P272" i="5"/>
  <c r="Q274" i="5" l="1"/>
  <c r="P273" i="5"/>
  <c r="T285" i="5"/>
  <c r="AC287" i="5"/>
  <c r="AD286" i="5"/>
  <c r="AB286" i="5"/>
  <c r="T286" i="5"/>
  <c r="AD287" i="5" l="1"/>
  <c r="AB287" i="5"/>
  <c r="AC288" i="5"/>
  <c r="T287" i="5"/>
  <c r="Q275" i="5"/>
  <c r="P274" i="5"/>
  <c r="AD288" i="5" l="1"/>
  <c r="AB288" i="5"/>
  <c r="AC289" i="5"/>
  <c r="Q276" i="5"/>
  <c r="P275" i="5"/>
  <c r="AC290" i="5" l="1"/>
  <c r="AB289" i="5"/>
  <c r="T289" i="5"/>
  <c r="AD289" i="5"/>
  <c r="Q277" i="5"/>
  <c r="P276" i="5"/>
  <c r="T288" i="5"/>
  <c r="P277" i="5" l="1"/>
  <c r="Q278" i="5"/>
  <c r="AC291" i="5"/>
  <c r="AB290" i="5"/>
  <c r="AD290" i="5"/>
  <c r="AC292" i="5" l="1"/>
  <c r="AD291" i="5"/>
  <c r="AB291" i="5"/>
  <c r="T290" i="5"/>
  <c r="Q279" i="5"/>
  <c r="P278" i="5"/>
  <c r="Q280" i="5" l="1"/>
  <c r="P279" i="5"/>
  <c r="T291" i="5"/>
  <c r="AD292" i="5"/>
  <c r="AC293" i="5"/>
  <c r="AB292" i="5"/>
  <c r="AC294" i="5" l="1"/>
  <c r="AB293" i="5"/>
  <c r="T293" i="5"/>
  <c r="AD293" i="5"/>
  <c r="T292" i="5"/>
  <c r="Q281" i="5"/>
  <c r="P280" i="5"/>
  <c r="P281" i="5" l="1"/>
  <c r="Q282" i="5"/>
  <c r="AB294" i="5"/>
  <c r="AD294" i="5"/>
  <c r="AC295" i="5"/>
  <c r="T294" i="5" l="1"/>
  <c r="T295" i="5"/>
  <c r="AD295" i="5"/>
  <c r="AC296" i="5"/>
  <c r="AB295" i="5"/>
  <c r="P282" i="5"/>
  <c r="Q283" i="5"/>
  <c r="Q284" i="5" l="1"/>
  <c r="P283" i="5"/>
  <c r="AD296" i="5"/>
  <c r="T296" i="5"/>
  <c r="AB296" i="5"/>
  <c r="AC297" i="5"/>
  <c r="AC298" i="5" l="1"/>
  <c r="AB297" i="5"/>
  <c r="AD297" i="5"/>
  <c r="Q285" i="5"/>
  <c r="P284" i="5"/>
  <c r="P285" i="5" l="1"/>
  <c r="Q286" i="5"/>
  <c r="T297" i="5"/>
  <c r="AD298" i="5"/>
  <c r="T298" i="5"/>
  <c r="AB298" i="5"/>
  <c r="AC299" i="5"/>
  <c r="AC300" i="5" l="1"/>
  <c r="AB299" i="5"/>
  <c r="AD299" i="5"/>
  <c r="Q287" i="5"/>
  <c r="P286" i="5"/>
  <c r="P287" i="5" l="1"/>
  <c r="Q288" i="5"/>
  <c r="T299" i="5"/>
  <c r="AD300" i="5"/>
  <c r="T300" i="5"/>
  <c r="AC301" i="5"/>
  <c r="AB300" i="5"/>
  <c r="AC302" i="5" l="1"/>
  <c r="AB301" i="5"/>
  <c r="T301" i="5"/>
  <c r="AD301" i="5"/>
  <c r="Q289" i="5"/>
  <c r="P288" i="5"/>
  <c r="Q290" i="5" l="1"/>
  <c r="P289" i="5"/>
  <c r="AB302" i="5"/>
  <c r="T302" i="5"/>
  <c r="AC303" i="5"/>
  <c r="AD302" i="5"/>
  <c r="AC304" i="5" l="1"/>
  <c r="AD303" i="5"/>
  <c r="AB303" i="5"/>
  <c r="Q291" i="5"/>
  <c r="P290" i="5"/>
  <c r="P291" i="5" l="1"/>
  <c r="Q292" i="5"/>
  <c r="AD304" i="5"/>
  <c r="T304" i="5"/>
  <c r="AB304" i="5"/>
  <c r="AC305" i="5"/>
  <c r="T303" i="5"/>
  <c r="P292" i="5" l="1"/>
  <c r="Q293" i="5"/>
  <c r="AC306" i="5"/>
  <c r="AB305" i="5"/>
  <c r="AD305" i="5"/>
  <c r="T305" i="5"/>
  <c r="P293" i="5" l="1"/>
  <c r="Q294" i="5"/>
  <c r="AC307" i="5"/>
  <c r="AB306" i="5"/>
  <c r="AD306" i="5"/>
  <c r="T306" i="5"/>
  <c r="Q295" i="5" l="1"/>
  <c r="P294" i="5"/>
  <c r="AB307" i="5"/>
  <c r="AC308" i="5"/>
  <c r="AD307" i="5"/>
  <c r="T307" i="5" l="1"/>
  <c r="AD308" i="5"/>
  <c r="T308" i="5"/>
  <c r="AC309" i="5"/>
  <c r="AB308" i="5"/>
  <c r="Q296" i="5"/>
  <c r="P295" i="5"/>
  <c r="AC310" i="5" l="1"/>
  <c r="AB309" i="5"/>
  <c r="AD309" i="5"/>
  <c r="T309" i="5"/>
  <c r="P296" i="5"/>
  <c r="Q297" i="5"/>
  <c r="P297" i="5" l="1"/>
  <c r="Q298" i="5"/>
  <c r="AC311" i="5"/>
  <c r="AD310" i="5"/>
  <c r="AB310" i="5"/>
  <c r="T310" i="5"/>
  <c r="AB311" i="5" l="1"/>
  <c r="AC312" i="5"/>
  <c r="AD311" i="5"/>
  <c r="Q299" i="5"/>
  <c r="P298" i="5"/>
  <c r="AD312" i="5" l="1"/>
  <c r="AB312" i="5"/>
  <c r="AC313" i="5"/>
  <c r="Q300" i="5"/>
  <c r="P299" i="5"/>
  <c r="T311" i="5"/>
  <c r="AC314" i="5" l="1"/>
  <c r="AB313" i="5"/>
  <c r="AD313" i="5"/>
  <c r="P300" i="5"/>
  <c r="Q301" i="5"/>
  <c r="T312" i="5"/>
  <c r="P301" i="5" l="1"/>
  <c r="Q302" i="5"/>
  <c r="T313" i="5"/>
  <c r="AB314" i="5"/>
  <c r="AC315" i="5"/>
  <c r="AD314" i="5"/>
  <c r="T314" i="5" l="1"/>
  <c r="Q303" i="5"/>
  <c r="P302" i="5"/>
  <c r="AC316" i="5"/>
  <c r="AD315" i="5"/>
  <c r="AB315" i="5"/>
  <c r="T315" i="5"/>
  <c r="Q304" i="5" l="1"/>
  <c r="P303" i="5"/>
  <c r="AD316" i="5"/>
  <c r="T316" i="5"/>
  <c r="AC317" i="5"/>
  <c r="AB316" i="5"/>
  <c r="AC318" i="5" l="1"/>
  <c r="AB317" i="5"/>
  <c r="T317" i="5"/>
  <c r="AD317" i="5"/>
  <c r="P304" i="5"/>
  <c r="Q305" i="5"/>
  <c r="Q306" i="5" l="1"/>
  <c r="P305" i="5"/>
  <c r="AB318" i="5"/>
  <c r="T318" i="5"/>
  <c r="AC319" i="5"/>
  <c r="AD318" i="5"/>
  <c r="AD319" i="5" l="1"/>
  <c r="AB319" i="5"/>
  <c r="AC320" i="5"/>
  <c r="Q307" i="5"/>
  <c r="P306" i="5"/>
  <c r="Q308" i="5" l="1"/>
  <c r="P307" i="5"/>
  <c r="AD320" i="5"/>
  <c r="T320" i="5"/>
  <c r="AB320" i="5"/>
  <c r="AC321" i="5"/>
  <c r="T319" i="5"/>
  <c r="AC322" i="5" l="1"/>
  <c r="AB321" i="5"/>
  <c r="AD321" i="5"/>
  <c r="T321" i="5"/>
  <c r="P308" i="5"/>
  <c r="Q309" i="5"/>
  <c r="P309" i="5" l="1"/>
  <c r="Q310" i="5"/>
  <c r="AD322" i="5"/>
  <c r="AB322" i="5"/>
  <c r="AC323" i="5"/>
  <c r="Q311" i="5" l="1"/>
  <c r="P310" i="5"/>
  <c r="AB323" i="5"/>
  <c r="AC324" i="5"/>
  <c r="AD323" i="5"/>
  <c r="T322" i="5"/>
  <c r="T323" i="5" l="1"/>
  <c r="AD324" i="5"/>
  <c r="T324" i="5"/>
  <c r="AC325" i="5"/>
  <c r="AB324" i="5"/>
  <c r="P311" i="5"/>
  <c r="Q312" i="5"/>
  <c r="Q313" i="5" l="1"/>
  <c r="P312" i="5"/>
  <c r="AC326" i="5"/>
  <c r="AB325" i="5"/>
  <c r="AD325" i="5"/>
  <c r="AD326" i="5" l="1"/>
  <c r="AB326" i="5"/>
  <c r="AC327" i="5"/>
  <c r="Q314" i="5"/>
  <c r="P313" i="5"/>
  <c r="T325" i="5"/>
  <c r="AC328" i="5" l="1"/>
  <c r="AB327" i="5"/>
  <c r="AD327" i="5"/>
  <c r="T327" i="5"/>
  <c r="Q315" i="5"/>
  <c r="P314" i="5"/>
  <c r="T326" i="5"/>
  <c r="AD328" i="5" l="1"/>
  <c r="AC329" i="5"/>
  <c r="AB328" i="5"/>
  <c r="P315" i="5"/>
  <c r="Q316" i="5"/>
  <c r="AC330" i="5" l="1"/>
  <c r="AB329" i="5"/>
  <c r="T329" i="5"/>
  <c r="AD329" i="5"/>
  <c r="T328" i="5"/>
  <c r="P316" i="5"/>
  <c r="Q317" i="5"/>
  <c r="AD330" i="5" l="1"/>
  <c r="AB330" i="5"/>
  <c r="AC331" i="5"/>
  <c r="P317" i="5"/>
  <c r="Q318" i="5"/>
  <c r="T330" i="5" l="1"/>
  <c r="Q319" i="5"/>
  <c r="P318" i="5"/>
  <c r="AC332" i="5"/>
  <c r="AB331" i="5"/>
  <c r="AD331" i="5"/>
  <c r="T331" i="5"/>
  <c r="AC333" i="5" l="1"/>
  <c r="AB332" i="5"/>
  <c r="AD332" i="5"/>
  <c r="P319" i="5"/>
  <c r="Q320" i="5"/>
  <c r="T332" i="5" l="1"/>
  <c r="P320" i="5"/>
  <c r="Q321" i="5"/>
  <c r="AC334" i="5"/>
  <c r="AD333" i="5"/>
  <c r="AB333" i="5"/>
  <c r="T333" i="5"/>
  <c r="Q322" i="5" l="1"/>
  <c r="P321" i="5"/>
  <c r="AD334" i="5"/>
  <c r="T334" i="5"/>
  <c r="AC335" i="5"/>
  <c r="AB334" i="5"/>
  <c r="AC336" i="5" l="1"/>
  <c r="AB335" i="5"/>
  <c r="T335" i="5"/>
  <c r="AD335" i="5"/>
  <c r="Q323" i="5"/>
  <c r="P322" i="5"/>
  <c r="Q324" i="5" l="1"/>
  <c r="P323" i="5"/>
  <c r="AB336" i="5"/>
  <c r="T336" i="5"/>
  <c r="AC337" i="5"/>
  <c r="AD336" i="5"/>
  <c r="AD337" i="5" l="1"/>
  <c r="AC338" i="5"/>
  <c r="AB337" i="5"/>
  <c r="Q325" i="5"/>
  <c r="P324" i="5"/>
  <c r="Q326" i="5" l="1"/>
  <c r="P325" i="5"/>
  <c r="AD338" i="5"/>
  <c r="T338" i="5"/>
  <c r="AB338" i="5"/>
  <c r="AC339" i="5"/>
  <c r="T337" i="5"/>
  <c r="AC340" i="5" l="1"/>
  <c r="AB339" i="5"/>
  <c r="T339" i="5"/>
  <c r="AD339" i="5"/>
  <c r="Q327" i="5"/>
  <c r="P326" i="5"/>
  <c r="P327" i="5" l="1"/>
  <c r="Q328" i="5"/>
  <c r="AD340" i="5"/>
  <c r="T340" i="5"/>
  <c r="AB340" i="5"/>
  <c r="AC341" i="5"/>
  <c r="AB341" i="5" l="1"/>
  <c r="AC342" i="5"/>
  <c r="AD341" i="5"/>
  <c r="T341" i="5"/>
  <c r="Q329" i="5"/>
  <c r="P328" i="5"/>
  <c r="Q330" i="5" l="1"/>
  <c r="P329" i="5"/>
  <c r="AD342" i="5"/>
  <c r="T342" i="5"/>
  <c r="AC343" i="5"/>
  <c r="AB342" i="5"/>
  <c r="AC344" i="5" l="1"/>
  <c r="AB343" i="5"/>
  <c r="AD343" i="5"/>
  <c r="Q331" i="5"/>
  <c r="P330" i="5"/>
  <c r="Q332" i="5" l="1"/>
  <c r="P331" i="5"/>
  <c r="T343" i="5"/>
  <c r="AC345" i="5"/>
  <c r="AD344" i="5"/>
  <c r="AB344" i="5"/>
  <c r="Q333" i="5" l="1"/>
  <c r="P332" i="5"/>
  <c r="T344" i="5"/>
  <c r="AC346" i="5"/>
  <c r="AB345" i="5"/>
  <c r="AD345" i="5"/>
  <c r="AC347" i="5" l="1"/>
  <c r="AB346" i="5"/>
  <c r="AD346" i="5"/>
  <c r="T345" i="5"/>
  <c r="P333" i="5"/>
  <c r="Q334" i="5"/>
  <c r="T346" i="5" l="1"/>
  <c r="Q335" i="5"/>
  <c r="P334" i="5"/>
  <c r="AC348" i="5"/>
  <c r="AB347" i="5"/>
  <c r="AD347" i="5"/>
  <c r="T347" i="5"/>
  <c r="P335" i="5" l="1"/>
  <c r="Q336" i="5"/>
  <c r="AC349" i="5"/>
  <c r="AD348" i="5"/>
  <c r="T348" i="5"/>
  <c r="AB348" i="5"/>
  <c r="AD349" i="5" l="1"/>
  <c r="AC350" i="5"/>
  <c r="AB349" i="5"/>
  <c r="Q337" i="5"/>
  <c r="P336" i="5"/>
  <c r="AC351" i="5" l="1"/>
  <c r="AB350" i="5"/>
  <c r="T350" i="5"/>
  <c r="AD350" i="5"/>
  <c r="Q338" i="5"/>
  <c r="P337" i="5"/>
  <c r="T349" i="5"/>
  <c r="AB351" i="5" l="1"/>
  <c r="AD351" i="5"/>
  <c r="AC352" i="5"/>
  <c r="P338" i="5"/>
  <c r="Q339" i="5"/>
  <c r="Q340" i="5" l="1"/>
  <c r="P339" i="5"/>
  <c r="T351" i="5"/>
  <c r="T352" i="5"/>
  <c r="AD352" i="5"/>
  <c r="AB352" i="5"/>
  <c r="AC353" i="5"/>
  <c r="Q341" i="5" l="1"/>
  <c r="P340" i="5"/>
  <c r="AD353" i="5"/>
  <c r="T353" i="5"/>
  <c r="AB353" i="5"/>
  <c r="AC354" i="5"/>
  <c r="AC355" i="5" l="1"/>
  <c r="AB354" i="5"/>
  <c r="AD354" i="5"/>
  <c r="T354" i="5"/>
  <c r="Q342" i="5"/>
  <c r="P341" i="5"/>
  <c r="AD355" i="5" l="1"/>
  <c r="T355" i="5"/>
  <c r="AC356" i="5"/>
  <c r="AB355" i="5"/>
  <c r="P342" i="5"/>
  <c r="Q343" i="5"/>
  <c r="AB356" i="5" l="1"/>
  <c r="AC357" i="5"/>
  <c r="T356" i="5"/>
  <c r="AD356" i="5"/>
  <c r="P343" i="5"/>
  <c r="Q344" i="5"/>
  <c r="Q345" i="5" l="1"/>
  <c r="P344" i="5"/>
  <c r="AD357" i="5"/>
  <c r="T357" i="5"/>
  <c r="AC358" i="5"/>
  <c r="AB357" i="5"/>
  <c r="AC359" i="5" l="1"/>
  <c r="AB358" i="5"/>
  <c r="AD358" i="5"/>
  <c r="T358" i="5"/>
  <c r="P345" i="5"/>
  <c r="Q346" i="5"/>
  <c r="Q347" i="5" l="1"/>
  <c r="P346" i="5"/>
  <c r="AC360" i="5"/>
  <c r="AD359" i="5"/>
  <c r="AB359" i="5"/>
  <c r="T359" i="5"/>
  <c r="Q348" i="5" l="1"/>
  <c r="P347" i="5"/>
  <c r="AD360" i="5"/>
  <c r="AC361" i="5"/>
  <c r="T360" i="5"/>
  <c r="AB360" i="5"/>
  <c r="AD361" i="5" l="1"/>
  <c r="AB361" i="5"/>
  <c r="AC362" i="5"/>
  <c r="P348" i="5"/>
  <c r="Q349" i="5"/>
  <c r="AC363" i="5" l="1"/>
  <c r="AB362" i="5"/>
  <c r="T362" i="5"/>
  <c r="AD362" i="5"/>
  <c r="P349" i="5"/>
  <c r="Q350" i="5"/>
  <c r="T361" i="5"/>
  <c r="P350" i="5" l="1"/>
  <c r="Q351" i="5"/>
  <c r="AB363" i="5"/>
  <c r="T363" i="5"/>
  <c r="AD363" i="5"/>
  <c r="AC364" i="5"/>
  <c r="AC365" i="5" l="1"/>
  <c r="AD364" i="5"/>
  <c r="AB364" i="5"/>
  <c r="Q352" i="5"/>
  <c r="P351" i="5"/>
  <c r="Q353" i="5" l="1"/>
  <c r="P352" i="5"/>
  <c r="T364" i="5"/>
  <c r="AD365" i="5"/>
  <c r="T365" i="5"/>
  <c r="AC366" i="5"/>
  <c r="AB365" i="5"/>
  <c r="P353" i="5" l="1"/>
  <c r="Q354" i="5"/>
  <c r="AC367" i="5"/>
  <c r="AB366" i="5"/>
  <c r="AD366" i="5"/>
  <c r="T366" i="5"/>
  <c r="P354" i="5" l="1"/>
  <c r="Q355" i="5"/>
  <c r="AD367" i="5"/>
  <c r="T367" i="5"/>
  <c r="AB367" i="5"/>
  <c r="AC368" i="5"/>
  <c r="AC369" i="5" l="1"/>
  <c r="AB368" i="5"/>
  <c r="AD368" i="5"/>
  <c r="T368" i="5"/>
  <c r="Q356" i="5"/>
  <c r="P355" i="5"/>
  <c r="AD369" i="5" l="1"/>
  <c r="AC370" i="5"/>
  <c r="AB369" i="5"/>
  <c r="Q357" i="5"/>
  <c r="P356" i="5"/>
  <c r="AC371" i="5" l="1"/>
  <c r="AB370" i="5"/>
  <c r="T370" i="5"/>
  <c r="AD370" i="5"/>
  <c r="Q358" i="5"/>
  <c r="P357" i="5"/>
  <c r="T369" i="5"/>
  <c r="AD371" i="5" l="1"/>
  <c r="AC372" i="5"/>
  <c r="AB371" i="5"/>
  <c r="P358" i="5"/>
  <c r="Q359" i="5"/>
  <c r="T371" i="5" l="1"/>
  <c r="AC373" i="5"/>
  <c r="AB372" i="5"/>
  <c r="AD372" i="5"/>
  <c r="Q360" i="5"/>
  <c r="P359" i="5"/>
  <c r="Q361" i="5" l="1"/>
  <c r="P360" i="5"/>
  <c r="T372" i="5"/>
  <c r="AD373" i="5"/>
  <c r="T373" i="5"/>
  <c r="AC374" i="5"/>
  <c r="AB373" i="5"/>
  <c r="Q362" i="5" l="1"/>
  <c r="P361" i="5"/>
  <c r="AC375" i="5"/>
  <c r="AB374" i="5"/>
  <c r="AD374" i="5"/>
  <c r="AD375" i="5" l="1"/>
  <c r="AB375" i="5"/>
  <c r="AC376" i="5"/>
  <c r="T374" i="5"/>
  <c r="Q363" i="5"/>
  <c r="P362" i="5"/>
  <c r="AC377" i="5" l="1"/>
  <c r="AB376" i="5"/>
  <c r="AD376" i="5"/>
  <c r="T376" i="5"/>
  <c r="Q364" i="5"/>
  <c r="P363" i="5"/>
  <c r="T375" i="5"/>
  <c r="AD377" i="5" l="1"/>
  <c r="AC378" i="5"/>
  <c r="AB377" i="5"/>
  <c r="P364" i="5"/>
  <c r="Q365" i="5"/>
  <c r="Q366" i="5" l="1"/>
  <c r="P365" i="5"/>
  <c r="T377" i="5"/>
  <c r="AC379" i="5"/>
  <c r="AB378" i="5"/>
  <c r="AD378" i="5"/>
  <c r="AD379" i="5" l="1"/>
  <c r="AC380" i="5"/>
  <c r="AB379" i="5"/>
  <c r="T378" i="5"/>
  <c r="Q367" i="5"/>
  <c r="P366" i="5"/>
  <c r="Q368" i="5" l="1"/>
  <c r="P367" i="5"/>
  <c r="AC381" i="5"/>
  <c r="AB380" i="5"/>
  <c r="AD380" i="5"/>
  <c r="T379" i="5"/>
  <c r="Q369" i="5" l="1"/>
  <c r="P368" i="5"/>
  <c r="T380" i="5"/>
  <c r="AD381" i="5"/>
  <c r="T381" i="5"/>
  <c r="AB381" i="5"/>
  <c r="AC382" i="5"/>
  <c r="AC383" i="5" l="1"/>
  <c r="AB382" i="5"/>
  <c r="AD382" i="5"/>
  <c r="T382" i="5"/>
  <c r="Q370" i="5"/>
  <c r="P369" i="5"/>
  <c r="P370" i="5" l="1"/>
  <c r="Q371" i="5"/>
  <c r="AD383" i="5"/>
  <c r="AB383" i="5"/>
  <c r="T383" i="5" l="1"/>
  <c r="Q372" i="5"/>
  <c r="P371" i="5"/>
  <c r="P372" i="5" l="1"/>
  <c r="Q373" i="5"/>
  <c r="Q374" i="5" l="1"/>
  <c r="P373" i="5"/>
  <c r="Q375" i="5" l="1"/>
  <c r="P374" i="5"/>
  <c r="Q376" i="5" l="1"/>
  <c r="P375" i="5"/>
  <c r="P376" i="5" l="1"/>
  <c r="Q377" i="5"/>
  <c r="Q378" i="5" l="1"/>
  <c r="P377" i="5"/>
  <c r="Q379" i="5" l="1"/>
  <c r="P378" i="5"/>
  <c r="Q380" i="5" l="1"/>
  <c r="P379" i="5"/>
  <c r="P380" i="5" l="1"/>
  <c r="Q381" i="5"/>
  <c r="Q382" i="5" l="1"/>
  <c r="P381" i="5"/>
  <c r="P382" i="5" l="1"/>
  <c r="Q383" i="5"/>
  <c r="P383" i="5" s="1"/>
  <c r="G17" i="5" s="1" a="1"/>
  <c r="G17" i="5" s="1"/>
  <c r="AN28" i="8" l="1"/>
  <c r="AN28" i="6"/>
  <c r="AN29" i="7"/>
  <c r="AP29" i="7" s="1"/>
  <c r="AV29" i="7" s="1"/>
  <c r="AX29" i="7" s="1"/>
  <c r="U29" i="7" s="1"/>
  <c r="W29" i="7" s="1"/>
  <c r="Y29" i="7" s="1"/>
  <c r="AN30" i="9"/>
  <c r="AP30" i="9" s="1"/>
  <c r="AV30" i="9" s="1"/>
  <c r="AX30" i="9" s="1"/>
  <c r="U30" i="9" s="1"/>
  <c r="W30" i="9" s="1"/>
  <c r="Y30" i="9" s="1"/>
  <c r="F45" i="5" a="1"/>
  <c r="F45" i="5" s="1"/>
  <c r="F46" i="5" s="1"/>
  <c r="F47" i="5" s="1"/>
  <c r="F48" i="5" s="1"/>
  <c r="E45" i="5" a="1"/>
  <c r="E45" i="5" s="1"/>
  <c r="E46" i="5" s="1"/>
  <c r="E47" i="5" s="1"/>
  <c r="E48" i="5" s="1"/>
  <c r="G45" i="5" a="1"/>
  <c r="G45" i="5" s="1"/>
  <c r="D45" i="5" a="1"/>
  <c r="D45" i="5" s="1"/>
  <c r="D46" i="5" s="1"/>
  <c r="D47" i="5" s="1"/>
  <c r="D48" i="5" s="1"/>
  <c r="E16" i="5" a="1"/>
  <c r="E16" i="5" s="1"/>
  <c r="E15" i="5" a="1"/>
  <c r="E15" i="5" s="1"/>
  <c r="E14" i="5" s="1"/>
  <c r="E13" i="5" s="1"/>
  <c r="E12" i="5" s="1"/>
  <c r="E17" i="5" a="1"/>
  <c r="E17" i="5" s="1"/>
  <c r="E19" i="5" a="1"/>
  <c r="E19" i="5" s="1"/>
  <c r="E18" i="5" a="1"/>
  <c r="E18" i="5" s="1"/>
  <c r="G18" i="5" a="1"/>
  <c r="G18" i="5" s="1"/>
  <c r="D19" i="5" a="1"/>
  <c r="D19" i="5" s="1"/>
  <c r="G16" i="5" a="1"/>
  <c r="G16" i="5" s="1"/>
  <c r="F18" i="5" a="1"/>
  <c r="F18" i="5" s="1"/>
  <c r="F15" i="5" a="1"/>
  <c r="F15" i="5" s="1"/>
  <c r="F14" i="5" s="1"/>
  <c r="F13" i="5" s="1"/>
  <c r="F12" i="5" s="1"/>
  <c r="G19" i="5" a="1"/>
  <c r="G19" i="5" s="1"/>
  <c r="F17" i="5" a="1"/>
  <c r="F17" i="5" s="1"/>
  <c r="D18" i="5" a="1"/>
  <c r="D18" i="5" s="1"/>
  <c r="F19" i="5" a="1"/>
  <c r="F19" i="5" s="1"/>
  <c r="F21" i="5" a="1"/>
  <c r="F21" i="5" s="1"/>
  <c r="D21" i="5" a="1"/>
  <c r="D21" i="5" s="1"/>
  <c r="D20" i="5" a="1"/>
  <c r="D20" i="5" s="1"/>
  <c r="F20" i="5" a="1"/>
  <c r="F20" i="5" s="1"/>
  <c r="F22" i="5" a="1"/>
  <c r="F22" i="5" s="1"/>
  <c r="G22" i="5" a="1"/>
  <c r="G22" i="5" s="1"/>
  <c r="G20" i="5" a="1"/>
  <c r="G20" i="5" s="1"/>
  <c r="E21" i="5" a="1"/>
  <c r="E21" i="5" s="1"/>
  <c r="E22" i="5" a="1"/>
  <c r="E22" i="5" s="1"/>
  <c r="E20" i="5" a="1"/>
  <c r="E20" i="5" s="1"/>
  <c r="G21" i="5" a="1"/>
  <c r="G21" i="5" s="1"/>
  <c r="D22" i="5" a="1"/>
  <c r="D22" i="5" s="1"/>
  <c r="F23" i="5" a="1"/>
  <c r="F23" i="5" s="1"/>
  <c r="D23" i="5" a="1"/>
  <c r="D23" i="5" s="1"/>
  <c r="E26" i="5" a="1"/>
  <c r="E26" i="5" s="1"/>
  <c r="F24" i="5" a="1"/>
  <c r="F24" i="5" s="1"/>
  <c r="G23" i="5" a="1"/>
  <c r="G23" i="5" s="1"/>
  <c r="E25" i="5" a="1"/>
  <c r="E25" i="5" s="1"/>
  <c r="G26" i="5" a="1"/>
  <c r="G26" i="5" s="1"/>
  <c r="E23" i="5" a="1"/>
  <c r="E23" i="5" s="1"/>
  <c r="F27" i="5" a="1"/>
  <c r="F27" i="5" s="1"/>
  <c r="D25" i="5" a="1"/>
  <c r="D25" i="5" s="1"/>
  <c r="D27" i="5" a="1"/>
  <c r="D27" i="5" s="1"/>
  <c r="G25" i="5" a="1"/>
  <c r="G25" i="5" s="1"/>
  <c r="D24" i="5" a="1"/>
  <c r="D24" i="5" s="1"/>
  <c r="F25" i="5" a="1"/>
  <c r="F25" i="5" s="1"/>
  <c r="D26" i="5" a="1"/>
  <c r="D26" i="5" s="1"/>
  <c r="E24" i="5" a="1"/>
  <c r="E24" i="5" s="1"/>
  <c r="G24" i="5" a="1"/>
  <c r="G24" i="5" s="1"/>
  <c r="G27" i="5" a="1"/>
  <c r="G27" i="5" s="1"/>
  <c r="D29" i="5" a="1"/>
  <c r="D29" i="5" s="1"/>
  <c r="F29" i="5" a="1"/>
  <c r="F29" i="5" s="1"/>
  <c r="D28" i="5" a="1"/>
  <c r="D28" i="5" s="1"/>
  <c r="F28" i="5" a="1"/>
  <c r="F28" i="5" s="1"/>
  <c r="G29" i="5" a="1"/>
  <c r="G29" i="5" s="1"/>
  <c r="E27" i="5" a="1"/>
  <c r="E27" i="5" s="1"/>
  <c r="G28" i="5" a="1"/>
  <c r="G28" i="5" s="1"/>
  <c r="F26" i="5" a="1"/>
  <c r="F26" i="5" s="1"/>
  <c r="D30" i="5" a="1"/>
  <c r="D30" i="5" s="1"/>
  <c r="E30" i="5" a="1"/>
  <c r="E30" i="5" s="1"/>
  <c r="G30" i="5" a="1"/>
  <c r="G30" i="5" s="1"/>
  <c r="F30" i="5" a="1"/>
  <c r="F30" i="5" s="1"/>
  <c r="E28" i="5" a="1"/>
  <c r="E28" i="5" s="1"/>
  <c r="F32" i="5" a="1"/>
  <c r="F32" i="5" s="1"/>
  <c r="E29" i="5" a="1"/>
  <c r="E29" i="5" s="1"/>
  <c r="D31" i="5" a="1"/>
  <c r="D31" i="5" s="1"/>
  <c r="E31" i="5" a="1"/>
  <c r="E31" i="5" s="1"/>
  <c r="G32" i="5" a="1"/>
  <c r="G32" i="5" s="1"/>
  <c r="D32" i="5" a="1"/>
  <c r="D32" i="5" s="1"/>
  <c r="F31" i="5" a="1"/>
  <c r="F31" i="5" s="1"/>
  <c r="E32" i="5" a="1"/>
  <c r="E32" i="5" s="1"/>
  <c r="G31" i="5" a="1"/>
  <c r="G31" i="5" s="1"/>
  <c r="F33" i="5" a="1"/>
  <c r="F33" i="5" s="1"/>
  <c r="D33" i="5" a="1"/>
  <c r="D33" i="5" s="1"/>
  <c r="E36" i="5" a="1"/>
  <c r="E36" i="5" s="1"/>
  <c r="E33" i="5" a="1"/>
  <c r="E33" i="5" s="1"/>
  <c r="E34" i="5" a="1"/>
  <c r="E34" i="5" s="1"/>
  <c r="E35" i="5" a="1"/>
  <c r="E35" i="5" s="1"/>
  <c r="F34" i="5" a="1"/>
  <c r="F34" i="5" s="1"/>
  <c r="G34" i="5" a="1"/>
  <c r="G34" i="5" s="1"/>
  <c r="D34" i="5" a="1"/>
  <c r="D34" i="5" s="1"/>
  <c r="D35" i="5" a="1"/>
  <c r="D35" i="5" s="1"/>
  <c r="G33" i="5" a="1"/>
  <c r="G33" i="5" s="1"/>
  <c r="F38" i="5" a="1"/>
  <c r="F38" i="5" s="1"/>
  <c r="G39" i="5" a="1"/>
  <c r="G39" i="5" s="1"/>
  <c r="F35" i="5" a="1"/>
  <c r="F35" i="5" s="1"/>
  <c r="G36" i="5" a="1"/>
  <c r="G36" i="5" s="1"/>
  <c r="D36" i="5" a="1"/>
  <c r="D36" i="5" s="1"/>
  <c r="G35" i="5" a="1"/>
  <c r="G35" i="5" s="1"/>
  <c r="F36" i="5" a="1"/>
  <c r="F36" i="5" s="1"/>
  <c r="G40" i="5" a="1"/>
  <c r="G40" i="5" s="1"/>
  <c r="F37" i="5" a="1"/>
  <c r="F37" i="5" s="1"/>
  <c r="E37" i="5" a="1"/>
  <c r="E37" i="5" s="1"/>
  <c r="D38" i="5" a="1"/>
  <c r="D38" i="5" s="1"/>
  <c r="E38" i="5" a="1"/>
  <c r="E38" i="5" s="1"/>
  <c r="G37" i="5" a="1"/>
  <c r="G37" i="5" s="1"/>
  <c r="D37" i="5" a="1"/>
  <c r="D37" i="5" s="1"/>
  <c r="F39" i="5" a="1"/>
  <c r="F39" i="5" s="1"/>
  <c r="G38" i="5" a="1"/>
  <c r="G38" i="5" s="1"/>
  <c r="D39" i="5" a="1"/>
  <c r="D39" i="5" s="1"/>
  <c r="E39" i="5" a="1"/>
  <c r="E39" i="5" s="1"/>
  <c r="D41" i="5" a="1"/>
  <c r="D41" i="5" s="1"/>
  <c r="D40" i="5" a="1"/>
  <c r="D40" i="5" s="1"/>
  <c r="F40" i="5" a="1"/>
  <c r="F40" i="5" s="1"/>
  <c r="F42" i="5" a="1"/>
  <c r="F42" i="5" s="1"/>
  <c r="D42" i="5" a="1"/>
  <c r="D42" i="5" s="1"/>
  <c r="E43" i="5" a="1"/>
  <c r="E43" i="5" s="1"/>
  <c r="G41" i="5" a="1"/>
  <c r="G41" i="5" s="1"/>
  <c r="F43" i="5" a="1"/>
  <c r="F43" i="5" s="1"/>
  <c r="E41" i="5" a="1"/>
  <c r="E41" i="5" s="1"/>
  <c r="E40" i="5" a="1"/>
  <c r="E40" i="5" s="1"/>
  <c r="F41" i="5" a="1"/>
  <c r="F41" i="5" s="1"/>
  <c r="G42" i="5" a="1"/>
  <c r="G42" i="5" s="1"/>
  <c r="G43" i="5" a="1"/>
  <c r="G43" i="5" s="1"/>
  <c r="D43" i="5" a="1"/>
  <c r="D43" i="5" s="1"/>
  <c r="D44" i="5" a="1"/>
  <c r="D44" i="5" s="1"/>
  <c r="E42" i="5" a="1"/>
  <c r="E42" i="5" s="1"/>
  <c r="E44" i="5" a="1"/>
  <c r="E44" i="5" s="1"/>
  <c r="G44" i="5" a="1"/>
  <c r="G44" i="5" s="1"/>
  <c r="F44" i="5" a="1"/>
  <c r="F44" i="5" s="1"/>
  <c r="G15" i="5" a="1"/>
  <c r="G15" i="5" s="1"/>
  <c r="AN28" i="9" s="1"/>
  <c r="D17" i="5" a="1"/>
  <c r="D17" i="5" s="1"/>
  <c r="F16" i="5" a="1"/>
  <c r="F16" i="5" s="1"/>
  <c r="D16" i="5" a="1"/>
  <c r="D16" i="5" s="1"/>
  <c r="D15" i="5" a="1"/>
  <c r="D15" i="5" s="1"/>
  <c r="D14" i="5" s="1"/>
  <c r="D13" i="5" s="1"/>
  <c r="D12" i="5" s="1"/>
  <c r="AN38" i="6" l="1"/>
  <c r="AP38" i="6" s="1"/>
  <c r="AV38" i="6" s="1"/>
  <c r="AX38" i="6" s="1"/>
  <c r="U38" i="6" s="1"/>
  <c r="W38" i="6" s="1"/>
  <c r="Y38" i="6" s="1"/>
  <c r="AN38" i="8"/>
  <c r="AP38" i="8" s="1"/>
  <c r="AV38" i="8" s="1"/>
  <c r="AX38" i="8" s="1"/>
  <c r="U38" i="8" s="1"/>
  <c r="W38" i="8" s="1"/>
  <c r="Y38" i="8" s="1"/>
  <c r="AN39" i="7"/>
  <c r="AP39" i="7" s="1"/>
  <c r="AV39" i="7" s="1"/>
  <c r="AX39" i="7" s="1"/>
  <c r="U39" i="7" s="1"/>
  <c r="W39" i="7" s="1"/>
  <c r="Y39" i="7" s="1"/>
  <c r="AN40" i="9"/>
  <c r="AP40" i="9" s="1"/>
  <c r="AV40" i="9" s="1"/>
  <c r="AX40" i="9" s="1"/>
  <c r="U40" i="9" s="1"/>
  <c r="W40" i="9" s="1"/>
  <c r="Y40" i="9" s="1"/>
  <c r="AN33" i="8"/>
  <c r="AP33" i="8" s="1"/>
  <c r="AV33" i="8" s="1"/>
  <c r="AX33" i="8" s="1"/>
  <c r="U33" i="8" s="1"/>
  <c r="W33" i="8" s="1"/>
  <c r="Y33" i="8" s="1"/>
  <c r="AN33" i="6"/>
  <c r="AP33" i="6" s="1"/>
  <c r="AV33" i="6" s="1"/>
  <c r="AX33" i="6" s="1"/>
  <c r="U33" i="6" s="1"/>
  <c r="W33" i="6" s="1"/>
  <c r="Y33" i="6" s="1"/>
  <c r="AN34" i="7"/>
  <c r="AP34" i="7" s="1"/>
  <c r="AV34" i="7" s="1"/>
  <c r="AX34" i="7" s="1"/>
  <c r="U34" i="7" s="1"/>
  <c r="W34" i="7" s="1"/>
  <c r="Y34" i="7" s="1"/>
  <c r="AN35" i="9"/>
  <c r="AP35" i="9" s="1"/>
  <c r="AV35" i="9" s="1"/>
  <c r="AX35" i="9" s="1"/>
  <c r="U35" i="9" s="1"/>
  <c r="W35" i="9" s="1"/>
  <c r="Y35" i="9" s="1"/>
  <c r="AN28" i="7"/>
  <c r="AN29" i="9"/>
  <c r="AP29" i="9" s="1"/>
  <c r="AV29" i="9" s="1"/>
  <c r="AX29" i="9" s="1"/>
  <c r="U29" i="9" s="1"/>
  <c r="W29" i="9" s="1"/>
  <c r="Y29" i="9" s="1"/>
  <c r="AP28" i="9"/>
  <c r="AN46" i="8"/>
  <c r="AP46" i="8" s="1"/>
  <c r="AV46" i="8" s="1"/>
  <c r="AX46" i="8" s="1"/>
  <c r="U46" i="8" s="1"/>
  <c r="W46" i="8" s="1"/>
  <c r="Y46" i="8" s="1"/>
  <c r="AN46" i="6"/>
  <c r="AP46" i="6" s="1"/>
  <c r="AV46" i="6" s="1"/>
  <c r="AX46" i="6" s="1"/>
  <c r="U46" i="6" s="1"/>
  <c r="W46" i="6" s="1"/>
  <c r="Y46" i="6" s="1"/>
  <c r="AN47" i="7"/>
  <c r="AP47" i="7" s="1"/>
  <c r="AV47" i="7" s="1"/>
  <c r="AX47" i="7" s="1"/>
  <c r="U47" i="7" s="1"/>
  <c r="W47" i="7" s="1"/>
  <c r="Y47" i="7" s="1"/>
  <c r="AN48" i="9"/>
  <c r="AP48" i="9" s="1"/>
  <c r="AV48" i="9" s="1"/>
  <c r="AX48" i="9" s="1"/>
  <c r="U48" i="9" s="1"/>
  <c r="W48" i="9" s="1"/>
  <c r="Y48" i="9" s="1"/>
  <c r="AN39" i="6"/>
  <c r="AP39" i="6" s="1"/>
  <c r="AV39" i="6" s="1"/>
  <c r="AX39" i="6" s="1"/>
  <c r="U39" i="6" s="1"/>
  <c r="W39" i="6" s="1"/>
  <c r="Y39" i="6" s="1"/>
  <c r="AN39" i="8"/>
  <c r="AP39" i="8" s="1"/>
  <c r="AV39" i="8" s="1"/>
  <c r="AX39" i="8" s="1"/>
  <c r="U39" i="8" s="1"/>
  <c r="W39" i="8" s="1"/>
  <c r="Y39" i="8" s="1"/>
  <c r="AN40" i="7"/>
  <c r="AP40" i="7" s="1"/>
  <c r="AV40" i="7" s="1"/>
  <c r="AX40" i="7" s="1"/>
  <c r="U40" i="7" s="1"/>
  <c r="W40" i="7" s="1"/>
  <c r="Y40" i="7" s="1"/>
  <c r="AN41" i="9"/>
  <c r="AP41" i="9" s="1"/>
  <c r="AV41" i="9" s="1"/>
  <c r="AX41" i="9" s="1"/>
  <c r="U41" i="9" s="1"/>
  <c r="W41" i="9" s="1"/>
  <c r="Y41" i="9" s="1"/>
  <c r="AN35" i="6"/>
  <c r="AP35" i="6" s="1"/>
  <c r="AV35" i="6" s="1"/>
  <c r="AX35" i="6" s="1"/>
  <c r="U35" i="6" s="1"/>
  <c r="W35" i="6" s="1"/>
  <c r="Y35" i="6" s="1"/>
  <c r="AN35" i="8"/>
  <c r="AP35" i="8" s="1"/>
  <c r="AV35" i="8" s="1"/>
  <c r="AX35" i="8" s="1"/>
  <c r="U35" i="8" s="1"/>
  <c r="W35" i="8" s="1"/>
  <c r="Y35" i="8" s="1"/>
  <c r="AN36" i="7"/>
  <c r="AP36" i="7" s="1"/>
  <c r="AV36" i="7" s="1"/>
  <c r="AX36" i="7" s="1"/>
  <c r="U36" i="7" s="1"/>
  <c r="W36" i="7" s="1"/>
  <c r="Y36" i="7" s="1"/>
  <c r="AN37" i="9"/>
  <c r="AP37" i="9" s="1"/>
  <c r="AV37" i="9" s="1"/>
  <c r="AX37" i="9" s="1"/>
  <c r="U37" i="9" s="1"/>
  <c r="W37" i="9" s="1"/>
  <c r="Y37" i="9" s="1"/>
  <c r="AN34" i="6"/>
  <c r="AP34" i="6" s="1"/>
  <c r="AV34" i="6" s="1"/>
  <c r="AX34" i="6" s="1"/>
  <c r="U34" i="6" s="1"/>
  <c r="W34" i="6" s="1"/>
  <c r="Y34" i="6" s="1"/>
  <c r="AN34" i="8"/>
  <c r="AP34" i="8" s="1"/>
  <c r="AV34" i="8" s="1"/>
  <c r="AX34" i="8" s="1"/>
  <c r="U34" i="8" s="1"/>
  <c r="W34" i="8" s="1"/>
  <c r="Y34" i="8" s="1"/>
  <c r="AN35" i="7"/>
  <c r="AP35" i="7" s="1"/>
  <c r="AV35" i="7" s="1"/>
  <c r="AX35" i="7" s="1"/>
  <c r="U35" i="7" s="1"/>
  <c r="W35" i="7" s="1"/>
  <c r="Y35" i="7" s="1"/>
  <c r="AN36" i="9"/>
  <c r="AP36" i="9" s="1"/>
  <c r="AV36" i="9" s="1"/>
  <c r="AX36" i="9" s="1"/>
  <c r="U36" i="9" s="1"/>
  <c r="W36" i="9" s="1"/>
  <c r="Y36" i="9" s="1"/>
  <c r="AN30" i="6"/>
  <c r="AP30" i="6" s="1"/>
  <c r="AV30" i="6" s="1"/>
  <c r="AX30" i="6" s="1"/>
  <c r="U30" i="6" s="1"/>
  <c r="W30" i="6" s="1"/>
  <c r="Y30" i="6" s="1"/>
  <c r="AN30" i="8"/>
  <c r="AP30" i="8" s="1"/>
  <c r="AV30" i="8" s="1"/>
  <c r="AX30" i="8" s="1"/>
  <c r="U30" i="8" s="1"/>
  <c r="W30" i="8" s="1"/>
  <c r="Y30" i="8" s="1"/>
  <c r="AN31" i="7"/>
  <c r="AP31" i="7" s="1"/>
  <c r="AV31" i="7" s="1"/>
  <c r="AX31" i="7" s="1"/>
  <c r="U31" i="7" s="1"/>
  <c r="W31" i="7" s="1"/>
  <c r="Y31" i="7" s="1"/>
  <c r="AN32" i="9"/>
  <c r="AP32" i="9" s="1"/>
  <c r="AV32" i="9" s="1"/>
  <c r="AX32" i="9" s="1"/>
  <c r="U32" i="9" s="1"/>
  <c r="W32" i="9" s="1"/>
  <c r="Y32" i="9" s="1"/>
  <c r="AN52" i="8"/>
  <c r="AP52" i="8" s="1"/>
  <c r="AV52" i="8" s="1"/>
  <c r="AN52" i="6"/>
  <c r="AP52" i="6" s="1"/>
  <c r="AV52" i="6" s="1"/>
  <c r="AN48" i="6"/>
  <c r="AP48" i="6" s="1"/>
  <c r="AV48" i="6" s="1"/>
  <c r="AX48" i="6" s="1"/>
  <c r="U48" i="6" s="1"/>
  <c r="W48" i="6" s="1"/>
  <c r="Y48" i="6" s="1"/>
  <c r="AN48" i="8"/>
  <c r="AP48" i="8" s="1"/>
  <c r="AV48" i="8" s="1"/>
  <c r="AX48" i="8" s="1"/>
  <c r="U48" i="8" s="1"/>
  <c r="W48" i="8" s="1"/>
  <c r="Y48" i="8" s="1"/>
  <c r="AN49" i="7"/>
  <c r="AP49" i="7" s="1"/>
  <c r="AV49" i="7" s="1"/>
  <c r="AX49" i="7" s="1"/>
  <c r="U49" i="7" s="1"/>
  <c r="W49" i="7" s="1"/>
  <c r="Y49" i="7" s="1"/>
  <c r="AN50" i="9"/>
  <c r="AP50" i="9" s="1"/>
  <c r="AV50" i="9" s="1"/>
  <c r="AX50" i="9" s="1"/>
  <c r="U50" i="9" s="1"/>
  <c r="W50" i="9" s="1"/>
  <c r="Y50" i="9" s="1"/>
  <c r="AN45" i="6"/>
  <c r="AP45" i="6" s="1"/>
  <c r="AV45" i="6" s="1"/>
  <c r="AX45" i="6" s="1"/>
  <c r="U45" i="6" s="1"/>
  <c r="W45" i="6" s="1"/>
  <c r="Y45" i="6" s="1"/>
  <c r="AN45" i="8"/>
  <c r="AP45" i="8" s="1"/>
  <c r="AV45" i="8" s="1"/>
  <c r="AX45" i="8" s="1"/>
  <c r="U45" i="8" s="1"/>
  <c r="W45" i="8" s="1"/>
  <c r="Y45" i="8" s="1"/>
  <c r="AN46" i="7"/>
  <c r="AP46" i="7" s="1"/>
  <c r="AV46" i="7" s="1"/>
  <c r="AX46" i="7" s="1"/>
  <c r="U46" i="7" s="1"/>
  <c r="W46" i="7" s="1"/>
  <c r="Y46" i="7" s="1"/>
  <c r="AN47" i="9"/>
  <c r="AP47" i="9" s="1"/>
  <c r="AV47" i="9" s="1"/>
  <c r="AX47" i="9" s="1"/>
  <c r="U47" i="9" s="1"/>
  <c r="W47" i="9" s="1"/>
  <c r="Y47" i="9" s="1"/>
  <c r="AN42" i="6"/>
  <c r="AP42" i="6" s="1"/>
  <c r="AV42" i="6" s="1"/>
  <c r="AX42" i="6" s="1"/>
  <c r="U42" i="6" s="1"/>
  <c r="W42" i="6" s="1"/>
  <c r="Y42" i="6" s="1"/>
  <c r="AN42" i="8"/>
  <c r="AP42" i="8" s="1"/>
  <c r="AV42" i="8" s="1"/>
  <c r="AX42" i="8" s="1"/>
  <c r="U42" i="8" s="1"/>
  <c r="W42" i="8" s="1"/>
  <c r="Y42" i="8" s="1"/>
  <c r="AN43" i="7"/>
  <c r="AP43" i="7" s="1"/>
  <c r="AV43" i="7" s="1"/>
  <c r="AX43" i="7" s="1"/>
  <c r="U43" i="7" s="1"/>
  <c r="W43" i="7" s="1"/>
  <c r="Y43" i="7" s="1"/>
  <c r="AN44" i="9"/>
  <c r="AP44" i="9" s="1"/>
  <c r="AV44" i="9" s="1"/>
  <c r="AX44" i="9" s="1"/>
  <c r="U44" i="9" s="1"/>
  <c r="W44" i="9" s="1"/>
  <c r="Y44" i="9" s="1"/>
  <c r="AN43" i="6"/>
  <c r="AP43" i="6" s="1"/>
  <c r="AV43" i="6" s="1"/>
  <c r="AX43" i="6" s="1"/>
  <c r="U43" i="6" s="1"/>
  <c r="W43" i="6" s="1"/>
  <c r="Y43" i="6" s="1"/>
  <c r="AN43" i="8"/>
  <c r="AP43" i="8" s="1"/>
  <c r="AV43" i="8" s="1"/>
  <c r="AX43" i="8" s="1"/>
  <c r="U43" i="8" s="1"/>
  <c r="W43" i="8" s="1"/>
  <c r="Y43" i="8" s="1"/>
  <c r="AN44" i="7"/>
  <c r="AP44" i="7" s="1"/>
  <c r="AV44" i="7" s="1"/>
  <c r="AX44" i="7" s="1"/>
  <c r="U44" i="7" s="1"/>
  <c r="W44" i="7" s="1"/>
  <c r="Y44" i="7" s="1"/>
  <c r="AN45" i="9"/>
  <c r="AP45" i="9" s="1"/>
  <c r="AV45" i="9" s="1"/>
  <c r="AX45" i="9" s="1"/>
  <c r="U45" i="9" s="1"/>
  <c r="W45" i="9" s="1"/>
  <c r="Y45" i="9" s="1"/>
  <c r="AN36" i="8"/>
  <c r="AP36" i="8" s="1"/>
  <c r="AV36" i="8" s="1"/>
  <c r="AX36" i="8" s="1"/>
  <c r="U36" i="8" s="1"/>
  <c r="W36" i="8" s="1"/>
  <c r="Y36" i="8" s="1"/>
  <c r="AN36" i="6"/>
  <c r="AP36" i="6" s="1"/>
  <c r="AV36" i="6" s="1"/>
  <c r="AX36" i="6" s="1"/>
  <c r="U36" i="6" s="1"/>
  <c r="W36" i="6" s="1"/>
  <c r="Y36" i="6" s="1"/>
  <c r="AN37" i="7"/>
  <c r="AP37" i="7" s="1"/>
  <c r="AV37" i="7" s="1"/>
  <c r="AX37" i="7" s="1"/>
  <c r="U37" i="7" s="1"/>
  <c r="W37" i="7" s="1"/>
  <c r="Y37" i="7" s="1"/>
  <c r="AN38" i="9"/>
  <c r="AP38" i="9" s="1"/>
  <c r="AV38" i="9" s="1"/>
  <c r="AX38" i="9" s="1"/>
  <c r="U38" i="9" s="1"/>
  <c r="W38" i="9" s="1"/>
  <c r="Y38" i="9" s="1"/>
  <c r="AN29" i="8"/>
  <c r="AP29" i="8" s="1"/>
  <c r="AV29" i="8" s="1"/>
  <c r="AX29" i="8" s="1"/>
  <c r="U29" i="8" s="1"/>
  <c r="W29" i="8" s="1"/>
  <c r="Y29" i="8" s="1"/>
  <c r="AN29" i="6"/>
  <c r="AP29" i="6" s="1"/>
  <c r="AV29" i="6" s="1"/>
  <c r="AX29" i="6" s="1"/>
  <c r="U29" i="6" s="1"/>
  <c r="W29" i="6" s="1"/>
  <c r="Y29" i="6" s="1"/>
  <c r="AN30" i="7"/>
  <c r="AP30" i="7" s="1"/>
  <c r="AV30" i="7" s="1"/>
  <c r="AX30" i="7" s="1"/>
  <c r="U30" i="7" s="1"/>
  <c r="W30" i="7" s="1"/>
  <c r="Y30" i="7" s="1"/>
  <c r="AN31" i="9"/>
  <c r="AP31" i="9" s="1"/>
  <c r="AV31" i="9" s="1"/>
  <c r="AX31" i="9" s="1"/>
  <c r="U31" i="9" s="1"/>
  <c r="W31" i="9" s="1"/>
  <c r="Y31" i="9" s="1"/>
  <c r="AP28" i="6"/>
  <c r="AN50" i="8"/>
  <c r="AP50" i="8" s="1"/>
  <c r="AV50" i="8" s="1"/>
  <c r="AX50" i="8" s="1"/>
  <c r="U50" i="8" s="1"/>
  <c r="W50" i="8" s="1"/>
  <c r="Y50" i="8" s="1"/>
  <c r="AN50" i="6"/>
  <c r="AP50" i="6" s="1"/>
  <c r="AV50" i="6" s="1"/>
  <c r="AX50" i="6" s="1"/>
  <c r="U50" i="6" s="1"/>
  <c r="W50" i="6" s="1"/>
  <c r="Y50" i="6" s="1"/>
  <c r="AN51" i="7"/>
  <c r="AP51" i="7" s="1"/>
  <c r="AV51" i="7" s="1"/>
  <c r="AX51" i="7" s="1"/>
  <c r="U51" i="7" s="1"/>
  <c r="W51" i="7" s="1"/>
  <c r="Y51" i="7" s="1"/>
  <c r="AN52" i="9"/>
  <c r="AP52" i="9" s="1"/>
  <c r="AV52" i="9" s="1"/>
  <c r="AN41" i="8"/>
  <c r="AP41" i="8" s="1"/>
  <c r="AV41" i="8" s="1"/>
  <c r="AX41" i="8" s="1"/>
  <c r="U41" i="8" s="1"/>
  <c r="W41" i="8" s="1"/>
  <c r="Y41" i="8" s="1"/>
  <c r="AN41" i="6"/>
  <c r="AP41" i="6" s="1"/>
  <c r="AV41" i="6" s="1"/>
  <c r="AX41" i="6" s="1"/>
  <c r="U41" i="6" s="1"/>
  <c r="W41" i="6" s="1"/>
  <c r="Y41" i="6" s="1"/>
  <c r="AN42" i="7"/>
  <c r="AP42" i="7" s="1"/>
  <c r="AV42" i="7" s="1"/>
  <c r="AX42" i="7" s="1"/>
  <c r="U42" i="7" s="1"/>
  <c r="W42" i="7" s="1"/>
  <c r="Y42" i="7" s="1"/>
  <c r="AN43" i="9"/>
  <c r="AP43" i="9" s="1"/>
  <c r="AV43" i="9" s="1"/>
  <c r="AX43" i="9" s="1"/>
  <c r="U43" i="9" s="1"/>
  <c r="W43" i="9" s="1"/>
  <c r="Y43" i="9" s="1"/>
  <c r="AN49" i="8"/>
  <c r="AP49" i="8" s="1"/>
  <c r="AV49" i="8" s="1"/>
  <c r="AX49" i="8" s="1"/>
  <c r="U49" i="8" s="1"/>
  <c r="W49" i="8" s="1"/>
  <c r="Y49" i="8" s="1"/>
  <c r="AN49" i="6"/>
  <c r="AP49" i="6" s="1"/>
  <c r="AV49" i="6" s="1"/>
  <c r="AX49" i="6" s="1"/>
  <c r="U49" i="6" s="1"/>
  <c r="W49" i="6" s="1"/>
  <c r="Y49" i="6" s="1"/>
  <c r="AN50" i="7"/>
  <c r="AP50" i="7" s="1"/>
  <c r="AV50" i="7" s="1"/>
  <c r="AX50" i="7" s="1"/>
  <c r="U50" i="7" s="1"/>
  <c r="W50" i="7" s="1"/>
  <c r="Y50" i="7" s="1"/>
  <c r="AN51" i="9"/>
  <c r="AP51" i="9" s="1"/>
  <c r="AV51" i="9" s="1"/>
  <c r="AX51" i="9" s="1"/>
  <c r="U51" i="9" s="1"/>
  <c r="W51" i="9" s="1"/>
  <c r="Y51" i="9" s="1"/>
  <c r="AN51" i="6"/>
  <c r="AP51" i="6" s="1"/>
  <c r="AV51" i="6" s="1"/>
  <c r="AX51" i="6" s="1"/>
  <c r="U51" i="6" s="1"/>
  <c r="W51" i="6" s="1"/>
  <c r="Y51" i="6" s="1"/>
  <c r="AN51" i="8"/>
  <c r="AP51" i="8" s="1"/>
  <c r="AV51" i="8" s="1"/>
  <c r="AX51" i="8" s="1"/>
  <c r="U51" i="8" s="1"/>
  <c r="W51" i="8" s="1"/>
  <c r="Y51" i="8" s="1"/>
  <c r="AN52" i="7"/>
  <c r="AP52" i="7" s="1"/>
  <c r="AV52" i="7" s="1"/>
  <c r="AN47" i="6"/>
  <c r="AP47" i="6" s="1"/>
  <c r="AV47" i="6" s="1"/>
  <c r="AX47" i="6" s="1"/>
  <c r="U47" i="6" s="1"/>
  <c r="W47" i="6" s="1"/>
  <c r="Y47" i="6" s="1"/>
  <c r="AN47" i="8"/>
  <c r="AP47" i="8" s="1"/>
  <c r="AV47" i="8" s="1"/>
  <c r="AX47" i="8" s="1"/>
  <c r="U47" i="8" s="1"/>
  <c r="W47" i="8" s="1"/>
  <c r="Y47" i="8" s="1"/>
  <c r="AN48" i="7"/>
  <c r="AP48" i="7" s="1"/>
  <c r="AV48" i="7" s="1"/>
  <c r="AX48" i="7" s="1"/>
  <c r="U48" i="7" s="1"/>
  <c r="W48" i="7" s="1"/>
  <c r="Y48" i="7" s="1"/>
  <c r="AN49" i="9"/>
  <c r="AP49" i="9" s="1"/>
  <c r="AV49" i="9" s="1"/>
  <c r="AX49" i="9" s="1"/>
  <c r="U49" i="9" s="1"/>
  <c r="W49" i="9" s="1"/>
  <c r="Y49" i="9" s="1"/>
  <c r="AN44" i="6"/>
  <c r="AP44" i="6" s="1"/>
  <c r="AV44" i="6" s="1"/>
  <c r="AX44" i="6" s="1"/>
  <c r="U44" i="6" s="1"/>
  <c r="W44" i="6" s="1"/>
  <c r="Y44" i="6" s="1"/>
  <c r="AN44" i="8"/>
  <c r="AP44" i="8" s="1"/>
  <c r="AV44" i="8" s="1"/>
  <c r="AX44" i="8" s="1"/>
  <c r="U44" i="8" s="1"/>
  <c r="W44" i="8" s="1"/>
  <c r="Y44" i="8" s="1"/>
  <c r="AN45" i="7"/>
  <c r="AP45" i="7" s="1"/>
  <c r="AV45" i="7" s="1"/>
  <c r="AX45" i="7" s="1"/>
  <c r="U45" i="7" s="1"/>
  <c r="W45" i="7" s="1"/>
  <c r="Y45" i="7" s="1"/>
  <c r="AN46" i="9"/>
  <c r="AP46" i="9" s="1"/>
  <c r="AV46" i="9" s="1"/>
  <c r="AX46" i="9" s="1"/>
  <c r="U46" i="9" s="1"/>
  <c r="W46" i="9" s="1"/>
  <c r="Y46" i="9" s="1"/>
  <c r="AN40" i="6"/>
  <c r="AP40" i="6" s="1"/>
  <c r="AV40" i="6" s="1"/>
  <c r="AX40" i="6" s="1"/>
  <c r="U40" i="6" s="1"/>
  <c r="W40" i="6" s="1"/>
  <c r="Y40" i="6" s="1"/>
  <c r="AN40" i="8"/>
  <c r="AP40" i="8" s="1"/>
  <c r="AV40" i="8" s="1"/>
  <c r="AX40" i="8" s="1"/>
  <c r="U40" i="8" s="1"/>
  <c r="W40" i="8" s="1"/>
  <c r="Y40" i="8" s="1"/>
  <c r="AN41" i="7"/>
  <c r="AP41" i="7" s="1"/>
  <c r="AV41" i="7" s="1"/>
  <c r="AX41" i="7" s="1"/>
  <c r="U41" i="7" s="1"/>
  <c r="W41" i="7" s="1"/>
  <c r="Y41" i="7" s="1"/>
  <c r="AN42" i="9"/>
  <c r="AP42" i="9" s="1"/>
  <c r="AV42" i="9" s="1"/>
  <c r="AX42" i="9" s="1"/>
  <c r="U42" i="9" s="1"/>
  <c r="W42" i="9" s="1"/>
  <c r="Y42" i="9" s="1"/>
  <c r="AN37" i="8"/>
  <c r="AP37" i="8" s="1"/>
  <c r="AV37" i="8" s="1"/>
  <c r="AX37" i="8" s="1"/>
  <c r="U37" i="8" s="1"/>
  <c r="W37" i="8" s="1"/>
  <c r="Y37" i="8" s="1"/>
  <c r="AN37" i="6"/>
  <c r="AP37" i="6" s="1"/>
  <c r="AV37" i="6" s="1"/>
  <c r="AX37" i="6" s="1"/>
  <c r="U37" i="6" s="1"/>
  <c r="W37" i="6" s="1"/>
  <c r="Y37" i="6" s="1"/>
  <c r="AN38" i="7"/>
  <c r="AP38" i="7" s="1"/>
  <c r="AV38" i="7" s="1"/>
  <c r="AX38" i="7" s="1"/>
  <c r="U38" i="7" s="1"/>
  <c r="W38" i="7" s="1"/>
  <c r="Y38" i="7" s="1"/>
  <c r="AN39" i="9"/>
  <c r="AP39" i="9" s="1"/>
  <c r="AV39" i="9" s="1"/>
  <c r="AX39" i="9" s="1"/>
  <c r="U39" i="9" s="1"/>
  <c r="W39" i="9" s="1"/>
  <c r="Y39" i="9" s="1"/>
  <c r="AN32" i="6"/>
  <c r="AP32" i="6" s="1"/>
  <c r="AV32" i="6" s="1"/>
  <c r="AX32" i="6" s="1"/>
  <c r="U32" i="6" s="1"/>
  <c r="W32" i="6" s="1"/>
  <c r="Y32" i="6" s="1"/>
  <c r="AN32" i="8"/>
  <c r="AP32" i="8" s="1"/>
  <c r="AV32" i="8" s="1"/>
  <c r="AX32" i="8" s="1"/>
  <c r="U32" i="8" s="1"/>
  <c r="W32" i="8" s="1"/>
  <c r="Y32" i="8" s="1"/>
  <c r="AN33" i="7"/>
  <c r="AP33" i="7" s="1"/>
  <c r="AV33" i="7" s="1"/>
  <c r="AX33" i="7" s="1"/>
  <c r="U33" i="7" s="1"/>
  <c r="W33" i="7" s="1"/>
  <c r="Y33" i="7" s="1"/>
  <c r="AN34" i="9"/>
  <c r="AP34" i="9" s="1"/>
  <c r="AV34" i="9" s="1"/>
  <c r="AX34" i="9" s="1"/>
  <c r="U34" i="9" s="1"/>
  <c r="W34" i="9" s="1"/>
  <c r="Y34" i="9" s="1"/>
  <c r="AN31" i="6"/>
  <c r="AP31" i="6" s="1"/>
  <c r="AV31" i="6" s="1"/>
  <c r="AX31" i="6" s="1"/>
  <c r="U31" i="6" s="1"/>
  <c r="W31" i="6" s="1"/>
  <c r="Y31" i="6" s="1"/>
  <c r="AN31" i="8"/>
  <c r="AP31" i="8" s="1"/>
  <c r="AV31" i="8" s="1"/>
  <c r="AX31" i="8" s="1"/>
  <c r="U31" i="8" s="1"/>
  <c r="W31" i="8" s="1"/>
  <c r="Y31" i="8" s="1"/>
  <c r="AN32" i="7"/>
  <c r="AP32" i="7" s="1"/>
  <c r="AV32" i="7" s="1"/>
  <c r="AX32" i="7" s="1"/>
  <c r="U32" i="7" s="1"/>
  <c r="W32" i="7" s="1"/>
  <c r="Y32" i="7" s="1"/>
  <c r="AN33" i="9"/>
  <c r="AP33" i="9" s="1"/>
  <c r="AV33" i="9" s="1"/>
  <c r="AX33" i="9" s="1"/>
  <c r="U33" i="9" s="1"/>
  <c r="W33" i="9" s="1"/>
  <c r="Y33" i="9" s="1"/>
  <c r="AP28" i="8"/>
  <c r="AN54" i="8"/>
  <c r="AP43" i="19"/>
  <c r="AV43" i="19" s="1"/>
  <c r="AX43" i="19" s="1"/>
  <c r="U43" i="19" s="1"/>
  <c r="W43" i="19" s="1"/>
  <c r="Y43" i="19" s="1"/>
  <c r="AP32" i="19"/>
  <c r="AV32" i="19" s="1"/>
  <c r="AX32" i="19" s="1"/>
  <c r="U32" i="19" s="1"/>
  <c r="W32" i="19" s="1"/>
  <c r="Y32" i="19" s="1"/>
  <c r="AP31" i="19"/>
  <c r="AV31" i="19" s="1"/>
  <c r="AX31" i="19" s="1"/>
  <c r="U31" i="19" s="1"/>
  <c r="W31" i="19" s="1"/>
  <c r="Y31" i="19" s="1"/>
  <c r="G14" i="5"/>
  <c r="G13" i="5" s="1"/>
  <c r="AP44" i="19"/>
  <c r="AV44" i="19" s="1"/>
  <c r="AX44" i="19" s="1"/>
  <c r="U44" i="19" s="1"/>
  <c r="W44" i="19" s="1"/>
  <c r="Y44" i="19" s="1"/>
  <c r="AP50" i="19"/>
  <c r="AV50" i="19" s="1"/>
  <c r="AX50" i="19" s="1"/>
  <c r="U50" i="19" s="1"/>
  <c r="W50" i="19" s="1"/>
  <c r="Y50" i="19" s="1"/>
  <c r="AP47" i="19"/>
  <c r="AV47" i="19" s="1"/>
  <c r="AX47" i="19" s="1"/>
  <c r="U47" i="19" s="1"/>
  <c r="W47" i="19" s="1"/>
  <c r="Y47" i="19" s="1"/>
  <c r="AP48" i="19"/>
  <c r="AV48" i="19" s="1"/>
  <c r="AX48" i="19" s="1"/>
  <c r="U48" i="19" s="1"/>
  <c r="W48" i="19" s="1"/>
  <c r="Y48" i="19" s="1"/>
  <c r="AP41" i="19"/>
  <c r="AV41" i="19" s="1"/>
  <c r="AX41" i="19" s="1"/>
  <c r="U41" i="19" s="1"/>
  <c r="W41" i="19" s="1"/>
  <c r="Y41" i="19" s="1"/>
  <c r="AP34" i="19"/>
  <c r="AV34" i="19" s="1"/>
  <c r="AX34" i="19" s="1"/>
  <c r="U34" i="19" s="1"/>
  <c r="W34" i="19" s="1"/>
  <c r="Y34" i="19" s="1"/>
  <c r="AP51" i="19"/>
  <c r="AV51" i="19" s="1"/>
  <c r="AX51" i="19" s="1"/>
  <c r="U51" i="19" s="1"/>
  <c r="W51" i="19" s="1"/>
  <c r="Y51" i="19" s="1"/>
  <c r="AP46" i="19"/>
  <c r="AV46" i="19" s="1"/>
  <c r="AX46" i="19" s="1"/>
  <c r="U46" i="19" s="1"/>
  <c r="W46" i="19" s="1"/>
  <c r="Y46" i="19" s="1"/>
  <c r="AP39" i="19"/>
  <c r="AV39" i="19" s="1"/>
  <c r="AX39" i="19" s="1"/>
  <c r="U39" i="19" s="1"/>
  <c r="W39" i="19" s="1"/>
  <c r="Y39" i="19" s="1"/>
  <c r="AP35" i="19"/>
  <c r="AV35" i="19" s="1"/>
  <c r="AX35" i="19" s="1"/>
  <c r="U35" i="19" s="1"/>
  <c r="W35" i="19" s="1"/>
  <c r="Y35" i="19" s="1"/>
  <c r="G46" i="5"/>
  <c r="AP52" i="19"/>
  <c r="AV52" i="19" s="1"/>
  <c r="AX52" i="19" s="1"/>
  <c r="U52" i="19" s="1"/>
  <c r="W52" i="19" s="1"/>
  <c r="Y52" i="19" s="1"/>
  <c r="AP49" i="19"/>
  <c r="AV49" i="19" s="1"/>
  <c r="AX49" i="19" s="1"/>
  <c r="U49" i="19" s="1"/>
  <c r="W49" i="19" s="1"/>
  <c r="Y49" i="19" s="1"/>
  <c r="AP45" i="19"/>
  <c r="AV45" i="19" s="1"/>
  <c r="AX45" i="19" s="1"/>
  <c r="U45" i="19" s="1"/>
  <c r="W45" i="19" s="1"/>
  <c r="Y45" i="19" s="1"/>
  <c r="AP42" i="19"/>
  <c r="AV42" i="19" s="1"/>
  <c r="AX42" i="19" s="1"/>
  <c r="U42" i="19" s="1"/>
  <c r="W42" i="19" s="1"/>
  <c r="Y42" i="19" s="1"/>
  <c r="AP36" i="19"/>
  <c r="AV36" i="19" s="1"/>
  <c r="AX36" i="19" s="1"/>
  <c r="U36" i="19" s="1"/>
  <c r="W36" i="19" s="1"/>
  <c r="Y36" i="19" s="1"/>
  <c r="AV28" i="8" l="1"/>
  <c r="AX28" i="8" s="1"/>
  <c r="AP54" i="8"/>
  <c r="AX52" i="9"/>
  <c r="U52" i="9" s="1"/>
  <c r="W52" i="9" s="1"/>
  <c r="Y52" i="9" s="1"/>
  <c r="AN54" i="6"/>
  <c r="AN54" i="9"/>
  <c r="AX52" i="7"/>
  <c r="U52" i="7" s="1"/>
  <c r="W52" i="7" s="1"/>
  <c r="Y52" i="7" s="1"/>
  <c r="AV28" i="6"/>
  <c r="AX28" i="6" s="1"/>
  <c r="AP54" i="6"/>
  <c r="AV28" i="9"/>
  <c r="AX28" i="9" s="1"/>
  <c r="AP54" i="9"/>
  <c r="AV54" i="6"/>
  <c r="AX52" i="6"/>
  <c r="U52" i="6" s="1"/>
  <c r="W52" i="6" s="1"/>
  <c r="Y52" i="6" s="1"/>
  <c r="AV54" i="8"/>
  <c r="AX52" i="8"/>
  <c r="U52" i="8" s="1"/>
  <c r="W52" i="8" s="1"/>
  <c r="Y52" i="8" s="1"/>
  <c r="AP28" i="7"/>
  <c r="AN54" i="7"/>
  <c r="G47" i="5"/>
  <c r="G48" i="5" s="1"/>
  <c r="AP30" i="19"/>
  <c r="AV30" i="19" s="1"/>
  <c r="AX30" i="19" s="1"/>
  <c r="U30" i="19" s="1"/>
  <c r="W30" i="19" s="1"/>
  <c r="Y30" i="19" s="1"/>
  <c r="D17" i="4"/>
  <c r="U28" i="9" l="1"/>
  <c r="AX54" i="9"/>
  <c r="AV54" i="9"/>
  <c r="AV28" i="7"/>
  <c r="AP54" i="7"/>
  <c r="U28" i="6"/>
  <c r="AX54" i="6"/>
  <c r="U28" i="8"/>
  <c r="AX54" i="8"/>
  <c r="AP29" i="19"/>
  <c r="AV29" i="19" s="1"/>
  <c r="AX29" i="19" s="1"/>
  <c r="U29" i="19" s="1"/>
  <c r="W29" i="19" s="1"/>
  <c r="Y29" i="19" s="1"/>
  <c r="G12" i="5"/>
  <c r="AP37" i="19"/>
  <c r="AV37" i="19" s="1"/>
  <c r="AX37" i="19" s="1"/>
  <c r="U37" i="19" s="1"/>
  <c r="W37" i="19" s="1"/>
  <c r="Y37" i="19" s="1"/>
  <c r="AP38" i="19"/>
  <c r="AV38" i="19" s="1"/>
  <c r="AX38" i="19" s="1"/>
  <c r="U38" i="19" s="1"/>
  <c r="W38" i="19" s="1"/>
  <c r="Y38" i="19" s="1"/>
  <c r="AP40" i="19"/>
  <c r="AV40" i="19" s="1"/>
  <c r="AX40" i="19" s="1"/>
  <c r="U40" i="19" s="1"/>
  <c r="W40" i="19" s="1"/>
  <c r="Y40" i="19" s="1"/>
  <c r="W28" i="8" l="1"/>
  <c r="U54" i="8"/>
  <c r="I16" i="18" s="1"/>
  <c r="AX28" i="7"/>
  <c r="AV54" i="7"/>
  <c r="W28" i="6"/>
  <c r="U54" i="6"/>
  <c r="E16" i="18" s="1"/>
  <c r="W28" i="9"/>
  <c r="U54" i="9"/>
  <c r="K16" i="18" s="1"/>
  <c r="AP28" i="19"/>
  <c r="AP66" i="19" s="1"/>
  <c r="Y28" i="9" l="1"/>
  <c r="W54" i="9"/>
  <c r="U28" i="7"/>
  <c r="AX54" i="7"/>
  <c r="Y28" i="6"/>
  <c r="W54" i="6"/>
  <c r="Y28" i="8"/>
  <c r="W54" i="8"/>
  <c r="AV28" i="19"/>
  <c r="AV66" i="19" s="1"/>
  <c r="Y54" i="8" l="1"/>
  <c r="I20" i="18" s="1"/>
  <c r="I18" i="18"/>
  <c r="W28" i="7"/>
  <c r="U54" i="7"/>
  <c r="G16" i="18" s="1"/>
  <c r="Y54" i="6"/>
  <c r="E20" i="18" s="1"/>
  <c r="E18" i="18"/>
  <c r="K18" i="18"/>
  <c r="Y54" i="9"/>
  <c r="K20" i="18" s="1"/>
  <c r="AX28" i="19"/>
  <c r="AX66" i="19" s="1"/>
  <c r="Y28" i="7" l="1"/>
  <c r="W54" i="7"/>
  <c r="H14" i="23"/>
  <c r="J14" i="23" s="1"/>
  <c r="F12" i="22"/>
  <c r="S14" i="23"/>
  <c r="U14" i="23" s="1"/>
  <c r="S13" i="23"/>
  <c r="U13" i="23" s="1"/>
  <c r="D12" i="22"/>
  <c r="H13" i="23"/>
  <c r="S16" i="23"/>
  <c r="U16" i="23" s="1"/>
  <c r="J12" i="22"/>
  <c r="H16" i="23"/>
  <c r="J16" i="23" s="1"/>
  <c r="U28" i="19"/>
  <c r="U66" i="19" s="1"/>
  <c r="G18" i="18" l="1"/>
  <c r="Y54" i="7"/>
  <c r="G20" i="18" s="1"/>
  <c r="W28" i="19"/>
  <c r="W66" i="19" s="1"/>
  <c r="M16" i="18"/>
  <c r="H12" i="22" l="1"/>
  <c r="L15" i="22" s="1"/>
  <c r="H15" i="23"/>
  <c r="J15" i="23" s="1"/>
  <c r="S15" i="23"/>
  <c r="U15" i="23" s="1"/>
  <c r="Y28" i="19"/>
  <c r="M18" i="18"/>
  <c r="H17" i="23" l="1"/>
  <c r="J17" i="23" s="1"/>
  <c r="H18" i="23"/>
  <c r="J18" i="23" s="1"/>
  <c r="H20" i="23"/>
  <c r="J20" i="23" s="1"/>
  <c r="Y66" i="19"/>
  <c r="M20" i="18" s="1"/>
  <c r="S40" i="23" s="1"/>
  <c r="U40" i="23" s="1"/>
  <c r="S17" i="23"/>
  <c r="U17" i="23" s="1"/>
  <c r="S19" i="23"/>
  <c r="U19" i="23" s="1"/>
  <c r="S18" i="23"/>
  <c r="U18" i="23" s="1"/>
  <c r="O58" i="14"/>
  <c r="C58" i="14"/>
  <c r="Q58" i="14"/>
  <c r="M58" i="14"/>
  <c r="BD58" i="14"/>
  <c r="AJ58" i="14"/>
  <c r="K58" i="14"/>
  <c r="AH58" i="14"/>
  <c r="AR58" i="14"/>
  <c r="AN58" i="14"/>
  <c r="AP58" i="14"/>
  <c r="BB58" i="14"/>
  <c r="AF58" i="14"/>
  <c r="E17" i="4"/>
  <c r="AF11" i="14" l="1"/>
  <c r="J47" i="23" l="1"/>
  <c r="BD11" i="14"/>
  <c r="BF28" i="14" l="1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8" i="14" l="1"/>
  <c r="I28" i="14" l="1"/>
  <c r="I29" i="14" s="1"/>
  <c r="H17" i="4"/>
  <c r="I30" i="14" l="1"/>
  <c r="I31" i="14" l="1"/>
  <c r="I32" i="14" l="1"/>
  <c r="I33" i="14" l="1"/>
  <c r="I34" i="14" l="1"/>
  <c r="I35" i="14" l="1"/>
  <c r="I36" i="14" l="1"/>
  <c r="I37" i="14" l="1"/>
  <c r="I38" i="14" l="1"/>
  <c r="I39" i="14" l="1"/>
  <c r="I40" i="14" l="1"/>
  <c r="I41" i="14" l="1"/>
  <c r="I42" i="14" l="1"/>
  <c r="I43" i="14" l="1"/>
  <c r="I44" i="14" l="1"/>
  <c r="I45" i="14" l="1"/>
  <c r="I46" i="14" l="1"/>
  <c r="I47" i="14" l="1"/>
  <c r="I48" i="14" l="1"/>
  <c r="I49" i="14" l="1"/>
  <c r="I50" i="14" l="1"/>
  <c r="I51" i="14" l="1"/>
  <c r="G53" i="14" l="1"/>
  <c r="AD53" i="14" s="1"/>
  <c r="G40" i="14"/>
  <c r="G54" i="14"/>
  <c r="AD54" i="14" s="1"/>
  <c r="G46" i="14"/>
  <c r="G47" i="14"/>
  <c r="G32" i="14"/>
  <c r="G29" i="14"/>
  <c r="G37" i="14"/>
  <c r="G50" i="14"/>
  <c r="G55" i="14"/>
  <c r="AD55" i="14" s="1"/>
  <c r="G41" i="14"/>
  <c r="G36" i="14"/>
  <c r="AD28" i="14"/>
  <c r="G33" i="14"/>
  <c r="G42" i="14"/>
  <c r="G56" i="14"/>
  <c r="AD56" i="14" s="1"/>
  <c r="G48" i="14"/>
  <c r="G51" i="14"/>
  <c r="AD51" i="14" s="1"/>
  <c r="G30" i="14"/>
  <c r="G38" i="14"/>
  <c r="G45" i="14"/>
  <c r="G35" i="14"/>
  <c r="G49" i="14"/>
  <c r="G52" i="14"/>
  <c r="AD52" i="14" s="1"/>
  <c r="G44" i="14"/>
  <c r="G43" i="14"/>
  <c r="G34" i="14"/>
  <c r="G31" i="14"/>
  <c r="G39" i="14"/>
  <c r="S28" i="14"/>
  <c r="I52" i="14"/>
  <c r="S51" i="14"/>
  <c r="AV52" i="14" l="1"/>
  <c r="AL52" i="14"/>
  <c r="AT52" i="14" s="1"/>
  <c r="AD38" i="14"/>
  <c r="S38" i="14"/>
  <c r="AD36" i="14"/>
  <c r="S36" i="14"/>
  <c r="AD46" i="14"/>
  <c r="S46" i="14"/>
  <c r="S52" i="14"/>
  <c r="I53" i="14"/>
  <c r="AD34" i="14"/>
  <c r="S34" i="14"/>
  <c r="AD49" i="14"/>
  <c r="S49" i="14"/>
  <c r="AD30" i="14"/>
  <c r="S30" i="14"/>
  <c r="AD41" i="14"/>
  <c r="S41" i="14"/>
  <c r="AD29" i="14"/>
  <c r="S29" i="14"/>
  <c r="AV54" i="14"/>
  <c r="AL54" i="14"/>
  <c r="AT54" i="14" s="1"/>
  <c r="G58" i="14"/>
  <c r="AD43" i="14"/>
  <c r="S43" i="14"/>
  <c r="AD35" i="14"/>
  <c r="S35" i="14"/>
  <c r="AV51" i="14"/>
  <c r="AL51" i="14"/>
  <c r="AT51" i="14" s="1"/>
  <c r="AD33" i="14"/>
  <c r="S33" i="14"/>
  <c r="AV55" i="14"/>
  <c r="AL55" i="14"/>
  <c r="AT55" i="14" s="1"/>
  <c r="AD32" i="14"/>
  <c r="S32" i="14"/>
  <c r="AD40" i="14"/>
  <c r="S40" i="14"/>
  <c r="AD31" i="14"/>
  <c r="S31" i="14"/>
  <c r="AV56" i="14"/>
  <c r="AL56" i="14"/>
  <c r="AT56" i="14" s="1"/>
  <c r="AD37" i="14"/>
  <c r="S37" i="14"/>
  <c r="AD42" i="14"/>
  <c r="S42" i="14"/>
  <c r="AD39" i="14"/>
  <c r="S39" i="14"/>
  <c r="AD44" i="14"/>
  <c r="S44" i="14"/>
  <c r="AD45" i="14"/>
  <c r="S45" i="14"/>
  <c r="AD48" i="14"/>
  <c r="S48" i="14"/>
  <c r="AV28" i="14"/>
  <c r="AL28" i="14"/>
  <c r="AD50" i="14"/>
  <c r="S50" i="14"/>
  <c r="AD47" i="14"/>
  <c r="S47" i="14"/>
  <c r="AV53" i="14"/>
  <c r="AL53" i="14"/>
  <c r="AT53" i="14" s="1"/>
  <c r="AX54" i="14" l="1"/>
  <c r="U54" i="14" s="1"/>
  <c r="AX52" i="14"/>
  <c r="U52" i="14" s="1"/>
  <c r="W52" i="14" s="1"/>
  <c r="Y52" i="14" s="1"/>
  <c r="AX53" i="14"/>
  <c r="U53" i="14" s="1"/>
  <c r="AX56" i="14"/>
  <c r="U56" i="14" s="1"/>
  <c r="AX55" i="14"/>
  <c r="U55" i="14" s="1"/>
  <c r="AX51" i="14"/>
  <c r="U51" i="14" s="1"/>
  <c r="W51" i="14" s="1"/>
  <c r="Y51" i="14" s="1"/>
  <c r="AT28" i="14"/>
  <c r="AV48" i="14"/>
  <c r="AL48" i="14"/>
  <c r="AT48" i="14" s="1"/>
  <c r="AV44" i="14"/>
  <c r="AL44" i="14"/>
  <c r="AT44" i="14" s="1"/>
  <c r="AV45" i="14"/>
  <c r="AL45" i="14"/>
  <c r="AT45" i="14" s="1"/>
  <c r="AV39" i="14"/>
  <c r="AL39" i="14"/>
  <c r="AT39" i="14" s="1"/>
  <c r="AV50" i="14"/>
  <c r="AL50" i="14"/>
  <c r="AT50" i="14" s="1"/>
  <c r="AV40" i="14"/>
  <c r="AL40" i="14"/>
  <c r="AT40" i="14" s="1"/>
  <c r="AV43" i="14"/>
  <c r="AL43" i="14"/>
  <c r="AT43" i="14" s="1"/>
  <c r="AV41" i="14"/>
  <c r="AL41" i="14"/>
  <c r="AT41" i="14" s="1"/>
  <c r="AV49" i="14"/>
  <c r="AL49" i="14"/>
  <c r="AT49" i="14" s="1"/>
  <c r="AV46" i="14"/>
  <c r="AL46" i="14"/>
  <c r="AT46" i="14" s="1"/>
  <c r="AV38" i="14"/>
  <c r="AL38" i="14"/>
  <c r="AT38" i="14" s="1"/>
  <c r="I54" i="14"/>
  <c r="S53" i="14"/>
  <c r="AV47" i="14"/>
  <c r="AL47" i="14"/>
  <c r="AT47" i="14" s="1"/>
  <c r="AD58" i="14"/>
  <c r="AF12" i="14" s="1"/>
  <c r="AV42" i="14"/>
  <c r="AL42" i="14"/>
  <c r="AT42" i="14" s="1"/>
  <c r="AV37" i="14"/>
  <c r="AL37" i="14"/>
  <c r="AT37" i="14" s="1"/>
  <c r="AV31" i="14"/>
  <c r="AL31" i="14"/>
  <c r="AT31" i="14" s="1"/>
  <c r="AV32" i="14"/>
  <c r="AL32" i="14"/>
  <c r="AT32" i="14" s="1"/>
  <c r="AV33" i="14"/>
  <c r="AL33" i="14"/>
  <c r="AT33" i="14" s="1"/>
  <c r="AV35" i="14"/>
  <c r="AL35" i="14"/>
  <c r="AT35" i="14" s="1"/>
  <c r="AV29" i="14"/>
  <c r="AL29" i="14"/>
  <c r="AT29" i="14" s="1"/>
  <c r="AV30" i="14"/>
  <c r="AL30" i="14"/>
  <c r="AT30" i="14" s="1"/>
  <c r="AV34" i="14"/>
  <c r="AL34" i="14"/>
  <c r="AT34" i="14" s="1"/>
  <c r="AV36" i="14"/>
  <c r="AL36" i="14"/>
  <c r="AT36" i="14" s="1"/>
  <c r="AX38" i="14" l="1"/>
  <c r="U38" i="14" s="1"/>
  <c r="W38" i="14" s="1"/>
  <c r="Y38" i="14" s="1"/>
  <c r="AX49" i="14"/>
  <c r="U49" i="14" s="1"/>
  <c r="W49" i="14" s="1"/>
  <c r="Y49" i="14" s="1"/>
  <c r="AX50" i="14"/>
  <c r="U50" i="14" s="1"/>
  <c r="W50" i="14" s="1"/>
  <c r="Y50" i="14" s="1"/>
  <c r="AX45" i="14"/>
  <c r="U45" i="14" s="1"/>
  <c r="W45" i="14" s="1"/>
  <c r="Y45" i="14" s="1"/>
  <c r="AX44" i="14"/>
  <c r="U44" i="14" s="1"/>
  <c r="W44" i="14" s="1"/>
  <c r="Y44" i="14" s="1"/>
  <c r="AV58" i="14"/>
  <c r="AX30" i="14"/>
  <c r="U30" i="14" s="1"/>
  <c r="W30" i="14" s="1"/>
  <c r="Y30" i="14" s="1"/>
  <c r="AX35" i="14"/>
  <c r="U35" i="14" s="1"/>
  <c r="W35" i="14" s="1"/>
  <c r="Y35" i="14" s="1"/>
  <c r="AX32" i="14"/>
  <c r="U32" i="14" s="1"/>
  <c r="W32" i="14" s="1"/>
  <c r="Y32" i="14" s="1"/>
  <c r="AX31" i="14"/>
  <c r="U31" i="14" s="1"/>
  <c r="W31" i="14" s="1"/>
  <c r="Y31" i="14" s="1"/>
  <c r="AX42" i="14"/>
  <c r="U42" i="14" s="1"/>
  <c r="W42" i="14" s="1"/>
  <c r="Y42" i="14" s="1"/>
  <c r="AX43" i="14"/>
  <c r="U43" i="14" s="1"/>
  <c r="W43" i="14" s="1"/>
  <c r="Y43" i="14" s="1"/>
  <c r="I55" i="14"/>
  <c r="S54" i="14"/>
  <c r="W54" i="14" s="1"/>
  <c r="Y54" i="14" s="1"/>
  <c r="AL58" i="14"/>
  <c r="AX34" i="14"/>
  <c r="U34" i="14" s="1"/>
  <c r="W34" i="14" s="1"/>
  <c r="Y34" i="14" s="1"/>
  <c r="AX29" i="14"/>
  <c r="U29" i="14" s="1"/>
  <c r="W29" i="14" s="1"/>
  <c r="Y29" i="14" s="1"/>
  <c r="AX47" i="14"/>
  <c r="U47" i="14" s="1"/>
  <c r="W47" i="14" s="1"/>
  <c r="Y47" i="14" s="1"/>
  <c r="AX40" i="14"/>
  <c r="U40" i="14" s="1"/>
  <c r="W40" i="14" s="1"/>
  <c r="Y40" i="14" s="1"/>
  <c r="AX39" i="14"/>
  <c r="U39" i="14" s="1"/>
  <c r="W39" i="14" s="1"/>
  <c r="Y39" i="14" s="1"/>
  <c r="W53" i="14"/>
  <c r="Y53" i="14" s="1"/>
  <c r="AX28" i="14"/>
  <c r="AT58" i="14"/>
  <c r="AX36" i="14"/>
  <c r="U36" i="14" s="1"/>
  <c r="W36" i="14" s="1"/>
  <c r="Y36" i="14" s="1"/>
  <c r="AX33" i="14"/>
  <c r="U33" i="14" s="1"/>
  <c r="W33" i="14" s="1"/>
  <c r="Y33" i="14" s="1"/>
  <c r="AX37" i="14"/>
  <c r="U37" i="14" s="1"/>
  <c r="W37" i="14" s="1"/>
  <c r="Y37" i="14" s="1"/>
  <c r="AX46" i="14"/>
  <c r="U46" i="14" s="1"/>
  <c r="W46" i="14" s="1"/>
  <c r="Y46" i="14" s="1"/>
  <c r="AX41" i="14"/>
  <c r="U41" i="14" s="1"/>
  <c r="W41" i="14" s="1"/>
  <c r="Y41" i="14" s="1"/>
  <c r="AX48" i="14"/>
  <c r="U48" i="14" s="1"/>
  <c r="W48" i="14" s="1"/>
  <c r="Y48" i="14" s="1"/>
  <c r="U28" i="14" l="1"/>
  <c r="AX58" i="14"/>
  <c r="I56" i="14"/>
  <c r="S55" i="14"/>
  <c r="W55" i="14" s="1"/>
  <c r="Y55" i="14" s="1"/>
  <c r="S56" i="14" l="1"/>
  <c r="I58" i="14"/>
  <c r="U58" i="14"/>
  <c r="O16" i="18" s="1"/>
  <c r="W28" i="14"/>
  <c r="Y28" i="14" l="1"/>
  <c r="W56" i="14"/>
  <c r="Y56" i="14" s="1"/>
  <c r="S58" i="14"/>
  <c r="O14" i="18" s="1"/>
  <c r="Y58" i="14" l="1"/>
  <c r="O20" i="18" s="1"/>
  <c r="W58" i="14"/>
  <c r="O18" i="18" s="1"/>
  <c r="S42" i="23" l="1"/>
  <c r="U42" i="23" l="1"/>
  <c r="U44" i="23" s="1"/>
  <c r="U50" i="23" s="1"/>
  <c r="P46" i="23"/>
</calcChain>
</file>

<file path=xl/sharedStrings.xml><?xml version="1.0" encoding="utf-8"?>
<sst xmlns="http://schemas.openxmlformats.org/spreadsheetml/2006/main" count="1302" uniqueCount="275">
  <si>
    <t>PACIFICORP</t>
  </si>
  <si>
    <t>EVALUATION OF RENEWABLE RESOURCE COST</t>
  </si>
  <si>
    <t>WORKPAPER INDEX</t>
  </si>
  <si>
    <t>SUMMARY</t>
  </si>
  <si>
    <t>TOTAL RESOURCE COST TO WASHINGTON REVENUE REQUIREMENT</t>
  </si>
  <si>
    <t>LEVELIZED RESOURCE COST SUMMARY</t>
  </si>
  <si>
    <t>INPUT DATA</t>
  </si>
  <si>
    <t>OWNED RESOURCE ATTRIBUTES</t>
  </si>
  <si>
    <t>FORWARD PRICE CURVE</t>
  </si>
  <si>
    <t>RESOURCE COST CALCULATIONS</t>
  </si>
  <si>
    <t>GOODNOE HILLS RESOURCE COST ANALYSIS</t>
  </si>
  <si>
    <t>MARENGO RESOURCE COST ANALYSIS</t>
  </si>
  <si>
    <t>MARENGO II RESOURCE COST ANALYSIS</t>
  </si>
  <si>
    <t>LEANING JUNIPER RESOURCE COST ANALYSIS</t>
  </si>
  <si>
    <t>DOLLARS PER REC / MWH</t>
  </si>
  <si>
    <t>TOTAL DOLLARS</t>
  </si>
  <si>
    <t>WIND</t>
  </si>
  <si>
    <t>Goodnoe Hills</t>
  </si>
  <si>
    <t>Leaning Juniper</t>
  </si>
  <si>
    <t>|</t>
  </si>
  <si>
    <t>Marengo I</t>
  </si>
  <si>
    <t>Marengo II</t>
  </si>
  <si>
    <t>Top of the World</t>
  </si>
  <si>
    <t>Note 1</t>
  </si>
  <si>
    <t>Note 2</t>
  </si>
  <si>
    <t>Subtotal Wind Resource Cost</t>
  </si>
  <si>
    <t>Prospect 2 (Upgrade 1999)</t>
  </si>
  <si>
    <t>Lemolo 1 (Upgrade 2003)</t>
  </si>
  <si>
    <t>Lemolo 2 (Upgrade 2009)</t>
  </si>
  <si>
    <t>Subtotal Hydro Resource Cost</t>
  </si>
  <si>
    <t>TOTAL RESOURCE COST</t>
  </si>
  <si>
    <t>WASHINGTON REVENUE REQUIREMENT</t>
  </si>
  <si>
    <t>EVALUATION OF RENEWABLE RESOURCES COST SUMMARY</t>
  </si>
  <si>
    <t>Nominal Levelized Cost Over Renewable Resource Life</t>
  </si>
  <si>
    <t>Marengo</t>
  </si>
  <si>
    <t>Renewable Resource Cost ($000)</t>
  </si>
  <si>
    <t>Least-cost Substitute Resource Cost ($000)</t>
  </si>
  <si>
    <t>_</t>
  </si>
  <si>
    <t>Cost Differential ($000)</t>
  </si>
  <si>
    <t>Cost Differential ($/MWh)</t>
  </si>
  <si>
    <t>RESOURCE</t>
  </si>
  <si>
    <t>NAMEPLATE CAPACITY (MW)</t>
  </si>
  <si>
    <t>CAPACITY FACTOR</t>
  </si>
  <si>
    <t>IN-SERVICE</t>
  </si>
  <si>
    <t>LIFE/TERM YEARS</t>
  </si>
  <si>
    <t>CAPITAL $/KW-YR (IN-SRVCE YEAR)</t>
  </si>
  <si>
    <t>O&amp;M COST ($/MWh)</t>
  </si>
  <si>
    <t>TRANS COST ($/KW-YR)</t>
  </si>
  <si>
    <t>-</t>
  </si>
  <si>
    <t>Plant Details</t>
  </si>
  <si>
    <t>Capital Costs</t>
  </si>
  <si>
    <t>Fixed Costs</t>
  </si>
  <si>
    <t xml:space="preserve">   Variable Costs</t>
  </si>
  <si>
    <t xml:space="preserve">Fixed O&amp;M </t>
  </si>
  <si>
    <t>Description</t>
  </si>
  <si>
    <t>Capacity Factor</t>
  </si>
  <si>
    <t>Availability 
Factor</t>
  </si>
  <si>
    <t>In-Service Year</t>
  </si>
  <si>
    <t>Average Capacity (MW)</t>
  </si>
  <si>
    <t>Annual Heat Rate (BTU/kWh)</t>
  </si>
  <si>
    <t>Calculated (MWh/yr)</t>
  </si>
  <si>
    <t>Total Capital Cost 
($/kW)</t>
  </si>
  <si>
    <t>Payment Factor</t>
  </si>
  <si>
    <t>O&amp;M 
($/kW-Yr)</t>
  </si>
  <si>
    <t>Other 
($/kW-Yr)</t>
  </si>
  <si>
    <t>Total FOM + other fixed
($/kW-Yr)</t>
  </si>
  <si>
    <t>Variable O&amp;M input 
($/MWh)</t>
  </si>
  <si>
    <t>West Side</t>
  </si>
  <si>
    <t>CCCT (Wet "F" 2x1) *</t>
  </si>
  <si>
    <t>CCCT Duct Firing (Wet "F" 2x1)</t>
  </si>
  <si>
    <t>Yearly MWh weighted average</t>
  </si>
  <si>
    <t>SCCT Frame (2 Frame "F")</t>
  </si>
  <si>
    <t>Source: Tables 5.1-Table 5.4 2007 IRP Vol 1</t>
  </si>
  <si>
    <t>2007 IRP Vol 2 appendix A page 16</t>
  </si>
  <si>
    <t>Extrapolated</t>
  </si>
  <si>
    <t>Gas Price Forecasts</t>
  </si>
  <si>
    <t>Forecast</t>
  </si>
  <si>
    <t>As described in the Market Fundamental Forecast section, natural gas prices for the first six</t>
  </si>
  <si>
    <t>years are from the market on August 31, 2006 and for the next year are a blend of market prices</t>
  </si>
  <si>
    <t>and the gas prices used in MIDAS or PIRA. Starting in year seven, PIRA’s natural gas price</t>
  </si>
  <si>
    <t>forecast is used exclusively.</t>
  </si>
  <si>
    <t>Natural gas price assumptions in MIDAS are based on PIRA Energy’s July 25, 2006 short-term</t>
  </si>
  <si>
    <t>Annual Forward Price Curve</t>
  </si>
  <si>
    <t>Monthly Forward Price Curve</t>
  </si>
  <si>
    <t>forecast, the August 3, 2006 probabilistic weighted long-term gas forecast, and the August 22,</t>
  </si>
  <si>
    <t>2006 long-term gas basis differentials. PIRA gas price projections are used in MIDAS through</t>
  </si>
  <si>
    <t>MidC</t>
  </si>
  <si>
    <t xml:space="preserve">2007 IRP Base Case Fuel Prices </t>
  </si>
  <si>
    <t xml:space="preserve">Fuel Price for Non-Eligible Resource </t>
  </si>
  <si>
    <t>2020. All prices are adjusted to be consistent with PacifiCorp's official inflation curve issued in</t>
  </si>
  <si>
    <t>Year</t>
  </si>
  <si>
    <t>HLH</t>
  </si>
  <si>
    <t>LLH</t>
  </si>
  <si>
    <t>Flat</t>
  </si>
  <si>
    <t>Cost</t>
  </si>
  <si>
    <t>Period</t>
  </si>
  <si>
    <t>HLH Hours</t>
  </si>
  <si>
    <t>LLH Hours</t>
  </si>
  <si>
    <t>HLH Ratio</t>
  </si>
  <si>
    <t>LLH Ratio</t>
  </si>
  <si>
    <t>2007 IRP Base Case Fuel Prices</t>
  </si>
  <si>
    <t>IRP West Gas</t>
  </si>
  <si>
    <t>June 2006. Gas prices beyond 2020 are escalated using PacifiCorp’s inflation curve, which was</t>
  </si>
  <si>
    <t>updated on June 6, 2006.</t>
  </si>
  <si>
    <t>IRP west side natural gas prices are an average of prices at the Sumas, Stanfield and Opal delivery</t>
  </si>
  <si>
    <t>points. Natural gas prices on the east side are based on the Opal delivery point prices. Figure</t>
  </si>
  <si>
    <t>A.2 shows the natural gas price forecasts used in the 2007 IRP.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</si>
  <si>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: Integration cost of $5.10 per MWh is from 2007 IRP Appendix J, Page 195. </t>
    </r>
  </si>
  <si>
    <t xml:space="preserve">    Includes cost associated with incremental Operational Reserve requirements and system balancing costs</t>
  </si>
  <si>
    <t>ELIGIBLE RESOURCE</t>
  </si>
  <si>
    <t>NON ELIGIBLE RESOURCE (CCCT)</t>
  </si>
  <si>
    <t>NON ELIGIBLE RESOURCE (SCCT)</t>
  </si>
  <si>
    <t>RESOURCE NAME</t>
  </si>
  <si>
    <t>NAMEPLATE (MW)</t>
  </si>
  <si>
    <t>FOM ($/KW-YR)</t>
  </si>
  <si>
    <t>FOM YEAR$</t>
  </si>
  <si>
    <t>CAPACITY CONTRIBUTION</t>
  </si>
  <si>
    <t>VOM ($/MWH)</t>
  </si>
  <si>
    <t>HEAT RATE (BTU/kWh)</t>
  </si>
  <si>
    <t>CAPITAL $/KW ($ 2006)</t>
  </si>
  <si>
    <t>2007 $</t>
  </si>
  <si>
    <t>CAPITAL COST $/kW-Yr</t>
  </si>
  <si>
    <t>CAPITAL RECOVERY FACTOR</t>
  </si>
  <si>
    <t>O&amp;M COST $/MWH</t>
  </si>
  <si>
    <t>EXPECTED CF</t>
  </si>
  <si>
    <t>TRANSMISSION COST</t>
  </si>
  <si>
    <t>DISCOUNT RATE</t>
  </si>
  <si>
    <t>per Table 7.29 of 2007 IRP Main document</t>
  </si>
  <si>
    <t>ELIGIBLE RESOURCE COST</t>
  </si>
  <si>
    <t>GENERATION</t>
  </si>
  <si>
    <t>CAPITAL COST</t>
  </si>
  <si>
    <t xml:space="preserve"> O&amp;M COST</t>
  </si>
  <si>
    <t>INTEGRATION COST</t>
  </si>
  <si>
    <t>PRODUCTION TAX CREDIT</t>
  </si>
  <si>
    <t>TOTAL NON_ELIGIBLE RESOURCE COST</t>
  </si>
  <si>
    <t>TOTAL INCREMENTAL COST</t>
  </si>
  <si>
    <t>CAPITAL</t>
  </si>
  <si>
    <t>FIXED O&amp;M</t>
  </si>
  <si>
    <t>VARIABLE O&amp;M</t>
  </si>
  <si>
    <t>CAPITAL COSTS</t>
  </si>
  <si>
    <t>FUEL COST</t>
  </si>
  <si>
    <t>NON ELIGIBLE RESOURCE CAPACITY COST</t>
  </si>
  <si>
    <t>NON ELIGIBLE RESOURCE ENERGY COST</t>
  </si>
  <si>
    <t>TOTAL NON ELIGIBLE RESOURCE COST</t>
  </si>
  <si>
    <t>YEAR</t>
  </si>
  <si>
    <t>INFLATION FORECAST</t>
  </si>
  <si>
    <t>(MWH)</t>
  </si>
  <si>
    <t>($/KW-YR)</t>
  </si>
  <si>
    <t>($/MWh)</t>
  </si>
  <si>
    <t>($/MWH)</t>
  </si>
  <si>
    <t>($ 000)</t>
  </si>
  <si>
    <t>($/MMBTU)</t>
  </si>
  <si>
    <t>2008 $</t>
  </si>
  <si>
    <t>2006 $</t>
  </si>
  <si>
    <t>2.1 - OWNED RESOURCE ATTRIBUTES</t>
  </si>
  <si>
    <t>2.2 - FORWARD PRICE CURVE</t>
  </si>
  <si>
    <t>3.1 - GOODNOE HILLS RESOURCE COST ANALYSIS</t>
  </si>
  <si>
    <t>3.2 - MARENGO RESOURCE COST ANALYSIS</t>
  </si>
  <si>
    <t>3.3 - MARENGO II RESOURCE COST ANALYSIS</t>
  </si>
  <si>
    <t>3.4 - LEANING JUNIPER RESOURCE COST ANALYSIS</t>
  </si>
  <si>
    <t>SO2, NOx, Hg EMISSION COST</t>
  </si>
  <si>
    <r>
      <t>SO</t>
    </r>
    <r>
      <rPr>
        <vertAlign val="subscript"/>
        <sz val="8"/>
        <rFont val="Times New Roman"/>
        <family val="1"/>
      </rPr>
      <t>2</t>
    </r>
    <r>
      <rPr>
        <sz val="10"/>
        <rFont val="Times New Roman"/>
        <family val="1"/>
      </rPr>
      <t>, NOx, HG Emission Cost ($/MWh)</t>
    </r>
  </si>
  <si>
    <t xml:space="preserve">WASHINGTON JUNE, 1 2016 RENEWABLES REPORT </t>
  </si>
  <si>
    <t>LEMOLO 1 RESOURCE COST ANALYSIS</t>
  </si>
  <si>
    <t>LEMOLO 2 RESOURCE COST ANALYSIS</t>
  </si>
  <si>
    <t>Lemolo 1</t>
  </si>
  <si>
    <t>Lemolo 2</t>
  </si>
  <si>
    <t>Lemolo 1 Upgrade</t>
  </si>
  <si>
    <t>ENVIRONMENTAL ($/MWH)</t>
  </si>
  <si>
    <t>Lemolo 2 Upgrade</t>
  </si>
  <si>
    <t>Emissions</t>
  </si>
  <si>
    <t>Gas Transport Cost ($/MWh)</t>
  </si>
  <si>
    <t>SO2 
lbs/MMBtu</t>
  </si>
  <si>
    <t>NOx 
lbs/ MMBtu</t>
  </si>
  <si>
    <t>Hg 
lbs/TBtu</t>
  </si>
  <si>
    <t>CO2 
lbs/MMBtu</t>
  </si>
  <si>
    <t>CCCT (Wet "F" 2x1)</t>
  </si>
  <si>
    <t>2007 IRP Proxy Resource</t>
  </si>
  <si>
    <t>SO2, NOx, HG Emission Cost ($/MWh)</t>
  </si>
  <si>
    <t>2003 IRP Proxy Resource</t>
  </si>
  <si>
    <t>CCCT 2x1</t>
  </si>
  <si>
    <t>CCCT Duct Firing 2x1</t>
  </si>
  <si>
    <t>SCCT Frame</t>
  </si>
  <si>
    <t>$/ton</t>
  </si>
  <si>
    <t>$/MWh</t>
  </si>
  <si>
    <t>levelized in CY 2002 $</t>
  </si>
  <si>
    <t>2004 IRP Proxy Resource</t>
  </si>
  <si>
    <t>Fiscal Year Mid C Utah</t>
  </si>
  <si>
    <t>2003 IRP Appendic C</t>
  </si>
  <si>
    <t>Mid C</t>
  </si>
  <si>
    <t>Utah</t>
  </si>
  <si>
    <t>INFLATION</t>
  </si>
  <si>
    <t>Where price forecasts were not established by external sources, the simulations were performed</t>
  </si>
  <si>
    <t>with an inflation rate of 2.5%, consistent with the PacifiCorp Business Planning assumptions.</t>
  </si>
  <si>
    <t>2003 IRP</t>
  </si>
  <si>
    <t>$/MMBtu)</t>
  </si>
  <si>
    <t>Table c.12</t>
  </si>
  <si>
    <t>Stanfield</t>
  </si>
  <si>
    <t>Sumas</t>
  </si>
  <si>
    <t>2004 IRP</t>
  </si>
  <si>
    <t>Table C.1 – Inflation Table</t>
  </si>
  <si>
    <t>Calendar Year Annual Rate</t>
  </si>
  <si>
    <t>2004-2010</t>
  </si>
  <si>
    <t>2011-2020</t>
  </si>
  <si>
    <t>2020-2030</t>
  </si>
  <si>
    <t>2004 IRP Base Case Fuel Prices</t>
  </si>
  <si>
    <t>2008 IRP Base Case Fuel Prices</t>
  </si>
  <si>
    <t>2008 IRP</t>
  </si>
  <si>
    <t>August 01, 2002 dated OFPC</t>
  </si>
  <si>
    <t>June 2008 dated OFPC</t>
  </si>
  <si>
    <t>June 30, 2004 dated OFPC curve</t>
  </si>
  <si>
    <r>
      <t xml:space="preserve">2007 IRP Integration Cost </t>
    </r>
    <r>
      <rPr>
        <vertAlign val="superscript"/>
        <sz val="8"/>
        <color theme="1"/>
        <rFont val="Arial"/>
        <family val="2"/>
      </rPr>
      <t>1</t>
    </r>
  </si>
  <si>
    <t>West Gas Price</t>
  </si>
  <si>
    <t>Inflation Forecast</t>
  </si>
  <si>
    <t>2007 IRP</t>
  </si>
  <si>
    <t>CAPITAL $/KW ($ 2008)</t>
  </si>
  <si>
    <t>2010 $</t>
  </si>
  <si>
    <t>FUEL COST (incl Gas Transport)</t>
  </si>
  <si>
    <t>Progress 2 Upgrade</t>
  </si>
  <si>
    <t>1999 $</t>
  </si>
  <si>
    <t>CAPITAL $/KW ($ 2002)</t>
  </si>
  <si>
    <t>Prospect 2</t>
  </si>
  <si>
    <t>Lemolo 1 Hydro Upgrade</t>
  </si>
  <si>
    <t>Lemolo 2 Hydro Upgrade</t>
  </si>
  <si>
    <t>2003 $</t>
  </si>
  <si>
    <t>2005 $</t>
  </si>
  <si>
    <t>JC Boyle</t>
  </si>
  <si>
    <t>CAPITAL $/KW ($ 2004)</t>
  </si>
  <si>
    <t>JC Boyle (Upgrade 2005)</t>
  </si>
  <si>
    <t>JC BOYLE RESOURCE COST ANALYSIS</t>
  </si>
  <si>
    <t>PROESPECT 2 RESOURCE COST ANALYSIS</t>
  </si>
  <si>
    <t>JC BOYLE Upgrade</t>
  </si>
  <si>
    <t>3.7 - JC BOYLE UPGRADE RESOURCE COST ANALYSIS</t>
  </si>
  <si>
    <t>3.6 - LEMOLO 2 UPGRADE RESOURCE COST ANALYSIS</t>
  </si>
  <si>
    <t>3.5 - LEMOLO 1 UPGRADE RESOURCE COST ANALYSIS</t>
  </si>
  <si>
    <t>3.8- PROSPECT 2 UPGRADE RESOURCE COST ANALYSIS</t>
  </si>
  <si>
    <t>Total</t>
  </si>
  <si>
    <t>Cost Per MWh</t>
  </si>
  <si>
    <t>Weighted Average Cost</t>
  </si>
  <si>
    <t>WCA Resource</t>
  </si>
  <si>
    <t xml:space="preserve">Weighted Average REC Cost for Non-WCA Generation </t>
  </si>
  <si>
    <t>3.9 - WEIGHTED AVERAGE COST FOR NON-WCA GENERATION</t>
  </si>
  <si>
    <t>Dunlap I</t>
  </si>
  <si>
    <t>Glenrock I</t>
  </si>
  <si>
    <t>INCREMENTAL HYDRO</t>
  </si>
  <si>
    <t>Bennett Creek Windfarm - REC Only</t>
  </si>
  <si>
    <t>Hot Springs Wind Farm - REC Only</t>
  </si>
  <si>
    <t>Note 1:  REC contract price</t>
  </si>
  <si>
    <t>WCA WIND WEIGHTED AVERAGE COST ANALYSIS</t>
  </si>
  <si>
    <t>Greenfield CCCT 2x1</t>
  </si>
  <si>
    <t>Source: Tables C.18, C.19, C20, 2003 IRP Appendix C</t>
  </si>
  <si>
    <t>Greenfield CCCT Duct Firing 2x1</t>
  </si>
  <si>
    <t>Source: 2004 IRP, Appendix C, Tables C.27, C28</t>
  </si>
  <si>
    <t>East Side</t>
  </si>
  <si>
    <t>2017 RECs</t>
  </si>
  <si>
    <t>Seven Mile Hill I</t>
  </si>
  <si>
    <t>SOLAR</t>
  </si>
  <si>
    <t>Pavant</t>
  </si>
  <si>
    <t>Enterprise</t>
  </si>
  <si>
    <t>Note1</t>
  </si>
  <si>
    <t>Subtotal Solar Resource Cost</t>
  </si>
  <si>
    <t>2016 RECs*</t>
  </si>
  <si>
    <t>*RECs Generated for Calendar Year</t>
  </si>
  <si>
    <t>CALENDAR YEAR 2018 - TOTAL RESOURCE COST TO WASHINGTON REVENUE REQUIREMENT</t>
  </si>
  <si>
    <t>2018 RECs / MWH</t>
  </si>
  <si>
    <t>Adams Solar</t>
  </si>
  <si>
    <t>Bear Creek Solar</t>
  </si>
  <si>
    <t>Bly Solar</t>
  </si>
  <si>
    <t>Elbe Solar</t>
  </si>
  <si>
    <t>Campbell Hill</t>
  </si>
  <si>
    <t>CALENDAR YEAR 2019 - TOTAL RESOURCE COST TO WASHINGTON REVENUE REQUIREMENT</t>
  </si>
  <si>
    <t>2019 RECs / MWH</t>
  </si>
  <si>
    <t>Note 2: Weighted average cost of wind resources within the West Control Area</t>
  </si>
  <si>
    <t xml:space="preserve">WASHINGTON AUGUST 23, 2019 RENEWABLES REPORT </t>
  </si>
  <si>
    <t xml:space="preserve">WASHINGTON JUNE, 1 2017 RENEWABLES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</si>
</sst>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-* #,##0\ &quot;F&quot;_-;\-* #,##0\ &quot;F&quot;_-;_-* &quot;-&quot;\ &quot;F&quot;_-;_-@_-"/>
    <numFmt numFmtId="166" formatCode="&quot;$&quot;###0;[Red]\(&quot;$&quot;###0\)"/>
    <numFmt numFmtId="167" formatCode="&quot;$&quot;#,##0\ ;\(&quot;$&quot;#,##0\)"/>
    <numFmt numFmtId="168" formatCode="mmmm\ d\,\ yyyy"/>
    <numFmt numFmtId="169" formatCode="0.0"/>
    <numFmt numFmtId="170" formatCode="#,##0.000;[Red]\-#,##0.000"/>
    <numFmt numFmtId="171" formatCode="_(* #,##0_);[Red]_(* \(#,##0\);_(* &quot;-&quot;_);_(@_)"/>
    <numFmt numFmtId="172" formatCode="#,##0.0_);\(#,##0.0\);\-\ ;"/>
    <numFmt numFmtId="173" formatCode="#,##0.0000"/>
    <numFmt numFmtId="174" formatCode="General_)"/>
    <numFmt numFmtId="175" formatCode="_(&quot;$&quot;\ #,##0.00_);_(&quot;$&quot;\ \(#,##0.00\);_(&quot;$&quot;* &quot;-&quot;??_);_(@_)"/>
    <numFmt numFmtId="176" formatCode="_(&quot;$&quot;\ #,##0_);_(&quot;$&quot;\ \(#,##0\);_(&quot;$&quot;* &quot;-&quot;??_);_(@_)"/>
    <numFmt numFmtId="177" formatCode="_(* #,##0.00_);_(* \(#,##0.00\);_(* &quot;-&quot;_);_(@_)"/>
    <numFmt numFmtId="178" formatCode="0.0000"/>
    <numFmt numFmtId="179" formatCode="_(* #,##0_);_(* \(#,##0\);_(* &quot;-&quot;??_);_(@_)"/>
    <numFmt numFmtId="180" formatCode="&quot;$&quot;#,##0"/>
    <numFmt numFmtId="181" formatCode="&quot;$&quot;#,##0.00"/>
    <numFmt numFmtId="182" formatCode="_(&quot;$&quot;* #,##0.00_);_(&quot;$&quot;* \(#,##0.00\);_(* &quot;-&quot;??_);_(@_)"/>
    <numFmt numFmtId="183" formatCode="_(&quot;$&quot;* #,##0_);_(&quot;$&quot;* \(#,##0\);_(&quot;$&quot;* &quot;-&quot;??_);_(@_)"/>
    <numFmt numFmtId="184" formatCode="_(* #,##0.000_);_(* \(#,##0.000\);_(* &quot;-&quot;??_);_(@_)"/>
    <numFmt numFmtId="185" formatCode="0.0%"/>
    <numFmt numFmtId="186" formatCode="_(* #,##0.0_);_(* \(#,##0.0\);_(* &quot;-&quot;??_);_(@_)"/>
    <numFmt numFmtId="187" formatCode="0&quot;$&quot;"/>
    <numFmt numFmtId="188" formatCode="_(* #,##0.0000_);_(* \(#,##0.0000\);_(* &quot;-&quot;??_);_(@_)"/>
    <numFmt numFmtId="189" formatCode="_(&quot;$&quot;\ #,##0.00;_(&quot;$&quot;\ \(#,##0.00\);_(&quot;$&quot;\ &quot;-&quot;??_);_(@_)"/>
    <numFmt numFmtId="190" formatCode="_(&quot;$&quot;\ #,##0;_(&quot;$&quot;\ \(#,##0\);_(&quot;$&quot;\ &quot;-&quot;??_);_(@_)"/>
    <numFmt numFmtId="191" formatCode="_(&quot;$&quot;\ #,##0_);_(&quot;$&quot;\ \(#,##0\);_(&quot;$&quot;\ &quot;-&quot;_);_(@_)"/>
    <numFmt numFmtId="192" formatCode="#,##0.0"/>
    <numFmt numFmtId="193" formatCode="0.000"/>
    <numFmt numFmtId="194" formatCode="mmm\ yyyy&quot;   &quot;"/>
    <numFmt numFmtId="195" formatCode="0.000%"/>
    <numFmt numFmtId="196" formatCode="0.00_)"/>
    <numFmt numFmtId="197" formatCode="0.000000"/>
    <numFmt numFmtId="198" formatCode="_-* #,##0_-;\-* #,##0_-;_-* &quot;-&quot;_-;_-@_-"/>
    <numFmt numFmtId="199" formatCode="_-* #,##0.00_-;\-* #,##0.00_-;_-* &quot;-&quot;??_-;_-@_-"/>
    <numFmt numFmtId="200" formatCode="_-&quot;$&quot;* #,##0_-;\-&quot;$&quot;* #,##0_-;_-&quot;$&quot;* &quot;-&quot;_-;_-@_-"/>
    <numFmt numFmtId="201" formatCode="_-&quot;$&quot;* #,##0.00_-;\-&quot;$&quot;* #,##0.00_-;_-&quot;$&quot;* &quot;-&quot;??_-;_-@_-"/>
  </numFmts>
  <fonts count="8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Helv"/>
    </font>
    <font>
      <sz val="12"/>
      <name val="Times New Roman"/>
      <family val="1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b/>
      <sz val="16"/>
      <name val="Times New Roman"/>
      <family val="1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8"/>
      <name val="Times New Roman"/>
      <family val="1"/>
    </font>
    <font>
      <b/>
      <sz val="8"/>
      <name val="Arial"/>
      <family val="2"/>
    </font>
    <font>
      <sz val="11"/>
      <color indexed="8"/>
      <name val="TimesNewRomanPS"/>
    </font>
    <font>
      <sz val="10"/>
      <name val="Geneva"/>
      <family val="2"/>
    </font>
    <font>
      <sz val="10"/>
      <color indexed="11"/>
      <name val="Genev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sz val="10"/>
      <name val="LinePrinter"/>
    </font>
    <font>
      <sz val="10"/>
      <color indexed="8"/>
      <name val="Arial"/>
      <family val="2"/>
    </font>
    <font>
      <sz val="8"/>
      <color indexed="12"/>
      <name val="Arial"/>
      <family val="2"/>
    </font>
    <font>
      <sz val="6"/>
      <color rgb="FF2C62A4"/>
      <name val="Arial"/>
      <family val="2"/>
    </font>
    <font>
      <u/>
      <sz val="8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b/>
      <sz val="8"/>
      <color indexed="8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 monospaced for SAP"/>
      <family val="3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sz val="6"/>
      <name val="Calibri"/>
      <family val="2"/>
      <scheme val="minor"/>
    </font>
    <font>
      <sz val="8"/>
      <color rgb="FF00B0F0"/>
      <name val="Arial"/>
      <family val="2"/>
    </font>
    <font>
      <sz val="9"/>
      <color rgb="FF0070C0"/>
      <name val="Calibri"/>
      <family val="2"/>
      <scheme val="minor"/>
    </font>
    <font>
      <sz val="7"/>
      <color rgb="FF2C62A4"/>
      <name val="Arial"/>
      <family val="2"/>
    </font>
    <font>
      <vertAlign val="subscript"/>
      <sz val="8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9"/>
      <name val="Calibri"/>
      <family val="2"/>
      <scheme val="minor"/>
    </font>
    <font>
      <b/>
      <sz val="6"/>
      <color rgb="FF2C62A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Tms Rmn"/>
    </font>
    <font>
      <b/>
      <sz val="11"/>
      <color indexed="9"/>
      <name val="Calibri"/>
      <family val="2"/>
    </font>
    <font>
      <sz val="12"/>
      <color theme="1"/>
      <name val="Times New Roman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rgb="FFFF000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D8DB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416">
    <xf numFmtId="0" fontId="0" fillId="0" borderId="0"/>
    <xf numFmtId="0" fontId="6" fillId="3" borderId="9" applyNumberFormat="0" applyBorder="0" applyAlignment="0" applyProtection="0"/>
    <xf numFmtId="164" fontId="6" fillId="3" borderId="9" applyNumberFormat="0" applyBorder="0" applyAlignment="0" applyProtection="0"/>
    <xf numFmtId="0" fontId="7" fillId="4" borderId="0" applyNumberFormat="0" applyBorder="0" applyAlignment="0" applyProtection="0"/>
    <xf numFmtId="164" fontId="7" fillId="4" borderId="0" applyNumberFormat="0" applyBorder="0" applyAlignment="0" applyProtection="0"/>
    <xf numFmtId="0" fontId="8" fillId="0" borderId="0"/>
    <xf numFmtId="164" fontId="8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" fontId="10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3" fillId="0" borderId="0"/>
    <xf numFmtId="164" fontId="13" fillId="0" borderId="0"/>
    <xf numFmtId="0" fontId="13" fillId="0" borderId="0"/>
    <xf numFmtId="164" fontId="13" fillId="0" borderId="0"/>
    <xf numFmtId="37" fontId="9" fillId="0" borderId="0" applyFill="0" applyBorder="0" applyAlignment="0" applyProtection="0"/>
    <xf numFmtId="0" fontId="13" fillId="0" borderId="0"/>
    <xf numFmtId="164" fontId="1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4" fillId="0" borderId="0" applyFont="0" applyFill="0" applyBorder="0" applyProtection="0">
      <alignment horizontal="right"/>
    </xf>
    <xf numFmtId="5" fontId="13" fillId="0" borderId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164" fontId="13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9" fillId="0" borderId="0" applyFill="0" applyBorder="0" applyAlignment="0" applyProtection="0"/>
    <xf numFmtId="2" fontId="12" fillId="0" borderId="0" applyFont="0" applyFill="0" applyBorder="0" applyAlignment="0" applyProtection="0"/>
    <xf numFmtId="38" fontId="5" fillId="5" borderId="0" applyNumberFormat="0" applyBorder="0" applyAlignment="0" applyProtection="0"/>
    <xf numFmtId="0" fontId="15" fillId="0" borderId="0"/>
    <xf numFmtId="164" fontId="15" fillId="0" borderId="0"/>
    <xf numFmtId="0" fontId="16" fillId="0" borderId="10" applyNumberFormat="0" applyAlignment="0" applyProtection="0">
      <alignment horizontal="left" vertical="center"/>
    </xf>
    <xf numFmtId="164" fontId="16" fillId="0" borderId="10" applyNumberFormat="0" applyAlignment="0" applyProtection="0">
      <alignment horizontal="left" vertical="center"/>
    </xf>
    <xf numFmtId="0" fontId="16" fillId="0" borderId="11">
      <alignment horizontal="left" vertical="center"/>
    </xf>
    <xf numFmtId="164" fontId="16" fillId="0" borderId="11">
      <alignment horizontal="left" vertical="center"/>
    </xf>
    <xf numFmtId="0" fontId="17" fillId="0" borderId="0" applyNumberFormat="0" applyFill="0" applyBorder="0" applyAlignment="0" applyProtection="0"/>
    <xf numFmtId="10" fontId="5" fillId="6" borderId="9" applyNumberFormat="0" applyBorder="0" applyAlignment="0" applyProtection="0"/>
    <xf numFmtId="0" fontId="18" fillId="7" borderId="0"/>
    <xf numFmtId="164" fontId="18" fillId="7" borderId="0"/>
    <xf numFmtId="0" fontId="18" fillId="8" borderId="0"/>
    <xf numFmtId="164" fontId="18" fillId="8" borderId="0"/>
    <xf numFmtId="0" fontId="7" fillId="9" borderId="5" applyBorder="0"/>
    <xf numFmtId="0" fontId="9" fillId="10" borderId="4" applyNumberFormat="0" applyFont="0" applyBorder="0" applyAlignment="0" applyProtection="0"/>
    <xf numFmtId="164" fontId="9" fillId="10" borderId="4" applyNumberFormat="0" applyFont="0" applyBorder="0" applyAlignment="0" applyProtection="0"/>
    <xf numFmtId="169" fontId="19" fillId="0" borderId="0" applyNumberFormat="0" applyFill="0" applyBorder="0" applyAlignment="0" applyProtection="0"/>
    <xf numFmtId="37" fontId="20" fillId="0" borderId="0" applyNumberFormat="0" applyFill="0" applyBorder="0"/>
    <xf numFmtId="0" fontId="5" fillId="0" borderId="12" applyNumberFormat="0" applyBorder="0" applyAlignment="0"/>
    <xf numFmtId="164" fontId="5" fillId="0" borderId="12" applyNumberFormat="0" applyBorder="0" applyAlignment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71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9" fillId="0" borderId="0"/>
    <xf numFmtId="164" fontId="2" fillId="0" borderId="0"/>
    <xf numFmtId="164" fontId="2" fillId="0" borderId="0"/>
    <xf numFmtId="0" fontId="9" fillId="0" borderId="0"/>
    <xf numFmtId="0" fontId="9" fillId="0" borderId="0"/>
    <xf numFmtId="0" fontId="9" fillId="0" borderId="0"/>
    <xf numFmtId="37" fontId="13" fillId="0" borderId="0"/>
    <xf numFmtId="0" fontId="21" fillId="0" borderId="0"/>
    <xf numFmtId="172" fontId="11" fillId="0" borderId="0" applyFont="0" applyFill="0" applyBorder="0" applyProtection="0"/>
    <xf numFmtId="12" fontId="16" fillId="11" borderId="13">
      <alignment horizontal="left"/>
    </xf>
    <xf numFmtId="0" fontId="13" fillId="0" borderId="0"/>
    <xf numFmtId="164" fontId="13" fillId="0" borderId="0"/>
    <xf numFmtId="0" fontId="13" fillId="0" borderId="0"/>
    <xf numFmtId="164" fontId="13" fillId="0" borderId="0"/>
    <xf numFmtId="10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13">
      <alignment horizontal="center"/>
    </xf>
    <xf numFmtId="3" fontId="23" fillId="0" borderId="0" applyFont="0" applyFill="0" applyBorder="0" applyAlignment="0" applyProtection="0"/>
    <xf numFmtId="0" fontId="23" fillId="12" borderId="0" applyNumberFormat="0" applyFont="0" applyBorder="0" applyAlignment="0" applyProtection="0"/>
    <xf numFmtId="37" fontId="25" fillId="13" borderId="0" applyNumberFormat="0" applyFont="0" applyBorder="0" applyAlignment="0" applyProtection="0"/>
    <xf numFmtId="173" fontId="9" fillId="0" borderId="14">
      <alignment horizontal="justify" vertical="top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0" fontId="7" fillId="0" borderId="9">
      <alignment horizontal="center" vertical="center" wrapText="1"/>
    </xf>
    <xf numFmtId="164" fontId="7" fillId="0" borderId="9">
      <alignment horizontal="center" vertical="center" wrapText="1"/>
    </xf>
    <xf numFmtId="0" fontId="13" fillId="0" borderId="15"/>
    <xf numFmtId="164" fontId="13" fillId="0" borderId="15"/>
    <xf numFmtId="174" fontId="26" fillId="0" borderId="0">
      <alignment horizontal="left"/>
    </xf>
    <xf numFmtId="0" fontId="13" fillId="0" borderId="16"/>
    <xf numFmtId="164" fontId="13" fillId="0" borderId="16"/>
    <xf numFmtId="38" fontId="27" fillId="0" borderId="17" applyFill="0" applyBorder="0" applyAlignment="0" applyProtection="0">
      <protection locked="0"/>
    </xf>
    <xf numFmtId="37" fontId="5" fillId="14" borderId="0" applyNumberFormat="0" applyBorder="0" applyAlignment="0" applyProtection="0"/>
    <xf numFmtId="37" fontId="5" fillId="0" borderId="0"/>
    <xf numFmtId="3" fontId="28" fillId="15" borderId="18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6" fillId="40" borderId="42" applyNumberFormat="0" applyAlignment="0" applyProtection="0"/>
    <xf numFmtId="0" fontId="56" fillId="40" borderId="42" applyNumberFormat="0" applyAlignment="0" applyProtection="0"/>
    <xf numFmtId="0" fontId="57" fillId="0" borderId="0"/>
    <xf numFmtId="0" fontId="58" fillId="41" borderId="43" applyNumberFormat="0" applyAlignment="0" applyProtection="0"/>
    <xf numFmtId="0" fontId="58" fillId="41" borderId="4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/>
    <xf numFmtId="0" fontId="13" fillId="0" borderId="0"/>
    <xf numFmtId="3" fontId="9" fillId="0" borderId="0" applyFont="0" applyFill="0" applyBorder="0" applyAlignment="0" applyProtection="0"/>
    <xf numFmtId="0" fontId="13" fillId="0" borderId="0"/>
    <xf numFmtId="0" fontId="13" fillId="0" borderId="0"/>
    <xf numFmtId="5" fontId="9" fillId="0" borderId="0" applyFont="0" applyFill="0" applyBorder="0" applyAlignment="0" applyProtection="0"/>
    <xf numFmtId="0" fontId="60" fillId="0" borderId="0"/>
    <xf numFmtId="0" fontId="60" fillId="0" borderId="44"/>
    <xf numFmtId="0" fontId="13" fillId="0" borderId="0"/>
    <xf numFmtId="14" fontId="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13" fillId="0" borderId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5" fontId="9" fillId="0" borderId="0">
      <protection locked="0"/>
    </xf>
    <xf numFmtId="195" fontId="9" fillId="0" borderId="0">
      <protection locked="0"/>
    </xf>
    <xf numFmtId="0" fontId="66" fillId="27" borderId="42" applyNumberFormat="0" applyAlignment="0" applyProtection="0"/>
    <xf numFmtId="0" fontId="66" fillId="27" borderId="42" applyNumberFormat="0" applyAlignment="0" applyProtection="0"/>
    <xf numFmtId="0" fontId="66" fillId="27" borderId="42" applyNumberFormat="0" applyAlignment="0" applyProtection="0"/>
    <xf numFmtId="0" fontId="66" fillId="27" borderId="42" applyNumberFormat="0" applyAlignment="0" applyProtection="0"/>
    <xf numFmtId="0" fontId="66" fillId="27" borderId="42" applyNumberFormat="0" applyAlignment="0" applyProtection="0"/>
    <xf numFmtId="38" fontId="67" fillId="0" borderId="0">
      <alignment horizontal="left" wrapText="1"/>
    </xf>
    <xf numFmtId="38" fontId="68" fillId="0" borderId="0">
      <alignment horizontal="left" wrapText="1"/>
    </xf>
    <xf numFmtId="0" fontId="69" fillId="42" borderId="44"/>
    <xf numFmtId="0" fontId="70" fillId="0" borderId="48" applyNumberFormat="0" applyFill="0" applyAlignment="0" applyProtection="0"/>
    <xf numFmtId="0" fontId="70" fillId="0" borderId="48" applyNumberFormat="0" applyFill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196" fontId="7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9" fillId="0" borderId="0"/>
    <xf numFmtId="0" fontId="5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59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44" borderId="49" applyNumberFormat="0" applyFont="0" applyAlignment="0" applyProtection="0"/>
    <xf numFmtId="0" fontId="9" fillId="44" borderId="49" applyNumberFormat="0" applyFont="0" applyAlignment="0" applyProtection="0"/>
    <xf numFmtId="0" fontId="1" fillId="19" borderId="41" applyNumberFormat="0" applyFont="0" applyAlignment="0" applyProtection="0"/>
    <xf numFmtId="0" fontId="73" fillId="40" borderId="50" applyNumberFormat="0" applyAlignment="0" applyProtection="0"/>
    <xf numFmtId="0" fontId="73" fillId="40" borderId="50" applyNumberFormat="0" applyAlignment="0" applyProtection="0"/>
    <xf numFmtId="40" fontId="27" fillId="18" borderId="0">
      <alignment horizontal="right"/>
    </xf>
    <xf numFmtId="0" fontId="50" fillId="18" borderId="0">
      <alignment horizontal="left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/>
    <xf numFmtId="0" fontId="60" fillId="0" borderId="0"/>
    <xf numFmtId="4" fontId="50" fillId="43" borderId="51" applyNumberFormat="0" applyProtection="0">
      <alignment vertical="center"/>
    </xf>
    <xf numFmtId="4" fontId="74" fillId="14" borderId="51" applyNumberFormat="0" applyProtection="0">
      <alignment vertical="center"/>
    </xf>
    <xf numFmtId="4" fontId="50" fillId="14" borderId="51" applyNumberFormat="0" applyProtection="0">
      <alignment horizontal="left" vertical="center" indent="1"/>
    </xf>
    <xf numFmtId="0" fontId="50" fillId="14" borderId="51" applyNumberFormat="0" applyProtection="0">
      <alignment horizontal="left" vertical="top" indent="1"/>
    </xf>
    <xf numFmtId="4" fontId="50" fillId="45" borderId="0" applyNumberFormat="0" applyProtection="0">
      <alignment horizontal="left" vertical="center" indent="1"/>
    </xf>
    <xf numFmtId="4" fontId="27" fillId="23" borderId="51" applyNumberFormat="0" applyProtection="0">
      <alignment horizontal="right" vertical="center"/>
    </xf>
    <xf numFmtId="4" fontId="27" fillId="29" borderId="51" applyNumberFormat="0" applyProtection="0">
      <alignment horizontal="right" vertical="center"/>
    </xf>
    <xf numFmtId="4" fontId="27" fillId="37" borderId="51" applyNumberFormat="0" applyProtection="0">
      <alignment horizontal="right" vertical="center"/>
    </xf>
    <xf numFmtId="4" fontId="27" fillId="31" borderId="51" applyNumberFormat="0" applyProtection="0">
      <alignment horizontal="right" vertical="center"/>
    </xf>
    <xf numFmtId="4" fontId="27" fillId="35" borderId="51" applyNumberFormat="0" applyProtection="0">
      <alignment horizontal="right" vertical="center"/>
    </xf>
    <xf numFmtId="4" fontId="27" fillId="39" borderId="51" applyNumberFormat="0" applyProtection="0">
      <alignment horizontal="right" vertical="center"/>
    </xf>
    <xf numFmtId="4" fontId="27" fillId="38" borderId="51" applyNumberFormat="0" applyProtection="0">
      <alignment horizontal="right" vertical="center"/>
    </xf>
    <xf numFmtId="4" fontId="27" fillId="46" borderId="51" applyNumberFormat="0" applyProtection="0">
      <alignment horizontal="right" vertical="center"/>
    </xf>
    <xf numFmtId="4" fontId="27" fillId="30" borderId="51" applyNumberFormat="0" applyProtection="0">
      <alignment horizontal="right" vertical="center"/>
    </xf>
    <xf numFmtId="4" fontId="50" fillId="47" borderId="52" applyNumberFormat="0" applyProtection="0">
      <alignment horizontal="left" vertical="center" indent="1"/>
    </xf>
    <xf numFmtId="4" fontId="27" fillId="48" borderId="0" applyNumberFormat="0" applyProtection="0">
      <alignment horizontal="left" vertical="center" indent="1"/>
    </xf>
    <xf numFmtId="4" fontId="75" fillId="49" borderId="0" applyNumberFormat="0" applyProtection="0">
      <alignment horizontal="left" vertical="center" indent="1"/>
    </xf>
    <xf numFmtId="4" fontId="27" fillId="50" borderId="51" applyNumberFormat="0" applyProtection="0">
      <alignment horizontal="right" vertical="center"/>
    </xf>
    <xf numFmtId="4" fontId="27" fillId="48" borderId="0" applyNumberFormat="0" applyProtection="0">
      <alignment horizontal="left" vertical="center" indent="1"/>
    </xf>
    <xf numFmtId="4" fontId="27" fillId="45" borderId="0" applyNumberFormat="0" applyProtection="0">
      <alignment horizontal="left" vertical="center" indent="1"/>
    </xf>
    <xf numFmtId="0" fontId="9" fillId="49" borderId="51" applyNumberFormat="0" applyProtection="0">
      <alignment horizontal="left" vertical="center" indent="1"/>
    </xf>
    <xf numFmtId="0" fontId="9" fillId="49" borderId="51" applyNumberFormat="0" applyProtection="0">
      <alignment horizontal="left" vertical="top" indent="1"/>
    </xf>
    <xf numFmtId="0" fontId="9" fillId="45" borderId="51" applyNumberFormat="0" applyProtection="0">
      <alignment horizontal="left" vertical="center" indent="1"/>
    </xf>
    <xf numFmtId="0" fontId="9" fillId="45" borderId="51" applyNumberFormat="0" applyProtection="0">
      <alignment horizontal="left" vertical="top" indent="1"/>
    </xf>
    <xf numFmtId="0" fontId="9" fillId="51" borderId="51" applyNumberFormat="0" applyProtection="0">
      <alignment horizontal="left" vertical="center" indent="1"/>
    </xf>
    <xf numFmtId="0" fontId="9" fillId="51" borderId="51" applyNumberFormat="0" applyProtection="0">
      <alignment horizontal="left" vertical="top" indent="1"/>
    </xf>
    <xf numFmtId="0" fontId="9" fillId="52" borderId="51" applyNumberFormat="0" applyProtection="0">
      <alignment horizontal="left" vertical="center" indent="1"/>
    </xf>
    <xf numFmtId="0" fontId="9" fillId="52" borderId="51" applyNumberFormat="0" applyProtection="0">
      <alignment horizontal="left" vertical="top" indent="1"/>
    </xf>
    <xf numFmtId="4" fontId="27" fillId="6" borderId="51" applyNumberFormat="0" applyProtection="0">
      <alignment vertical="center"/>
    </xf>
    <xf numFmtId="4" fontId="76" fillId="6" borderId="51" applyNumberFormat="0" applyProtection="0">
      <alignment vertical="center"/>
    </xf>
    <xf numFmtId="4" fontId="27" fillId="6" borderId="51" applyNumberFormat="0" applyProtection="0">
      <alignment horizontal="left" vertical="center" indent="1"/>
    </xf>
    <xf numFmtId="0" fontId="27" fillId="6" borderId="51" applyNumberFormat="0" applyProtection="0">
      <alignment horizontal="left" vertical="top" indent="1"/>
    </xf>
    <xf numFmtId="4" fontId="27" fillId="0" borderId="51" applyNumberFormat="0" applyProtection="0">
      <alignment horizontal="right" vertical="center"/>
    </xf>
    <xf numFmtId="4" fontId="76" fillId="48" borderId="51" applyNumberFormat="0" applyProtection="0">
      <alignment horizontal="right" vertical="center"/>
    </xf>
    <xf numFmtId="4" fontId="27" fillId="0" borderId="51" applyNumberFormat="0" applyProtection="0">
      <alignment horizontal="left" vertical="center" indent="1"/>
    </xf>
    <xf numFmtId="0" fontId="27" fillId="45" borderId="51" applyNumberFormat="0" applyProtection="0">
      <alignment horizontal="left" vertical="top"/>
    </xf>
    <xf numFmtId="4" fontId="77" fillId="0" borderId="0" applyNumberFormat="0" applyProtection="0">
      <alignment horizontal="left" vertical="center"/>
    </xf>
    <xf numFmtId="4" fontId="78" fillId="48" borderId="51" applyNumberFormat="0" applyProtection="0">
      <alignment horizontal="right" vertical="center"/>
    </xf>
    <xf numFmtId="0" fontId="79" fillId="53" borderId="53"/>
    <xf numFmtId="197" fontId="9" fillId="0" borderId="0">
      <alignment horizontal="left" wrapText="1"/>
    </xf>
    <xf numFmtId="0" fontId="60" fillId="0" borderId="44"/>
    <xf numFmtId="38" fontId="9" fillId="0" borderId="0">
      <alignment horizontal="left" wrapText="1"/>
    </xf>
    <xf numFmtId="0" fontId="80" fillId="54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4" applyNumberFormat="0" applyFill="0" applyAlignment="0" applyProtection="0"/>
    <xf numFmtId="0" fontId="82" fillId="0" borderId="54" applyNumberFormat="0" applyFill="0" applyAlignment="0" applyProtection="0"/>
    <xf numFmtId="0" fontId="69" fillId="0" borderId="55"/>
    <xf numFmtId="0" fontId="69" fillId="0" borderId="44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</cellStyleXfs>
  <cellXfs count="551">
    <xf numFmtId="0" fontId="0" fillId="0" borderId="0" xfId="0"/>
    <xf numFmtId="0" fontId="4" fillId="2" borderId="0" xfId="0" applyFont="1" applyFill="1" applyBorder="1"/>
    <xf numFmtId="0" fontId="0" fillId="2" borderId="0" xfId="0" applyFill="1" applyBorder="1"/>
    <xf numFmtId="0" fontId="0" fillId="0" borderId="4" xfId="0" applyFill="1" applyBorder="1"/>
    <xf numFmtId="0" fontId="0" fillId="0" borderId="0" xfId="0" applyFill="1" applyBorder="1"/>
    <xf numFmtId="0" fontId="5" fillId="2" borderId="0" xfId="0" applyFont="1" applyFill="1" applyBorder="1"/>
    <xf numFmtId="0" fontId="4" fillId="0" borderId="0" xfId="0" applyFont="1"/>
    <xf numFmtId="0" fontId="0" fillId="0" borderId="0" xfId="0" applyFont="1" applyFill="1" applyBorder="1"/>
    <xf numFmtId="0" fontId="4" fillId="16" borderId="19" xfId="0" applyFont="1" applyFill="1" applyBorder="1" applyAlignment="1">
      <alignment horizontal="centerContinuous" vertical="center" wrapText="1"/>
    </xf>
    <xf numFmtId="0" fontId="0" fillId="16" borderId="11" xfId="0" applyFont="1" applyFill="1" applyBorder="1" applyAlignment="1">
      <alignment horizontal="centerContinuous" vertical="center" wrapText="1"/>
    </xf>
    <xf numFmtId="0" fontId="0" fillId="16" borderId="20" xfId="0" applyFont="1" applyFill="1" applyBorder="1" applyAlignment="1">
      <alignment horizontal="centerContinuous" vertical="center" wrapText="1"/>
    </xf>
    <xf numFmtId="0" fontId="0" fillId="2" borderId="4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5" fillId="2" borderId="7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Continuous" wrapText="1"/>
    </xf>
    <xf numFmtId="0" fontId="29" fillId="2" borderId="0" xfId="0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2" xfId="0" applyFont="1" applyFill="1" applyBorder="1"/>
    <xf numFmtId="0" fontId="0" fillId="0" borderId="23" xfId="0" applyFont="1" applyFill="1" applyBorder="1"/>
    <xf numFmtId="0" fontId="0" fillId="2" borderId="0" xfId="0" applyFont="1" applyFill="1" applyBorder="1" applyAlignment="1">
      <alignment horizontal="left" indent="1"/>
    </xf>
    <xf numFmtId="41" fontId="0" fillId="0" borderId="0" xfId="0" applyNumberFormat="1" applyFont="1" applyFill="1" applyBorder="1"/>
    <xf numFmtId="41" fontId="0" fillId="2" borderId="0" xfId="0" applyNumberFormat="1" applyFont="1" applyFill="1" applyBorder="1"/>
    <xf numFmtId="10" fontId="0" fillId="2" borderId="0" xfId="157" applyNumberFormat="1" applyFont="1" applyFill="1" applyBorder="1" applyAlignment="1">
      <alignment horizontal="center"/>
    </xf>
    <xf numFmtId="177" fontId="0" fillId="2" borderId="0" xfId="0" applyNumberFormat="1" applyFont="1" applyFill="1" applyBorder="1"/>
    <xf numFmtId="177" fontId="0" fillId="2" borderId="7" xfId="0" applyNumberFormat="1" applyFont="1" applyFill="1" applyBorder="1"/>
    <xf numFmtId="41" fontId="4" fillId="2" borderId="0" xfId="0" applyNumberFormat="1" applyFont="1" applyFill="1" applyBorder="1"/>
    <xf numFmtId="177" fontId="4" fillId="2" borderId="0" xfId="0" applyNumberFormat="1" applyFont="1" applyFill="1" applyBorder="1"/>
    <xf numFmtId="177" fontId="0" fillId="0" borderId="0" xfId="0" applyNumberFormat="1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0" borderId="0" xfId="0" applyFont="1"/>
    <xf numFmtId="0" fontId="0" fillId="2" borderId="7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fill"/>
    </xf>
    <xf numFmtId="0" fontId="0" fillId="2" borderId="0" xfId="0" applyNumberFormat="1" applyFont="1" applyFill="1" applyBorder="1" applyAlignment="1">
      <alignment horizontal="center"/>
    </xf>
    <xf numFmtId="0" fontId="30" fillId="2" borderId="0" xfId="0" applyFont="1" applyFill="1" applyBorder="1"/>
    <xf numFmtId="177" fontId="0" fillId="2" borderId="0" xfId="0" applyNumberFormat="1" applyFont="1" applyFill="1" applyBorder="1" applyAlignment="1">
      <alignment horizontal="center"/>
    </xf>
    <xf numFmtId="179" fontId="4" fillId="0" borderId="0" xfId="0" applyNumberFormat="1" applyFont="1"/>
    <xf numFmtId="179" fontId="0" fillId="0" borderId="0" xfId="158" applyNumberFormat="1" applyFont="1"/>
    <xf numFmtId="0" fontId="0" fillId="0" borderId="0" xfId="0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fill"/>
    </xf>
    <xf numFmtId="0" fontId="5" fillId="2" borderId="5" xfId="0" applyFont="1" applyFill="1" applyBorder="1" applyAlignment="1">
      <alignment horizontal="fill"/>
    </xf>
    <xf numFmtId="2" fontId="0" fillId="2" borderId="0" xfId="0" applyNumberFormat="1" applyFont="1" applyFill="1" applyBorder="1" applyAlignment="1">
      <alignment horizontal="center"/>
    </xf>
    <xf numFmtId="180" fontId="0" fillId="2" borderId="0" xfId="0" applyNumberFormat="1" applyFont="1" applyFill="1" applyBorder="1" applyAlignment="1">
      <alignment horizontal="center"/>
    </xf>
    <xf numFmtId="181" fontId="0" fillId="2" borderId="0" xfId="0" applyNumberFormat="1" applyFont="1" applyFill="1" applyBorder="1" applyAlignment="1">
      <alignment horizontal="center"/>
    </xf>
    <xf numFmtId="181" fontId="0" fillId="2" borderId="5" xfId="0" applyNumberFormat="1" applyFont="1" applyFill="1" applyBorder="1" applyAlignment="1">
      <alignment horizontal="center"/>
    </xf>
    <xf numFmtId="0" fontId="9" fillId="0" borderId="0" xfId="89"/>
    <xf numFmtId="0" fontId="7" fillId="0" borderId="0" xfId="89" applyFont="1"/>
    <xf numFmtId="0" fontId="9" fillId="0" borderId="0" xfId="89" applyBorder="1"/>
    <xf numFmtId="0" fontId="31" fillId="0" borderId="1" xfId="124" applyFont="1" applyFill="1" applyBorder="1" applyAlignment="1">
      <alignment horizontal="centerContinuous"/>
    </xf>
    <xf numFmtId="0" fontId="32" fillId="0" borderId="2" xfId="124" applyFont="1" applyFill="1" applyBorder="1" applyAlignment="1">
      <alignment horizontal="centerContinuous"/>
    </xf>
    <xf numFmtId="0" fontId="31" fillId="0" borderId="2" xfId="124" applyFont="1" applyFill="1" applyBorder="1" applyAlignment="1">
      <alignment horizontal="centerContinuous"/>
    </xf>
    <xf numFmtId="179" fontId="31" fillId="0" borderId="2" xfId="124" applyNumberFormat="1" applyFont="1" applyFill="1" applyBorder="1" applyAlignment="1">
      <alignment horizontal="centerContinuous"/>
    </xf>
    <xf numFmtId="0" fontId="32" fillId="0" borderId="9" xfId="124" applyFont="1" applyFill="1" applyBorder="1" applyAlignment="1">
      <alignment horizontal="centerContinuous"/>
    </xf>
    <xf numFmtId="0" fontId="31" fillId="0" borderId="9" xfId="124" applyFont="1" applyFill="1" applyBorder="1" applyAlignment="1">
      <alignment horizontal="centerContinuous"/>
    </xf>
    <xf numFmtId="182" fontId="32" fillId="0" borderId="9" xfId="124" applyNumberFormat="1" applyFont="1" applyFill="1" applyBorder="1" applyAlignment="1">
      <alignment horizontal="centerContinuous"/>
    </xf>
    <xf numFmtId="182" fontId="31" fillId="0" borderId="11" xfId="124" applyNumberFormat="1" applyFont="1" applyFill="1" applyBorder="1" applyAlignment="1">
      <alignment horizontal="centerContinuous"/>
    </xf>
    <xf numFmtId="182" fontId="31" fillId="0" borderId="20" xfId="124" applyNumberFormat="1" applyFont="1" applyFill="1" applyBorder="1" applyAlignment="1">
      <alignment horizontal="centerContinuous"/>
    </xf>
    <xf numFmtId="43" fontId="32" fillId="0" borderId="9" xfId="124" applyNumberFormat="1" applyFont="1" applyFill="1" applyBorder="1" applyAlignment="1">
      <alignment horizontal="left" vertical="top"/>
    </xf>
    <xf numFmtId="43" fontId="32" fillId="0" borderId="20" xfId="124" applyNumberFormat="1" applyFont="1" applyFill="1" applyBorder="1" applyAlignment="1">
      <alignment horizontal="centerContinuous"/>
    </xf>
    <xf numFmtId="43" fontId="31" fillId="0" borderId="0" xfId="124" applyNumberFormat="1" applyFont="1" applyFill="1" applyBorder="1" applyAlignment="1">
      <alignment horizontal="centerContinuous"/>
    </xf>
    <xf numFmtId="0" fontId="31" fillId="0" borderId="6" xfId="124" applyFont="1" applyFill="1" applyBorder="1" applyAlignment="1">
      <alignment horizontal="center"/>
    </xf>
    <xf numFmtId="0" fontId="31" fillId="0" borderId="7" xfId="89" applyFont="1" applyBorder="1"/>
    <xf numFmtId="179" fontId="31" fillId="0" borderId="7" xfId="124" applyNumberFormat="1" applyFont="1" applyFill="1" applyBorder="1" applyAlignment="1">
      <alignment horizontal="center"/>
    </xf>
    <xf numFmtId="183" fontId="31" fillId="0" borderId="3" xfId="124" applyNumberFormat="1" applyFont="1" applyFill="1" applyBorder="1" applyAlignment="1">
      <alignment horizontal="center"/>
    </xf>
    <xf numFmtId="0" fontId="31" fillId="0" borderId="32" xfId="124" applyFont="1" applyFill="1" applyBorder="1" applyAlignment="1">
      <alignment horizontal="center"/>
    </xf>
    <xf numFmtId="182" fontId="31" fillId="0" borderId="4" xfId="124" applyNumberFormat="1" applyFont="1" applyFill="1" applyBorder="1" applyAlignment="1">
      <alignment horizontal="centerContinuous"/>
    </xf>
    <xf numFmtId="182" fontId="31" fillId="0" borderId="0" xfId="124" applyNumberFormat="1" applyFont="1" applyFill="1" applyBorder="1" applyAlignment="1">
      <alignment horizontal="centerContinuous"/>
    </xf>
    <xf numFmtId="182" fontId="31" fillId="0" borderId="5" xfId="124" applyNumberFormat="1" applyFont="1" applyFill="1" applyBorder="1" applyAlignment="1">
      <alignment horizontal="centerContinuous"/>
    </xf>
    <xf numFmtId="43" fontId="31" fillId="0" borderId="17" xfId="124" applyNumberFormat="1" applyFont="1" applyFill="1" applyBorder="1" applyAlignment="1"/>
    <xf numFmtId="184" fontId="32" fillId="0" borderId="17" xfId="124" applyNumberFormat="1" applyFont="1" applyFill="1" applyBorder="1" applyAlignment="1">
      <alignment horizontal="centerContinuous"/>
    </xf>
    <xf numFmtId="0" fontId="31" fillId="0" borderId="4" xfId="124" applyFont="1" applyFill="1" applyBorder="1" applyAlignment="1">
      <alignment horizontal="left"/>
    </xf>
    <xf numFmtId="0" fontId="31" fillId="0" borderId="17" xfId="124" applyFont="1" applyFill="1" applyBorder="1" applyAlignment="1">
      <alignment horizontal="center" wrapText="1"/>
    </xf>
    <xf numFmtId="183" fontId="31" fillId="0" borderId="32" xfId="124" applyNumberFormat="1" applyFont="1" applyFill="1" applyBorder="1" applyAlignment="1">
      <alignment horizontal="center" wrapText="1"/>
    </xf>
    <xf numFmtId="0" fontId="31" fillId="0" borderId="32" xfId="124" applyFont="1" applyFill="1" applyBorder="1" applyAlignment="1">
      <alignment horizontal="center" wrapText="1"/>
    </xf>
    <xf numFmtId="182" fontId="31" fillId="0" borderId="32" xfId="124" applyNumberFormat="1" applyFont="1" applyFill="1" applyBorder="1" applyAlignment="1">
      <alignment horizontal="center" wrapText="1"/>
    </xf>
    <xf numFmtId="182" fontId="31" fillId="0" borderId="32" xfId="124" applyNumberFormat="1" applyFont="1" applyFill="1" applyBorder="1" applyAlignment="1">
      <alignment horizontal="centerContinuous" wrapText="1"/>
    </xf>
    <xf numFmtId="43" fontId="31" fillId="0" borderId="32" xfId="124" applyNumberFormat="1" applyFont="1" applyFill="1" applyBorder="1" applyAlignment="1">
      <alignment horizontal="center" wrapText="1"/>
    </xf>
    <xf numFmtId="0" fontId="31" fillId="0" borderId="0" xfId="89" applyFont="1" applyFill="1"/>
    <xf numFmtId="0" fontId="33" fillId="0" borderId="19" xfId="89" applyFont="1" applyFill="1" applyBorder="1"/>
    <xf numFmtId="185" fontId="31" fillId="0" borderId="19" xfId="124" applyNumberFormat="1" applyFont="1" applyFill="1" applyBorder="1" applyAlignment="1">
      <alignment horizontal="center"/>
    </xf>
    <xf numFmtId="185" fontId="31" fillId="0" borderId="11" xfId="124" applyNumberFormat="1" applyFont="1" applyFill="1" applyBorder="1" applyAlignment="1">
      <alignment horizontal="center"/>
    </xf>
    <xf numFmtId="0" fontId="34" fillId="0" borderId="11" xfId="124" applyNumberFormat="1" applyFont="1" applyFill="1" applyBorder="1" applyAlignment="1">
      <alignment horizontal="center"/>
    </xf>
    <xf numFmtId="186" fontId="31" fillId="0" borderId="11" xfId="17" applyNumberFormat="1" applyFont="1" applyFill="1" applyBorder="1"/>
    <xf numFmtId="179" fontId="35" fillId="0" borderId="11" xfId="124" applyNumberFormat="1" applyFont="1" applyFill="1" applyBorder="1" applyAlignment="1">
      <alignment horizontal="center"/>
    </xf>
    <xf numFmtId="0" fontId="31" fillId="0" borderId="11" xfId="89" applyFont="1" applyFill="1" applyBorder="1"/>
    <xf numFmtId="187" fontId="31" fillId="0" borderId="11" xfId="89" applyNumberFormat="1" applyFont="1" applyFill="1" applyBorder="1" applyAlignment="1">
      <alignment horizontal="center"/>
    </xf>
    <xf numFmtId="10" fontId="31" fillId="0" borderId="11" xfId="124" applyNumberFormat="1" applyFont="1" applyFill="1" applyBorder="1"/>
    <xf numFmtId="182" fontId="31" fillId="0" borderId="11" xfId="124" applyNumberFormat="1" applyFont="1" applyFill="1" applyBorder="1" applyAlignment="1">
      <alignment horizontal="right"/>
    </xf>
    <xf numFmtId="184" fontId="35" fillId="0" borderId="20" xfId="124" applyNumberFormat="1" applyFont="1" applyFill="1" applyBorder="1" applyAlignment="1">
      <alignment horizontal="center"/>
    </xf>
    <xf numFmtId="0" fontId="31" fillId="0" borderId="0" xfId="89" applyFont="1" applyFill="1" applyBorder="1"/>
    <xf numFmtId="0" fontId="31" fillId="0" borderId="0" xfId="89" applyFont="1"/>
    <xf numFmtId="0" fontId="32" fillId="0" borderId="19" xfId="124" applyFont="1" applyFill="1" applyBorder="1" applyAlignment="1"/>
    <xf numFmtId="0" fontId="31" fillId="0" borderId="19" xfId="89" applyFont="1" applyBorder="1"/>
    <xf numFmtId="0" fontId="31" fillId="0" borderId="11" xfId="89" applyFont="1" applyBorder="1" applyAlignment="1">
      <alignment horizontal="center"/>
    </xf>
    <xf numFmtId="0" fontId="31" fillId="0" borderId="11" xfId="89" applyFont="1" applyBorder="1"/>
    <xf numFmtId="43" fontId="31" fillId="0" borderId="11" xfId="17" applyFont="1" applyBorder="1"/>
    <xf numFmtId="0" fontId="32" fillId="0" borderId="11" xfId="89" applyFont="1" applyBorder="1" applyAlignment="1">
      <alignment horizontal="center"/>
    </xf>
    <xf numFmtId="187" fontId="31" fillId="17" borderId="9" xfId="89" applyNumberFormat="1" applyFont="1" applyFill="1" applyBorder="1" applyAlignment="1">
      <alignment horizontal="center"/>
    </xf>
    <xf numFmtId="188" fontId="31" fillId="0" borderId="20" xfId="17" applyNumberFormat="1" applyFont="1" applyBorder="1"/>
    <xf numFmtId="0" fontId="31" fillId="0" borderId="0" xfId="89" applyFont="1" applyBorder="1"/>
    <xf numFmtId="0" fontId="31" fillId="0" borderId="4" xfId="89" applyFont="1" applyBorder="1"/>
    <xf numFmtId="185" fontId="31" fillId="17" borderId="14" xfId="124" applyNumberFormat="1" applyFont="1" applyFill="1" applyBorder="1" applyAlignment="1">
      <alignment horizontal="center"/>
    </xf>
    <xf numFmtId="0" fontId="31" fillId="0" borderId="14" xfId="89" applyFont="1" applyBorder="1"/>
    <xf numFmtId="1" fontId="31" fillId="17" borderId="14" xfId="124" applyNumberFormat="1" applyFont="1" applyFill="1" applyBorder="1" applyAlignment="1"/>
    <xf numFmtId="186" fontId="31" fillId="17" borderId="14" xfId="17" applyNumberFormat="1" applyFont="1" applyFill="1" applyBorder="1" applyAlignment="1"/>
    <xf numFmtId="179" fontId="31" fillId="0" borderId="14" xfId="17" applyNumberFormat="1" applyFont="1" applyBorder="1"/>
    <xf numFmtId="10" fontId="31" fillId="17" borderId="14" xfId="124" applyNumberFormat="1" applyFont="1" applyFill="1" applyBorder="1" applyAlignment="1"/>
    <xf numFmtId="2" fontId="31" fillId="17" borderId="14" xfId="124" applyNumberFormat="1" applyFont="1" applyFill="1" applyBorder="1" applyAlignment="1"/>
    <xf numFmtId="43" fontId="31" fillId="0" borderId="14" xfId="17" applyFont="1" applyFill="1" applyBorder="1" applyAlignment="1">
      <alignment horizontal="right"/>
    </xf>
    <xf numFmtId="43" fontId="31" fillId="17" borderId="14" xfId="17" applyFont="1" applyFill="1" applyBorder="1" applyAlignment="1"/>
    <xf numFmtId="185" fontId="31" fillId="17" borderId="9" xfId="124" applyNumberFormat="1" applyFont="1" applyFill="1" applyBorder="1" applyAlignment="1">
      <alignment horizontal="center"/>
    </xf>
    <xf numFmtId="0" fontId="31" fillId="0" borderId="9" xfId="89" applyFont="1" applyBorder="1"/>
    <xf numFmtId="1" fontId="31" fillId="17" borderId="9" xfId="124" applyNumberFormat="1" applyFont="1" applyFill="1" applyBorder="1" applyAlignment="1"/>
    <xf numFmtId="186" fontId="31" fillId="17" borderId="32" xfId="17" applyNumberFormat="1" applyFont="1" applyFill="1" applyBorder="1" applyAlignment="1"/>
    <xf numFmtId="179" fontId="31" fillId="0" borderId="9" xfId="17" applyNumberFormat="1" applyFont="1" applyBorder="1"/>
    <xf numFmtId="10" fontId="31" fillId="17" borderId="9" xfId="124" applyNumberFormat="1" applyFont="1" applyFill="1" applyBorder="1" applyAlignment="1"/>
    <xf numFmtId="2" fontId="31" fillId="17" borderId="9" xfId="124" applyNumberFormat="1" applyFont="1" applyFill="1" applyBorder="1" applyAlignment="1"/>
    <xf numFmtId="43" fontId="31" fillId="0" borderId="9" xfId="17" applyFont="1" applyFill="1" applyBorder="1" applyAlignment="1">
      <alignment horizontal="right"/>
    </xf>
    <xf numFmtId="43" fontId="31" fillId="17" borderId="9" xfId="17" applyFont="1" applyFill="1" applyBorder="1" applyAlignment="1"/>
    <xf numFmtId="0" fontId="31" fillId="0" borderId="6" xfId="89" applyFont="1" applyBorder="1"/>
    <xf numFmtId="185" fontId="31" fillId="0" borderId="9" xfId="124" applyNumberFormat="1" applyFont="1" applyFill="1" applyBorder="1" applyAlignment="1">
      <alignment horizontal="center"/>
    </xf>
    <xf numFmtId="1" fontId="31" fillId="0" borderId="9" xfId="89" applyNumberFormat="1" applyFont="1" applyBorder="1"/>
    <xf numFmtId="186" fontId="31" fillId="0" borderId="9" xfId="17" applyNumberFormat="1" applyFont="1" applyFill="1" applyBorder="1" applyAlignment="1">
      <alignment horizontal="right"/>
    </xf>
    <xf numFmtId="179" fontId="31" fillId="0" borderId="9" xfId="17" applyNumberFormat="1" applyFont="1" applyFill="1" applyBorder="1" applyAlignment="1">
      <alignment horizontal="right"/>
    </xf>
    <xf numFmtId="10" fontId="31" fillId="0" borderId="9" xfId="124" applyNumberFormat="1" applyFont="1" applyFill="1" applyBorder="1"/>
    <xf numFmtId="0" fontId="31" fillId="0" borderId="33" xfId="89" applyFont="1" applyBorder="1"/>
    <xf numFmtId="1" fontId="0" fillId="0" borderId="0" xfId="0" applyNumberFormat="1" applyFont="1"/>
    <xf numFmtId="0" fontId="0" fillId="2" borderId="0" xfId="0" applyFill="1" applyBorder="1" applyAlignment="1">
      <alignment horizontal="center"/>
    </xf>
    <xf numFmtId="43" fontId="39" fillId="0" borderId="0" xfId="0" applyNumberFormat="1" applyFont="1" applyFill="1" applyBorder="1"/>
    <xf numFmtId="2" fontId="0" fillId="0" borderId="0" xfId="0" applyNumberFormat="1" applyFill="1" applyBorder="1"/>
    <xf numFmtId="0" fontId="40" fillId="0" borderId="4" xfId="0" applyFont="1" applyFill="1" applyBorder="1"/>
    <xf numFmtId="0" fontId="40" fillId="0" borderId="0" xfId="0" applyFont="1" applyFill="1" applyBorder="1"/>
    <xf numFmtId="0" fontId="41" fillId="0" borderId="0" xfId="0" applyFont="1" applyFill="1" applyBorder="1"/>
    <xf numFmtId="0" fontId="42" fillId="0" borderId="0" xfId="0" applyFont="1" applyFill="1" applyBorder="1"/>
    <xf numFmtId="0" fontId="42" fillId="0" borderId="5" xfId="0" applyFont="1" applyFill="1" applyBorder="1"/>
    <xf numFmtId="0" fontId="40" fillId="0" borderId="5" xfId="0" applyFont="1" applyFill="1" applyBorder="1"/>
    <xf numFmtId="0" fontId="40" fillId="0" borderId="4" xfId="0" applyFont="1" applyFill="1" applyBorder="1" applyAlignment="1">
      <alignment vertical="top"/>
    </xf>
    <xf numFmtId="0" fontId="40" fillId="0" borderId="0" xfId="0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40" fillId="0" borderId="0" xfId="0" applyFont="1" applyFill="1" applyBorder="1" applyAlignment="1">
      <alignment horizontal="right" vertical="top"/>
    </xf>
    <xf numFmtId="0" fontId="44" fillId="0" borderId="0" xfId="0" applyFont="1" applyFill="1" applyBorder="1" applyAlignment="1">
      <alignment horizontal="right" vertical="top"/>
    </xf>
    <xf numFmtId="0" fontId="44" fillId="0" borderId="0" xfId="0" applyFont="1" applyFill="1" applyBorder="1" applyAlignment="1">
      <alignment vertical="top"/>
    </xf>
    <xf numFmtId="0" fontId="44" fillId="0" borderId="5" xfId="0" applyFont="1" applyFill="1" applyBorder="1" applyAlignment="1">
      <alignment vertical="top"/>
    </xf>
    <xf numFmtId="189" fontId="40" fillId="0" borderId="0" xfId="156" applyNumberFormat="1" applyFont="1" applyFill="1" applyBorder="1" applyAlignment="1">
      <alignment vertical="top"/>
    </xf>
    <xf numFmtId="0" fontId="41" fillId="0" borderId="5" xfId="0" applyFont="1" applyFill="1" applyBorder="1" applyAlignment="1">
      <alignment vertical="top"/>
    </xf>
    <xf numFmtId="185" fontId="40" fillId="0" borderId="0" xfId="0" applyNumberFormat="1" applyFont="1" applyFill="1" applyBorder="1" applyAlignment="1">
      <alignment vertical="top"/>
    </xf>
    <xf numFmtId="0" fontId="41" fillId="0" borderId="5" xfId="0" applyFont="1" applyFill="1" applyBorder="1"/>
    <xf numFmtId="9" fontId="40" fillId="0" borderId="0" xfId="0" applyNumberFormat="1" applyFont="1" applyFill="1" applyBorder="1" applyAlignment="1">
      <alignment vertical="top"/>
    </xf>
    <xf numFmtId="3" fontId="40" fillId="0" borderId="0" xfId="0" applyNumberFormat="1" applyFont="1" applyFill="1" applyBorder="1"/>
    <xf numFmtId="190" fontId="40" fillId="0" borderId="0" xfId="156" applyNumberFormat="1" applyFont="1" applyFill="1" applyBorder="1" applyAlignment="1">
      <alignment vertical="top"/>
    </xf>
    <xf numFmtId="0" fontId="0" fillId="0" borderId="0" xfId="0" applyFill="1"/>
    <xf numFmtId="10" fontId="40" fillId="0" borderId="0" xfId="0" applyNumberFormat="1" applyFont="1" applyFill="1" applyBorder="1" applyAlignment="1">
      <alignment vertical="top"/>
    </xf>
    <xf numFmtId="185" fontId="40" fillId="0" borderId="0" xfId="0" applyNumberFormat="1" applyFont="1" applyFill="1" applyBorder="1"/>
    <xf numFmtId="0" fontId="40" fillId="0" borderId="6" xfId="0" applyFont="1" applyFill="1" applyBorder="1" applyAlignment="1">
      <alignment vertical="top"/>
    </xf>
    <xf numFmtId="0" fontId="40" fillId="0" borderId="7" xfId="0" applyFont="1" applyFill="1" applyBorder="1" applyAlignment="1">
      <alignment vertical="top"/>
    </xf>
    <xf numFmtId="0" fontId="41" fillId="0" borderId="8" xfId="0" applyFont="1" applyFill="1" applyBorder="1" applyAlignment="1">
      <alignment vertical="top"/>
    </xf>
    <xf numFmtId="0" fontId="40" fillId="0" borderId="8" xfId="0" applyFont="1" applyFill="1" applyBorder="1" applyAlignment="1">
      <alignment vertical="top"/>
    </xf>
    <xf numFmtId="0" fontId="41" fillId="0" borderId="4" xfId="0" applyFont="1" applyFill="1" applyBorder="1"/>
    <xf numFmtId="0" fontId="41" fillId="0" borderId="0" xfId="0" applyFont="1" applyFill="1" applyBorder="1" applyAlignment="1">
      <alignment horizontal="centerContinuous" wrapText="1"/>
    </xf>
    <xf numFmtId="0" fontId="41" fillId="0" borderId="0" xfId="0" applyFont="1" applyFill="1" applyBorder="1" applyAlignment="1">
      <alignment horizontal="centerContinuous"/>
    </xf>
    <xf numFmtId="0" fontId="41" fillId="0" borderId="5" xfId="0" applyFont="1" applyFill="1" applyBorder="1" applyAlignment="1">
      <alignment horizontal="centerContinuous" wrapText="1"/>
    </xf>
    <xf numFmtId="0" fontId="41" fillId="0" borderId="4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Continuous"/>
    </xf>
    <xf numFmtId="0" fontId="41" fillId="0" borderId="4" xfId="0" applyFont="1" applyFill="1" applyBorder="1" applyAlignment="1">
      <alignment horizontal="fill"/>
    </xf>
    <xf numFmtId="0" fontId="41" fillId="0" borderId="0" xfId="0" applyFont="1" applyFill="1" applyBorder="1" applyAlignment="1">
      <alignment horizontal="fill"/>
    </xf>
    <xf numFmtId="0" fontId="41" fillId="0" borderId="5" xfId="0" applyFont="1" applyFill="1" applyBorder="1" applyAlignment="1">
      <alignment horizontal="fill"/>
    </xf>
    <xf numFmtId="41" fontId="40" fillId="0" borderId="0" xfId="0" applyNumberFormat="1" applyFont="1" applyFill="1" applyBorder="1"/>
    <xf numFmtId="4" fontId="46" fillId="0" borderId="0" xfId="0" applyNumberFormat="1" applyFont="1" applyFill="1" applyBorder="1"/>
    <xf numFmtId="3" fontId="41" fillId="0" borderId="0" xfId="0" applyNumberFormat="1" applyFont="1" applyFill="1" applyBorder="1"/>
    <xf numFmtId="4" fontId="41" fillId="0" borderId="0" xfId="0" applyNumberFormat="1" applyFont="1" applyFill="1" applyBorder="1"/>
    <xf numFmtId="3" fontId="41" fillId="0" borderId="5" xfId="0" applyNumberFormat="1" applyFont="1" applyFill="1" applyBorder="1"/>
    <xf numFmtId="44" fontId="46" fillId="0" borderId="5" xfId="0" applyNumberFormat="1" applyFont="1" applyFill="1" applyBorder="1"/>
    <xf numFmtId="44" fontId="41" fillId="0" borderId="5" xfId="0" applyNumberFormat="1" applyFont="1" applyFill="1" applyBorder="1"/>
    <xf numFmtId="0" fontId="47" fillId="2" borderId="0" xfId="0" applyFont="1" applyFill="1" applyBorder="1" applyAlignment="1">
      <alignment horizontal="left"/>
    </xf>
    <xf numFmtId="176" fontId="0" fillId="2" borderId="0" xfId="160" applyNumberFormat="1" applyFont="1" applyFill="1" applyBorder="1"/>
    <xf numFmtId="10" fontId="0" fillId="2" borderId="0" xfId="161" applyNumberFormat="1" applyFont="1" applyFill="1" applyBorder="1" applyAlignment="1">
      <alignment horizontal="center"/>
    </xf>
    <xf numFmtId="177" fontId="0" fillId="2" borderId="0" xfId="161" applyNumberFormat="1" applyFont="1" applyFill="1" applyBorder="1" applyAlignment="1">
      <alignment horizontal="center"/>
    </xf>
    <xf numFmtId="177" fontId="0" fillId="2" borderId="7" xfId="161" applyNumberFormat="1" applyFont="1" applyFill="1" applyBorder="1" applyAlignment="1">
      <alignment horizontal="right"/>
    </xf>
    <xf numFmtId="177" fontId="4" fillId="2" borderId="0" xfId="161" applyNumberFormat="1" applyFont="1" applyFill="1" applyBorder="1" applyAlignment="1">
      <alignment horizontal="center"/>
    </xf>
    <xf numFmtId="177" fontId="0" fillId="2" borderId="0" xfId="161" applyNumberFormat="1" applyFont="1" applyFill="1" applyBorder="1" applyAlignment="1">
      <alignment horizontal="right"/>
    </xf>
    <xf numFmtId="41" fontId="0" fillId="2" borderId="0" xfId="161" applyNumberFormat="1" applyFont="1" applyFill="1" applyBorder="1" applyAlignment="1">
      <alignment horizontal="center"/>
    </xf>
    <xf numFmtId="189" fontId="40" fillId="0" borderId="0" xfId="160" applyNumberFormat="1" applyFont="1" applyFill="1" applyBorder="1" applyAlignment="1">
      <alignment vertical="top"/>
    </xf>
    <xf numFmtId="190" fontId="40" fillId="0" borderId="0" xfId="160" applyNumberFormat="1" applyFont="1" applyFill="1" applyBorder="1" applyAlignment="1">
      <alignment vertical="top"/>
    </xf>
    <xf numFmtId="10" fontId="43" fillId="0" borderId="7" xfId="161" applyNumberFormat="1" applyFont="1" applyFill="1" applyBorder="1"/>
    <xf numFmtId="177" fontId="0" fillId="0" borderId="0" xfId="0" applyNumberFormat="1" applyFill="1" applyBorder="1"/>
    <xf numFmtId="10" fontId="0" fillId="0" borderId="0" xfId="0" applyNumberFormat="1" applyFill="1" applyBorder="1"/>
    <xf numFmtId="0" fontId="7" fillId="0" borderId="0" xfId="89" applyFont="1" applyFill="1"/>
    <xf numFmtId="0" fontId="9" fillId="0" borderId="0" xfId="89" applyFont="1" applyFill="1"/>
    <xf numFmtId="0" fontId="31" fillId="0" borderId="17" xfId="89" applyFont="1" applyFill="1" applyBorder="1"/>
    <xf numFmtId="0" fontId="31" fillId="0" borderId="32" xfId="89" applyFont="1" applyFill="1" applyBorder="1"/>
    <xf numFmtId="179" fontId="31" fillId="0" borderId="32" xfId="124" applyNumberFormat="1" applyFont="1" applyFill="1" applyBorder="1" applyAlignment="1">
      <alignment horizontal="center"/>
    </xf>
    <xf numFmtId="0" fontId="31" fillId="0" borderId="17" xfId="124" applyFont="1" applyFill="1" applyBorder="1" applyAlignment="1">
      <alignment horizontal="center"/>
    </xf>
    <xf numFmtId="183" fontId="31" fillId="0" borderId="17" xfId="124" applyNumberFormat="1" applyFont="1" applyFill="1" applyBorder="1" applyAlignment="1">
      <alignment horizontal="center"/>
    </xf>
    <xf numFmtId="182" fontId="31" fillId="0" borderId="19" xfId="124" applyNumberFormat="1" applyFont="1" applyFill="1" applyBorder="1" applyAlignment="1">
      <alignment horizontal="centerContinuous"/>
    </xf>
    <xf numFmtId="43" fontId="31" fillId="0" borderId="32" xfId="124" applyNumberFormat="1" applyFont="1" applyFill="1" applyBorder="1" applyAlignment="1"/>
    <xf numFmtId="44" fontId="31" fillId="0" borderId="9" xfId="31" applyFont="1" applyFill="1" applyBorder="1"/>
    <xf numFmtId="184" fontId="32" fillId="0" borderId="19" xfId="124" applyNumberFormat="1" applyFont="1" applyFill="1" applyBorder="1" applyAlignment="1">
      <alignment horizontal="centerContinuous"/>
    </xf>
    <xf numFmtId="184" fontId="32" fillId="0" borderId="11" xfId="124" applyNumberFormat="1" applyFont="1" applyFill="1" applyBorder="1" applyAlignment="1">
      <alignment horizontal="centerContinuous"/>
    </xf>
    <xf numFmtId="184" fontId="32" fillId="0" borderId="34" xfId="124" applyNumberFormat="1" applyFont="1" applyFill="1" applyBorder="1" applyAlignment="1">
      <alignment horizontal="centerContinuous"/>
    </xf>
    <xf numFmtId="0" fontId="31" fillId="0" borderId="5" xfId="124" applyFont="1" applyFill="1" applyBorder="1" applyAlignment="1">
      <alignment horizontal="center" wrapText="1"/>
    </xf>
    <xf numFmtId="183" fontId="31" fillId="0" borderId="17" xfId="124" applyNumberFormat="1" applyFont="1" applyFill="1" applyBorder="1" applyAlignment="1">
      <alignment horizontal="center" wrapText="1"/>
    </xf>
    <xf numFmtId="182" fontId="31" fillId="0" borderId="17" xfId="124" applyNumberFormat="1" applyFont="1" applyFill="1" applyBorder="1" applyAlignment="1">
      <alignment horizontal="center" wrapText="1"/>
    </xf>
    <xf numFmtId="182" fontId="31" fillId="0" borderId="17" xfId="124" applyNumberFormat="1" applyFont="1" applyFill="1" applyBorder="1" applyAlignment="1">
      <alignment horizontal="centerContinuous" wrapText="1"/>
    </xf>
    <xf numFmtId="43" fontId="31" fillId="0" borderId="17" xfId="124" applyNumberFormat="1" applyFont="1" applyFill="1" applyBorder="1" applyAlignment="1">
      <alignment horizontal="center" wrapText="1"/>
    </xf>
    <xf numFmtId="0" fontId="31" fillId="0" borderId="35" xfId="124" applyFont="1" applyFill="1" applyBorder="1" applyAlignment="1">
      <alignment horizontal="center" wrapText="1"/>
    </xf>
    <xf numFmtId="0" fontId="35" fillId="0" borderId="11" xfId="124" applyNumberFormat="1" applyFont="1" applyFill="1" applyBorder="1" applyAlignment="1">
      <alignment horizontal="center"/>
    </xf>
    <xf numFmtId="184" fontId="35" fillId="0" borderId="11" xfId="124" applyNumberFormat="1" applyFont="1" applyFill="1" applyBorder="1" applyAlignment="1">
      <alignment horizontal="center"/>
    </xf>
    <xf numFmtId="184" fontId="35" fillId="0" borderId="34" xfId="124" applyNumberFormat="1" applyFont="1" applyFill="1" applyBorder="1" applyAlignment="1">
      <alignment horizontal="center"/>
    </xf>
    <xf numFmtId="0" fontId="31" fillId="0" borderId="11" xfId="89" applyFont="1" applyFill="1" applyBorder="1" applyAlignment="1">
      <alignment horizontal="center"/>
    </xf>
    <xf numFmtId="43" fontId="31" fillId="0" borderId="11" xfId="17" applyFont="1" applyFill="1" applyBorder="1"/>
    <xf numFmtId="0" fontId="32" fillId="0" borderId="11" xfId="89" applyFont="1" applyFill="1" applyBorder="1" applyAlignment="1">
      <alignment horizontal="center"/>
    </xf>
    <xf numFmtId="187" fontId="31" fillId="0" borderId="9" xfId="89" applyNumberFormat="1" applyFont="1" applyFill="1" applyBorder="1" applyAlignment="1">
      <alignment horizontal="center"/>
    </xf>
    <xf numFmtId="188" fontId="31" fillId="0" borderId="11" xfId="17" applyNumberFormat="1" applyFont="1" applyFill="1" applyBorder="1"/>
    <xf numFmtId="43" fontId="31" fillId="0" borderId="34" xfId="17" applyFont="1" applyFill="1" applyBorder="1"/>
    <xf numFmtId="185" fontId="31" fillId="0" borderId="14" xfId="124" applyNumberFormat="1" applyFont="1" applyFill="1" applyBorder="1" applyAlignment="1">
      <alignment horizontal="center"/>
    </xf>
    <xf numFmtId="0" fontId="31" fillId="0" borderId="14" xfId="89" applyFont="1" applyFill="1" applyBorder="1"/>
    <xf numFmtId="2" fontId="31" fillId="0" borderId="14" xfId="124" applyNumberFormat="1" applyFont="1" applyFill="1" applyBorder="1" applyAlignment="1"/>
    <xf numFmtId="186" fontId="31" fillId="0" borderId="14" xfId="17" applyNumberFormat="1" applyFont="1" applyFill="1" applyBorder="1" applyAlignment="1"/>
    <xf numFmtId="179" fontId="31" fillId="0" borderId="14" xfId="17" applyNumberFormat="1" applyFont="1" applyFill="1" applyBorder="1"/>
    <xf numFmtId="1" fontId="31" fillId="0" borderId="14" xfId="124" applyNumberFormat="1" applyFont="1" applyFill="1" applyBorder="1" applyAlignment="1"/>
    <xf numFmtId="10" fontId="31" fillId="0" borderId="14" xfId="124" applyNumberFormat="1" applyFont="1" applyFill="1" applyBorder="1" applyAlignment="1"/>
    <xf numFmtId="43" fontId="31" fillId="0" borderId="14" xfId="17" applyFont="1" applyFill="1" applyBorder="1" applyAlignment="1"/>
    <xf numFmtId="188" fontId="31" fillId="0" borderId="14" xfId="17" applyNumberFormat="1" applyFont="1" applyFill="1" applyBorder="1" applyAlignment="1"/>
    <xf numFmtId="43" fontId="31" fillId="0" borderId="37" xfId="17" applyFont="1" applyFill="1" applyBorder="1" applyAlignment="1"/>
    <xf numFmtId="0" fontId="31" fillId="0" borderId="9" xfId="89" applyFont="1" applyFill="1" applyBorder="1"/>
    <xf numFmtId="2" fontId="31" fillId="0" borderId="9" xfId="124" applyNumberFormat="1" applyFont="1" applyFill="1" applyBorder="1" applyAlignment="1"/>
    <xf numFmtId="186" fontId="31" fillId="0" borderId="32" xfId="17" applyNumberFormat="1" applyFont="1" applyFill="1" applyBorder="1" applyAlignment="1"/>
    <xf numFmtId="179" fontId="31" fillId="0" borderId="9" xfId="17" applyNumberFormat="1" applyFont="1" applyFill="1" applyBorder="1"/>
    <xf numFmtId="1" fontId="31" fillId="0" borderId="9" xfId="124" applyNumberFormat="1" applyFont="1" applyFill="1" applyBorder="1" applyAlignment="1"/>
    <xf numFmtId="10" fontId="31" fillId="0" borderId="9" xfId="124" applyNumberFormat="1" applyFont="1" applyFill="1" applyBorder="1" applyAlignment="1"/>
    <xf numFmtId="43" fontId="31" fillId="0" borderId="9" xfId="17" applyFont="1" applyFill="1" applyBorder="1" applyAlignment="1"/>
    <xf numFmtId="188" fontId="31" fillId="0" borderId="9" xfId="17" applyNumberFormat="1" applyFont="1" applyFill="1" applyBorder="1" applyAlignment="1"/>
    <xf numFmtId="43" fontId="31" fillId="0" borderId="38" xfId="17" applyFont="1" applyFill="1" applyBorder="1" applyAlignment="1"/>
    <xf numFmtId="188" fontId="31" fillId="0" borderId="39" xfId="17" applyNumberFormat="1" applyFont="1" applyFill="1" applyBorder="1" applyAlignment="1">
      <alignment horizontal="right"/>
    </xf>
    <xf numFmtId="43" fontId="31" fillId="0" borderId="39" xfId="17" applyNumberFormat="1" applyFont="1" applyFill="1" applyBorder="1" applyAlignment="1">
      <alignment horizontal="right"/>
    </xf>
    <xf numFmtId="43" fontId="31" fillId="0" borderId="40" xfId="17" applyNumberFormat="1" applyFont="1" applyFill="1" applyBorder="1" applyAlignment="1">
      <alignment horizontal="right"/>
    </xf>
    <xf numFmtId="186" fontId="49" fillId="0" borderId="0" xfId="159" applyNumberFormat="1" applyFont="1" applyFill="1" applyBorder="1" applyAlignment="1">
      <alignment horizontal="center"/>
    </xf>
    <xf numFmtId="10" fontId="0" fillId="0" borderId="0" xfId="161" applyNumberFormat="1" applyFont="1" applyFill="1" applyBorder="1"/>
    <xf numFmtId="179" fontId="0" fillId="0" borderId="0" xfId="159" applyNumberFormat="1" applyFont="1"/>
    <xf numFmtId="178" fontId="0" fillId="0" borderId="0" xfId="0" applyNumberFormat="1" applyFont="1"/>
    <xf numFmtId="193" fontId="0" fillId="0" borderId="0" xfId="0" applyNumberFormat="1" applyFont="1"/>
    <xf numFmtId="0" fontId="0" fillId="0" borderId="0" xfId="0" applyFont="1" applyBorder="1"/>
    <xf numFmtId="184" fontId="32" fillId="0" borderId="0" xfId="124" applyNumberFormat="1" applyFont="1" applyFill="1" applyBorder="1" applyAlignment="1">
      <alignment horizontal="centerContinuous"/>
    </xf>
    <xf numFmtId="0" fontId="31" fillId="0" borderId="0" xfId="124" applyFont="1" applyFill="1" applyBorder="1" applyAlignment="1">
      <alignment horizontal="center" wrapText="1"/>
    </xf>
    <xf numFmtId="188" fontId="31" fillId="0" borderId="0" xfId="17" applyNumberFormat="1" applyFont="1" applyFill="1" applyBorder="1"/>
    <xf numFmtId="43" fontId="31" fillId="0" borderId="0" xfId="17" applyFont="1" applyFill="1" applyBorder="1"/>
    <xf numFmtId="188" fontId="31" fillId="0" borderId="0" xfId="17" applyNumberFormat="1" applyFont="1" applyFill="1" applyBorder="1" applyAlignment="1"/>
    <xf numFmtId="184" fontId="31" fillId="0" borderId="0" xfId="17" applyNumberFormat="1" applyFont="1" applyFill="1" applyBorder="1" applyAlignment="1"/>
    <xf numFmtId="43" fontId="31" fillId="0" borderId="0" xfId="17" applyFont="1" applyFill="1" applyBorder="1" applyAlignment="1"/>
    <xf numFmtId="179" fontId="0" fillId="0" borderId="0" xfId="159" applyNumberFormat="1" applyFont="1" applyBorder="1"/>
    <xf numFmtId="2" fontId="0" fillId="0" borderId="0" xfId="0" applyNumberFormat="1" applyFill="1" applyBorder="1" applyAlignment="1">
      <alignment horizontal="right" wrapText="1"/>
    </xf>
    <xf numFmtId="43" fontId="31" fillId="0" borderId="32" xfId="17" applyFont="1" applyFill="1" applyBorder="1" applyAlignment="1">
      <alignment horizontal="right"/>
    </xf>
    <xf numFmtId="0" fontId="31" fillId="0" borderId="6" xfId="89" applyFont="1" applyFill="1" applyBorder="1"/>
    <xf numFmtId="0" fontId="31" fillId="0" borderId="33" xfId="89" applyFont="1" applyFill="1" applyBorder="1"/>
    <xf numFmtId="4" fontId="51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right"/>
    </xf>
    <xf numFmtId="2" fontId="38" fillId="0" borderId="0" xfId="0" applyNumberFormat="1" applyFont="1" applyFill="1" applyBorder="1" applyAlignment="1">
      <alignment horizontal="right" wrapText="1"/>
    </xf>
    <xf numFmtId="0" fontId="36" fillId="0" borderId="0" xfId="0" applyFont="1" applyFill="1"/>
    <xf numFmtId="41" fontId="0" fillId="0" borderId="23" xfId="0" applyNumberFormat="1" applyFont="1" applyFill="1" applyBorder="1"/>
    <xf numFmtId="41" fontId="0" fillId="0" borderId="27" xfId="0" applyNumberFormat="1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4" fillId="0" borderId="0" xfId="0" applyFont="1" applyFill="1" applyBorder="1"/>
    <xf numFmtId="0" fontId="0" fillId="0" borderId="5" xfId="0" applyFill="1" applyBorder="1"/>
    <xf numFmtId="0" fontId="0" fillId="0" borderId="0" xfId="0" applyFill="1" applyBorder="1" applyAlignment="1">
      <alignment horizontal="right"/>
    </xf>
    <xf numFmtId="0" fontId="0" fillId="0" borderId="0" xfId="0" quotePrefix="1" applyFill="1" applyBorder="1" applyAlignment="1">
      <alignment horizontal="right"/>
    </xf>
    <xf numFmtId="0" fontId="5" fillId="0" borderId="0" xfId="0" applyFont="1" applyFill="1" applyBorder="1"/>
    <xf numFmtId="0" fontId="0" fillId="0" borderId="6" xfId="0" applyFill="1" applyBorder="1"/>
    <xf numFmtId="0" fontId="0" fillId="0" borderId="7" xfId="0" applyFill="1" applyBorder="1" applyAlignment="1">
      <alignment horizontal="right"/>
    </xf>
    <xf numFmtId="0" fontId="5" fillId="0" borderId="7" xfId="0" applyFont="1" applyFill="1" applyBorder="1"/>
    <xf numFmtId="0" fontId="0" fillId="0" borderId="8" xfId="0" applyFill="1" applyBorder="1"/>
    <xf numFmtId="0" fontId="9" fillId="0" borderId="0" xfId="89" applyFont="1" applyFill="1" applyBorder="1"/>
    <xf numFmtId="0" fontId="4" fillId="0" borderId="19" xfId="0" applyFont="1" applyFill="1" applyBorder="1" applyAlignment="1">
      <alignment horizontal="centerContinuous" vertical="center" wrapText="1"/>
    </xf>
    <xf numFmtId="0" fontId="4" fillId="0" borderId="11" xfId="0" applyFont="1" applyFill="1" applyBorder="1" applyAlignment="1">
      <alignment horizontal="centerContinuous" vertical="center" wrapText="1"/>
    </xf>
    <xf numFmtId="0" fontId="0" fillId="0" borderId="11" xfId="0" applyFill="1" applyBorder="1"/>
    <xf numFmtId="0" fontId="4" fillId="0" borderId="20" xfId="0" applyFont="1" applyFill="1" applyBorder="1" applyAlignment="1">
      <alignment horizontal="centerContinuous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36" fillId="0" borderId="1" xfId="0" applyFont="1" applyFill="1" applyBorder="1"/>
    <xf numFmtId="0" fontId="36" fillId="0" borderId="2" xfId="0" applyFont="1" applyFill="1" applyBorder="1"/>
    <xf numFmtId="0" fontId="36" fillId="0" borderId="3" xfId="0" applyFont="1" applyFill="1" applyBorder="1"/>
    <xf numFmtId="0" fontId="4" fillId="0" borderId="0" xfId="0" applyFont="1" applyFill="1"/>
    <xf numFmtId="0" fontId="36" fillId="0" borderId="4" xfId="0" applyFont="1" applyFill="1" applyBorder="1"/>
    <xf numFmtId="0" fontId="36" fillId="0" borderId="0" xfId="0" applyFont="1" applyFill="1" applyBorder="1"/>
    <xf numFmtId="0" fontId="43" fillId="0" borderId="0" xfId="0" applyFont="1" applyFill="1" applyBorder="1"/>
    <xf numFmtId="0" fontId="36" fillId="0" borderId="5" xfId="0" applyFont="1" applyFill="1" applyBorder="1"/>
    <xf numFmtId="179" fontId="0" fillId="0" borderId="0" xfId="158" applyNumberFormat="1" applyFont="1" applyFill="1"/>
    <xf numFmtId="10" fontId="43" fillId="0" borderId="0" xfId="157" applyNumberFormat="1" applyFont="1" applyFill="1" applyBorder="1"/>
    <xf numFmtId="43" fontId="43" fillId="0" borderId="0" xfId="158" applyNumberFormat="1" applyFont="1" applyFill="1" applyBorder="1"/>
    <xf numFmtId="0" fontId="36" fillId="0" borderId="6" xfId="0" applyFont="1" applyFill="1" applyBorder="1"/>
    <xf numFmtId="0" fontId="36" fillId="0" borderId="7" xfId="0" applyFont="1" applyFill="1" applyBorder="1"/>
    <xf numFmtId="10" fontId="43" fillId="0" borderId="7" xfId="157" applyNumberFormat="1" applyFont="1" applyFill="1" applyBorder="1"/>
    <xf numFmtId="0" fontId="36" fillId="0" borderId="8" xfId="0" applyFont="1" applyFill="1" applyBorder="1"/>
    <xf numFmtId="0" fontId="0" fillId="0" borderId="11" xfId="0" applyFill="1" applyBorder="1" applyAlignment="1">
      <alignment horizontal="centerContinuous" vertical="center" wrapText="1"/>
    </xf>
    <xf numFmtId="0" fontId="0" fillId="0" borderId="20" xfId="0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0" fillId="0" borderId="0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fill"/>
    </xf>
    <xf numFmtId="0" fontId="0" fillId="0" borderId="0" xfId="0" applyFill="1" applyBorder="1" applyAlignment="1"/>
    <xf numFmtId="10" fontId="0" fillId="0" borderId="0" xfId="0" applyNumberFormat="1" applyFont="1" applyFill="1" applyBorder="1"/>
    <xf numFmtId="177" fontId="45" fillId="0" borderId="0" xfId="0" applyNumberFormat="1" applyFont="1" applyFill="1" applyBorder="1"/>
    <xf numFmtId="0" fontId="45" fillId="0" borderId="0" xfId="0" applyFont="1" applyFill="1" applyBorder="1"/>
    <xf numFmtId="177" fontId="0" fillId="0" borderId="0" xfId="0" applyNumberFormat="1" applyFont="1" applyFill="1" applyBorder="1" applyAlignment="1">
      <alignment horizontal="centerContinuous"/>
    </xf>
    <xf numFmtId="43" fontId="0" fillId="0" borderId="0" xfId="0" applyNumberFormat="1" applyFont="1" applyFill="1" applyBorder="1"/>
    <xf numFmtId="44" fontId="0" fillId="0" borderId="0" xfId="0" applyNumberFormat="1" applyFont="1" applyFill="1" applyBorder="1"/>
    <xf numFmtId="44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ont="1" applyFill="1" applyBorder="1" applyAlignment="1">
      <alignment horizontal="fill"/>
    </xf>
    <xf numFmtId="4" fontId="0" fillId="0" borderId="0" xfId="0" applyNumberFormat="1" applyFill="1" applyBorder="1"/>
    <xf numFmtId="3" fontId="0" fillId="0" borderId="5" xfId="0" applyNumberFormat="1" applyFill="1" applyBorder="1"/>
    <xf numFmtId="0" fontId="4" fillId="0" borderId="0" xfId="0" applyFont="1" applyFill="1" applyBorder="1" applyAlignment="1">
      <alignment horizontal="left" indent="5"/>
    </xf>
    <xf numFmtId="41" fontId="0" fillId="0" borderId="0" xfId="0" applyNumberFormat="1" applyFill="1" applyBorder="1"/>
    <xf numFmtId="43" fontId="0" fillId="0" borderId="0" xfId="0" applyNumberFormat="1" applyFill="1" applyBorder="1"/>
    <xf numFmtId="0" fontId="0" fillId="0" borderId="7" xfId="0" applyFill="1" applyBorder="1"/>
    <xf numFmtId="10" fontId="0" fillId="0" borderId="7" xfId="0" applyNumberFormat="1" applyFill="1" applyBorder="1"/>
    <xf numFmtId="10" fontId="0" fillId="0" borderId="0" xfId="0" applyNumberFormat="1" applyFill="1"/>
    <xf numFmtId="41" fontId="0" fillId="0" borderId="0" xfId="0" applyNumberFormat="1" applyFill="1"/>
    <xf numFmtId="44" fontId="5" fillId="0" borderId="0" xfId="0" applyNumberFormat="1" applyFont="1" applyFill="1" applyBorder="1"/>
    <xf numFmtId="2" fontId="43" fillId="0" borderId="0" xfId="0" applyNumberFormat="1" applyFont="1" applyFill="1" applyBorder="1"/>
    <xf numFmtId="192" fontId="40" fillId="0" borderId="0" xfId="0" applyNumberFormat="1" applyFont="1" applyFill="1" applyBorder="1"/>
    <xf numFmtId="10" fontId="43" fillId="0" borderId="0" xfId="161" applyNumberFormat="1" applyFont="1" applyFill="1" applyBorder="1"/>
    <xf numFmtId="43" fontId="43" fillId="0" borderId="0" xfId="159" applyNumberFormat="1" applyFont="1" applyFill="1" applyBorder="1"/>
    <xf numFmtId="43" fontId="0" fillId="0" borderId="0" xfId="0" applyNumberFormat="1" applyFill="1"/>
    <xf numFmtId="177" fontId="5" fillId="0" borderId="0" xfId="0" applyNumberFormat="1" applyFont="1" applyFill="1" applyBorder="1"/>
    <xf numFmtId="8" fontId="0" fillId="0" borderId="0" xfId="0" applyNumberFormat="1" applyFont="1" applyFill="1" applyBorder="1"/>
    <xf numFmtId="194" fontId="5" fillId="0" borderId="0" xfId="159" applyNumberFormat="1" applyFont="1" applyFill="1" applyBorder="1" applyAlignment="1">
      <alignment horizontal="right"/>
    </xf>
    <xf numFmtId="177" fontId="38" fillId="0" borderId="0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175" fontId="0" fillId="20" borderId="5" xfId="0" applyNumberFormat="1" applyFill="1" applyBorder="1" applyAlignment="1">
      <alignment horizontal="center"/>
    </xf>
    <xf numFmtId="3" fontId="0" fillId="20" borderId="0" xfId="0" applyNumberFormat="1" applyFont="1" applyFill="1" applyBorder="1" applyAlignment="1">
      <alignment horizontal="center"/>
    </xf>
    <xf numFmtId="0" fontId="0" fillId="20" borderId="0" xfId="0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20" borderId="5" xfId="0" applyFill="1" applyBorder="1" applyAlignment="1">
      <alignment horizontal="center"/>
    </xf>
    <xf numFmtId="175" fontId="0" fillId="20" borderId="0" xfId="160" applyNumberFormat="1" applyFont="1" applyFill="1" applyBorder="1" applyAlignment="1">
      <alignment horizontal="center"/>
    </xf>
    <xf numFmtId="0" fontId="0" fillId="20" borderId="0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0" xfId="0" applyFill="1" applyBorder="1" applyAlignment="1">
      <alignment horizontal="center"/>
    </xf>
    <xf numFmtId="0" fontId="29" fillId="20" borderId="0" xfId="0" applyFont="1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175" fontId="0" fillId="2" borderId="0" xfId="160" applyNumberFormat="1" applyFont="1" applyFill="1" applyBorder="1" applyAlignment="1">
      <alignment horizontal="left"/>
    </xf>
    <xf numFmtId="0" fontId="0" fillId="0" borderId="30" xfId="0" applyFont="1" applyFill="1" applyBorder="1"/>
    <xf numFmtId="0" fontId="0" fillId="0" borderId="56" xfId="0" applyFont="1" applyFill="1" applyBorder="1"/>
    <xf numFmtId="0" fontId="0" fillId="0" borderId="21" xfId="0" applyFont="1" applyFill="1" applyBorder="1" applyAlignment="1">
      <alignment horizontal="left"/>
    </xf>
    <xf numFmtId="176" fontId="0" fillId="0" borderId="0" xfId="0" applyNumberFormat="1" applyFont="1" applyFill="1" applyBorder="1"/>
    <xf numFmtId="41" fontId="0" fillId="0" borderId="26" xfId="0" applyNumberFormat="1" applyFont="1" applyFill="1" applyBorder="1"/>
    <xf numFmtId="41" fontId="4" fillId="0" borderId="2" xfId="0" applyNumberFormat="1" applyFont="1" applyFill="1" applyBorder="1"/>
    <xf numFmtId="177" fontId="4" fillId="2" borderId="21" xfId="161" applyNumberFormat="1" applyFont="1" applyFill="1" applyBorder="1" applyAlignment="1">
      <alignment horizontal="left"/>
    </xf>
    <xf numFmtId="0" fontId="0" fillId="2" borderId="22" xfId="0" applyFont="1" applyFill="1" applyBorder="1"/>
    <xf numFmtId="177" fontId="0" fillId="2" borderId="21" xfId="161" applyNumberFormat="1" applyFont="1" applyFill="1" applyBorder="1" applyAlignment="1">
      <alignment horizontal="left"/>
    </xf>
    <xf numFmtId="176" fontId="0" fillId="2" borderId="0" xfId="161" applyNumberFormat="1" applyFont="1" applyFill="1" applyBorder="1" applyAlignment="1">
      <alignment horizontal="right"/>
    </xf>
    <xf numFmtId="0" fontId="0" fillId="0" borderId="5" xfId="0" applyFont="1" applyFill="1" applyBorder="1"/>
    <xf numFmtId="10" fontId="4" fillId="2" borderId="0" xfId="161" applyNumberFormat="1" applyFont="1" applyFill="1" applyBorder="1" applyAlignment="1">
      <alignment horizontal="right"/>
    </xf>
    <xf numFmtId="0" fontId="0" fillId="2" borderId="60" xfId="0" applyFont="1" applyFill="1" applyBorder="1"/>
    <xf numFmtId="0" fontId="0" fillId="0" borderId="17" xfId="0" applyFont="1" applyFill="1" applyBorder="1"/>
    <xf numFmtId="0" fontId="0" fillId="0" borderId="62" xfId="0" applyFont="1" applyFill="1" applyBorder="1"/>
    <xf numFmtId="0" fontId="0" fillId="0" borderId="5" xfId="0" applyFont="1" applyBorder="1"/>
    <xf numFmtId="0" fontId="0" fillId="0" borderId="8" xfId="0" applyFont="1" applyBorder="1"/>
    <xf numFmtId="0" fontId="0" fillId="0" borderId="63" xfId="0" applyFont="1" applyBorder="1"/>
    <xf numFmtId="0" fontId="0" fillId="0" borderId="64" xfId="0" applyFont="1" applyBorder="1"/>
    <xf numFmtId="0" fontId="0" fillId="0" borderId="61" xfId="0" applyFont="1" applyBorder="1"/>
    <xf numFmtId="0" fontId="4" fillId="0" borderId="0" xfId="0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Continuous" vertical="center" wrapText="1"/>
    </xf>
    <xf numFmtId="0" fontId="19" fillId="0" borderId="0" xfId="0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" wrapText="1"/>
    </xf>
    <xf numFmtId="0" fontId="50" fillId="0" borderId="0" xfId="0" applyFont="1" applyFill="1" applyBorder="1" applyAlignment="1">
      <alignment horizontal="center"/>
    </xf>
    <xf numFmtId="14" fontId="39" fillId="0" borderId="0" xfId="0" applyNumberFormat="1" applyFont="1" applyFill="1" applyBorder="1" applyAlignment="1">
      <alignment horizontal="center"/>
    </xf>
    <xf numFmtId="8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2" fontId="38" fillId="0" borderId="0" xfId="0" applyNumberFormat="1" applyFont="1" applyFill="1" applyBorder="1"/>
    <xf numFmtId="10" fontId="0" fillId="0" borderId="0" xfId="157" applyNumberFormat="1" applyFont="1" applyFill="1" applyBorder="1"/>
    <xf numFmtId="0" fontId="0" fillId="0" borderId="0" xfId="0" applyFill="1" applyBorder="1" applyAlignment="1">
      <alignment horizontal="left" vertical="top"/>
    </xf>
    <xf numFmtId="0" fontId="0" fillId="0" borderId="17" xfId="0" applyFill="1" applyBorder="1"/>
    <xf numFmtId="193" fontId="0" fillId="0" borderId="0" xfId="0" applyNumberFormat="1" applyFont="1" applyBorder="1"/>
    <xf numFmtId="0" fontId="31" fillId="0" borderId="3" xfId="124" applyFont="1" applyFill="1" applyBorder="1" applyAlignment="1">
      <alignment horizontal="center" wrapText="1"/>
    </xf>
    <xf numFmtId="187" fontId="31" fillId="0" borderId="20" xfId="89" applyNumberFormat="1" applyFont="1" applyFill="1" applyBorder="1" applyAlignment="1">
      <alignment horizontal="center"/>
    </xf>
    <xf numFmtId="43" fontId="31" fillId="0" borderId="8" xfId="17" applyFont="1" applyFill="1" applyBorder="1" applyAlignment="1"/>
    <xf numFmtId="43" fontId="31" fillId="0" borderId="20" xfId="17" applyFont="1" applyFill="1" applyBorder="1" applyAlignment="1"/>
    <xf numFmtId="43" fontId="31" fillId="0" borderId="3" xfId="17" applyFont="1" applyFill="1" applyBorder="1" applyAlignment="1">
      <alignment horizontal="right"/>
    </xf>
    <xf numFmtId="0" fontId="31" fillId="0" borderId="32" xfId="124" applyFont="1" applyFill="1" applyBorder="1" applyAlignment="1">
      <alignment horizontal="centerContinuous"/>
    </xf>
    <xf numFmtId="0" fontId="32" fillId="0" borderId="19" xfId="124" applyFont="1" applyFill="1" applyBorder="1" applyAlignment="1">
      <alignment horizontal="centerContinuous"/>
    </xf>
    <xf numFmtId="0" fontId="31" fillId="0" borderId="11" xfId="124" applyFont="1" applyFill="1" applyBorder="1" applyAlignment="1">
      <alignment horizontal="centerContinuous"/>
    </xf>
    <xf numFmtId="179" fontId="31" fillId="0" borderId="11" xfId="124" applyNumberFormat="1" applyFont="1" applyFill="1" applyBorder="1" applyAlignment="1">
      <alignment horizontal="centerContinuous"/>
    </xf>
    <xf numFmtId="182" fontId="31" fillId="0" borderId="2" xfId="124" applyNumberFormat="1" applyFont="1" applyFill="1" applyBorder="1" applyAlignment="1">
      <alignment horizontal="centerContinuous"/>
    </xf>
    <xf numFmtId="182" fontId="31" fillId="0" borderId="3" xfId="124" applyNumberFormat="1" applyFont="1" applyFill="1" applyBorder="1" applyAlignment="1">
      <alignment horizontal="centerContinuous"/>
    </xf>
    <xf numFmtId="0" fontId="31" fillId="0" borderId="19" xfId="89" applyFont="1" applyFill="1" applyBorder="1"/>
    <xf numFmtId="0" fontId="31" fillId="0" borderId="4" xfId="89" applyFont="1" applyFill="1" applyBorder="1"/>
    <xf numFmtId="0" fontId="32" fillId="0" borderId="6" xfId="89" applyFont="1" applyFill="1" applyBorder="1" applyAlignment="1">
      <alignment horizontal="left" indent="1"/>
    </xf>
    <xf numFmtId="0" fontId="31" fillId="0" borderId="7" xfId="89" applyFont="1" applyFill="1" applyBorder="1"/>
    <xf numFmtId="0" fontId="31" fillId="0" borderId="6" xfId="124" applyFont="1" applyFill="1" applyBorder="1" applyAlignment="1">
      <alignment horizontal="left"/>
    </xf>
    <xf numFmtId="0" fontId="31" fillId="0" borderId="5" xfId="89" applyFont="1" applyFill="1" applyBorder="1"/>
    <xf numFmtId="0" fontId="31" fillId="0" borderId="4" xfId="124" applyFont="1" applyFill="1" applyBorder="1" applyAlignment="1">
      <alignment horizontal="center"/>
    </xf>
    <xf numFmtId="0" fontId="31" fillId="0" borderId="1" xfId="124" applyFont="1" applyFill="1" applyBorder="1" applyAlignment="1">
      <alignment horizontal="left"/>
    </xf>
    <xf numFmtId="0" fontId="31" fillId="0" borderId="6" xfId="89" applyFont="1" applyBorder="1" applyAlignment="1">
      <alignment horizontal="left" indent="1"/>
    </xf>
    <xf numFmtId="0" fontId="31" fillId="0" borderId="4" xfId="89" applyFont="1" applyBorder="1" applyAlignment="1">
      <alignment horizontal="left" indent="1"/>
    </xf>
    <xf numFmtId="185" fontId="31" fillId="0" borderId="32" xfId="124" applyNumberFormat="1" applyFont="1" applyFill="1" applyBorder="1" applyAlignment="1">
      <alignment horizontal="center"/>
    </xf>
    <xf numFmtId="0" fontId="31" fillId="0" borderId="32" xfId="89" applyFont="1" applyBorder="1"/>
    <xf numFmtId="1" fontId="31" fillId="0" borderId="32" xfId="89" applyNumberFormat="1" applyFont="1" applyBorder="1"/>
    <xf numFmtId="186" fontId="31" fillId="0" borderId="32" xfId="17" applyNumberFormat="1" applyFont="1" applyFill="1" applyBorder="1" applyAlignment="1">
      <alignment horizontal="right"/>
    </xf>
    <xf numFmtId="179" fontId="31" fillId="0" borderId="32" xfId="17" applyNumberFormat="1" applyFont="1" applyFill="1" applyBorder="1" applyAlignment="1">
      <alignment horizontal="right"/>
    </xf>
    <xf numFmtId="10" fontId="31" fillId="0" borderId="32" xfId="124" applyNumberFormat="1" applyFont="1" applyFill="1" applyBorder="1"/>
    <xf numFmtId="0" fontId="31" fillId="0" borderId="36" xfId="89" applyFont="1" applyBorder="1"/>
    <xf numFmtId="186" fontId="31" fillId="17" borderId="9" xfId="17" applyNumberFormat="1" applyFont="1" applyFill="1" applyBorder="1" applyAlignment="1"/>
    <xf numFmtId="1" fontId="0" fillId="2" borderId="0" xfId="0" applyNumberFormat="1" applyFont="1" applyFill="1" applyBorder="1" applyAlignment="1">
      <alignment horizontal="center"/>
    </xf>
    <xf numFmtId="0" fontId="31" fillId="0" borderId="65" xfId="89" applyFont="1" applyBorder="1"/>
    <xf numFmtId="0" fontId="0" fillId="0" borderId="4" xfId="0" applyFont="1" applyFill="1" applyBorder="1"/>
    <xf numFmtId="0" fontId="0" fillId="0" borderId="4" xfId="0" applyFont="1" applyBorder="1"/>
    <xf numFmtId="177" fontId="0" fillId="2" borderId="7" xfId="16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67" xfId="0" applyFont="1" applyBorder="1"/>
    <xf numFmtId="0" fontId="47" fillId="2" borderId="7" xfId="0" applyFont="1" applyFill="1" applyBorder="1" applyAlignment="1">
      <alignment horizontal="left"/>
    </xf>
    <xf numFmtId="0" fontId="4" fillId="2" borderId="2" xfId="0" applyFont="1" applyFill="1" applyBorder="1"/>
    <xf numFmtId="41" fontId="0" fillId="2" borderId="23" xfId="0" applyNumberFormat="1" applyFont="1" applyFill="1" applyBorder="1"/>
    <xf numFmtId="0" fontId="0" fillId="0" borderId="23" xfId="0" applyFont="1" applyBorder="1"/>
    <xf numFmtId="175" fontId="84" fillId="0" borderId="24" xfId="160" applyNumberFormat="1" applyFont="1" applyFill="1" applyBorder="1" applyAlignment="1">
      <alignment horizontal="left"/>
    </xf>
    <xf numFmtId="41" fontId="84" fillId="0" borderId="26" xfId="0" applyNumberFormat="1" applyFont="1" applyFill="1" applyBorder="1"/>
    <xf numFmtId="0" fontId="84" fillId="2" borderId="0" xfId="0" applyFont="1" applyFill="1" applyBorder="1"/>
    <xf numFmtId="175" fontId="5" fillId="0" borderId="24" xfId="160" applyNumberFormat="1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85" fillId="0" borderId="25" xfId="0" applyFont="1" applyFill="1" applyBorder="1" applyAlignment="1">
      <alignment horizontal="right"/>
    </xf>
    <xf numFmtId="41" fontId="19" fillId="0" borderId="26" xfId="0" applyNumberFormat="1" applyFont="1" applyFill="1" applyBorder="1"/>
    <xf numFmtId="177" fontId="19" fillId="0" borderId="23" xfId="0" applyNumberFormat="1" applyFont="1" applyFill="1" applyBorder="1"/>
    <xf numFmtId="0" fontId="85" fillId="0" borderId="28" xfId="0" applyFont="1" applyFill="1" applyBorder="1" applyAlignment="1">
      <alignment horizontal="right"/>
    </xf>
    <xf numFmtId="175" fontId="19" fillId="0" borderId="24" xfId="160" applyNumberFormat="1" applyFont="1" applyFill="1" applyBorder="1" applyAlignment="1">
      <alignment horizontal="left"/>
    </xf>
    <xf numFmtId="177" fontId="19" fillId="2" borderId="0" xfId="161" applyNumberFormat="1" applyFont="1" applyFill="1" applyBorder="1" applyAlignment="1">
      <alignment horizontal="center"/>
    </xf>
    <xf numFmtId="41" fontId="19" fillId="2" borderId="0" xfId="0" applyNumberFormat="1" applyFont="1" applyFill="1" applyBorder="1"/>
    <xf numFmtId="0" fontId="5" fillId="2" borderId="0" xfId="0" applyFont="1" applyFill="1" applyBorder="1" applyAlignment="1">
      <alignment horizontal="left" indent="1"/>
    </xf>
    <xf numFmtId="0" fontId="86" fillId="2" borderId="0" xfId="0" applyFont="1" applyFill="1" applyBorder="1" applyAlignment="1">
      <alignment horizontal="right"/>
    </xf>
    <xf numFmtId="41" fontId="5" fillId="0" borderId="26" xfId="0" applyNumberFormat="1" applyFont="1" applyFill="1" applyBorder="1"/>
    <xf numFmtId="177" fontId="5" fillId="0" borderId="23" xfId="0" applyNumberFormat="1" applyFont="1" applyFill="1" applyBorder="1"/>
    <xf numFmtId="0" fontId="86" fillId="0" borderId="28" xfId="0" applyFont="1" applyFill="1" applyBorder="1" applyAlignment="1">
      <alignment horizontal="right"/>
    </xf>
    <xf numFmtId="177" fontId="5" fillId="2" borderId="0" xfId="161" applyNumberFormat="1" applyFont="1" applyFill="1" applyBorder="1" applyAlignment="1">
      <alignment horizontal="center"/>
    </xf>
    <xf numFmtId="176" fontId="5" fillId="2" borderId="0" xfId="160" applyNumberFormat="1" applyFont="1" applyFill="1" applyBorder="1" applyAlignment="1">
      <alignment horizontal="right"/>
    </xf>
    <xf numFmtId="0" fontId="86" fillId="0" borderId="25" xfId="0" applyFont="1" applyFill="1" applyBorder="1" applyAlignment="1">
      <alignment horizontal="right"/>
    </xf>
    <xf numFmtId="41" fontId="5" fillId="0" borderId="0" xfId="0" applyNumberFormat="1" applyFont="1" applyFill="1" applyBorder="1"/>
    <xf numFmtId="41" fontId="5" fillId="2" borderId="0" xfId="0" applyNumberFormat="1" applyFont="1" applyFill="1" applyBorder="1"/>
    <xf numFmtId="0" fontId="19" fillId="2" borderId="57" xfId="0" applyFont="1" applyFill="1" applyBorder="1"/>
    <xf numFmtId="0" fontId="5" fillId="0" borderId="21" xfId="0" applyFont="1" applyFill="1" applyBorder="1"/>
    <xf numFmtId="41" fontId="19" fillId="0" borderId="68" xfId="0" applyNumberFormat="1" applyFont="1" applyFill="1" applyBorder="1"/>
    <xf numFmtId="0" fontId="19" fillId="0" borderId="21" xfId="0" applyFont="1" applyFill="1" applyBorder="1"/>
    <xf numFmtId="0" fontId="19" fillId="0" borderId="21" xfId="0" applyFont="1" applyFill="1" applyBorder="1" applyAlignment="1">
      <alignment horizontal="left"/>
    </xf>
    <xf numFmtId="0" fontId="19" fillId="0" borderId="30" xfId="0" applyFont="1" applyFill="1" applyBorder="1"/>
    <xf numFmtId="0" fontId="5" fillId="0" borderId="25" xfId="0" applyFont="1" applyFill="1" applyBorder="1"/>
    <xf numFmtId="41" fontId="5" fillId="0" borderId="27" xfId="0" applyNumberFormat="1" applyFont="1" applyFill="1" applyBorder="1"/>
    <xf numFmtId="0" fontId="5" fillId="0" borderId="23" xfId="0" applyFont="1" applyFill="1" applyBorder="1"/>
    <xf numFmtId="0" fontId="19" fillId="2" borderId="0" xfId="0" applyFont="1" applyFill="1" applyBorder="1"/>
    <xf numFmtId="177" fontId="5" fillId="2" borderId="0" xfId="0" applyNumberFormat="1" applyFont="1" applyFill="1" applyBorder="1"/>
    <xf numFmtId="177" fontId="5" fillId="2" borderId="0" xfId="161" applyNumberFormat="1" applyFont="1" applyFill="1" applyBorder="1" applyAlignment="1">
      <alignment horizontal="left"/>
    </xf>
    <xf numFmtId="176" fontId="5" fillId="2" borderId="0" xfId="161" applyNumberFormat="1" applyFont="1" applyFill="1" applyBorder="1" applyAlignment="1">
      <alignment horizontal="right"/>
    </xf>
    <xf numFmtId="175" fontId="5" fillId="0" borderId="0" xfId="160" applyNumberFormat="1" applyFont="1" applyFill="1" applyBorder="1" applyAlignment="1">
      <alignment horizontal="left"/>
    </xf>
    <xf numFmtId="0" fontId="5" fillId="2" borderId="29" xfId="0" applyFont="1" applyFill="1" applyBorder="1"/>
    <xf numFmtId="41" fontId="5" fillId="0" borderId="23" xfId="0" applyNumberFormat="1" applyFont="1" applyFill="1" applyBorder="1"/>
    <xf numFmtId="175" fontId="5" fillId="2" borderId="0" xfId="160" applyNumberFormat="1" applyFont="1" applyFill="1" applyBorder="1" applyAlignment="1">
      <alignment horizontal="left"/>
    </xf>
    <xf numFmtId="0" fontId="5" fillId="2" borderId="31" xfId="0" applyFont="1" applyFill="1" applyBorder="1"/>
    <xf numFmtId="41" fontId="5" fillId="0" borderId="24" xfId="0" applyNumberFormat="1" applyFont="1" applyFill="1" applyBorder="1"/>
    <xf numFmtId="177" fontId="5" fillId="0" borderId="7" xfId="0" applyNumberFormat="1" applyFont="1" applyFill="1" applyBorder="1"/>
    <xf numFmtId="176" fontId="5" fillId="2" borderId="7" xfId="161" applyNumberFormat="1" applyFont="1" applyFill="1" applyBorder="1" applyAlignment="1">
      <alignment horizontal="right"/>
    </xf>
    <xf numFmtId="0" fontId="19" fillId="2" borderId="2" xfId="0" applyFont="1" applyFill="1" applyBorder="1"/>
    <xf numFmtId="41" fontId="19" fillId="0" borderId="58" xfId="0" applyNumberFormat="1" applyFont="1" applyFill="1" applyBorder="1"/>
    <xf numFmtId="176" fontId="19" fillId="2" borderId="0" xfId="160" applyNumberFormat="1" applyFont="1" applyFill="1" applyBorder="1" applyAlignment="1">
      <alignment horizontal="right"/>
    </xf>
    <xf numFmtId="177" fontId="5" fillId="2" borderId="7" xfId="161" applyNumberFormat="1" applyFont="1" applyFill="1" applyBorder="1" applyAlignment="1">
      <alignment horizontal="right"/>
    </xf>
    <xf numFmtId="177" fontId="5" fillId="0" borderId="26" xfId="0" applyNumberFormat="1" applyFont="1" applyFill="1" applyBorder="1"/>
    <xf numFmtId="177" fontId="5" fillId="2" borderId="0" xfId="161" applyNumberFormat="1" applyFont="1" applyFill="1" applyBorder="1" applyAlignment="1">
      <alignment horizontal="right"/>
    </xf>
    <xf numFmtId="177" fontId="19" fillId="0" borderId="0" xfId="0" applyNumberFormat="1" applyFont="1" applyFill="1" applyBorder="1"/>
    <xf numFmtId="177" fontId="19" fillId="2" borderId="0" xfId="0" applyNumberFormat="1" applyFont="1" applyFill="1" applyBorder="1"/>
    <xf numFmtId="176" fontId="19" fillId="0" borderId="0" xfId="160" applyNumberFormat="1" applyFont="1" applyFill="1" applyBorder="1" applyAlignment="1">
      <alignment horizontal="right"/>
    </xf>
    <xf numFmtId="10" fontId="19" fillId="2" borderId="0" xfId="161" applyNumberFormat="1" applyFont="1" applyFill="1" applyBorder="1" applyAlignment="1">
      <alignment horizontal="right"/>
    </xf>
    <xf numFmtId="0" fontId="84" fillId="2" borderId="0" xfId="0" applyFont="1" applyFill="1" applyBorder="1" applyAlignment="1">
      <alignment horizontal="left" indent="1"/>
    </xf>
    <xf numFmtId="0" fontId="87" fillId="0" borderId="28" xfId="0" applyFont="1" applyFill="1" applyBorder="1" applyAlignment="1">
      <alignment horizontal="right"/>
    </xf>
    <xf numFmtId="177" fontId="84" fillId="2" borderId="0" xfId="161" applyNumberFormat="1" applyFont="1" applyFill="1" applyBorder="1" applyAlignment="1">
      <alignment horizontal="center"/>
    </xf>
    <xf numFmtId="0" fontId="87" fillId="0" borderId="25" xfId="0" applyFont="1" applyFill="1" applyBorder="1" applyAlignment="1">
      <alignment horizontal="right"/>
    </xf>
    <xf numFmtId="41" fontId="84" fillId="2" borderId="0" xfId="0" applyNumberFormat="1" applyFont="1" applyFill="1" applyBorder="1"/>
    <xf numFmtId="0" fontId="84" fillId="0" borderId="21" xfId="0" applyFont="1" applyFill="1" applyBorder="1"/>
    <xf numFmtId="0" fontId="84" fillId="0" borderId="25" xfId="0" applyFont="1" applyFill="1" applyBorder="1"/>
    <xf numFmtId="0" fontId="84" fillId="0" borderId="0" xfId="0" applyFont="1" applyFill="1" applyBorder="1"/>
    <xf numFmtId="176" fontId="84" fillId="0" borderId="0" xfId="0" applyNumberFormat="1" applyFont="1" applyFill="1" applyBorder="1"/>
    <xf numFmtId="0" fontId="84" fillId="0" borderId="23" xfId="0" applyFont="1" applyFill="1" applyBorder="1"/>
    <xf numFmtId="0" fontId="84" fillId="0" borderId="28" xfId="0" applyFont="1" applyFill="1" applyBorder="1"/>
    <xf numFmtId="0" fontId="84" fillId="0" borderId="30" xfId="0" applyFont="1" applyFill="1" applyBorder="1" applyAlignment="1">
      <alignment horizontal="left"/>
    </xf>
    <xf numFmtId="177" fontId="84" fillId="2" borderId="0" xfId="0" applyNumberFormat="1" applyFont="1" applyFill="1" applyBorder="1"/>
    <xf numFmtId="177" fontId="84" fillId="2" borderId="7" xfId="161" applyNumberFormat="1" applyFont="1" applyFill="1" applyBorder="1" applyAlignment="1">
      <alignment horizontal="right"/>
    </xf>
    <xf numFmtId="0" fontId="84" fillId="0" borderId="30" xfId="0" applyFont="1" applyFill="1" applyBorder="1"/>
    <xf numFmtId="0" fontId="84" fillId="0" borderId="25" xfId="0" applyFont="1" applyFill="1" applyBorder="1" applyAlignment="1">
      <alignment horizontal="left"/>
    </xf>
    <xf numFmtId="177" fontId="84" fillId="2" borderId="7" xfId="0" applyNumberFormat="1" applyFont="1" applyFill="1" applyBorder="1"/>
    <xf numFmtId="0" fontId="5" fillId="2" borderId="5" xfId="0" applyFont="1" applyFill="1" applyBorder="1"/>
    <xf numFmtId="0" fontId="86" fillId="2" borderId="25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left" indent="1"/>
    </xf>
    <xf numFmtId="0" fontId="86" fillId="0" borderId="23" xfId="0" applyFont="1" applyFill="1" applyBorder="1" applyAlignment="1">
      <alignment horizontal="right"/>
    </xf>
    <xf numFmtId="0" fontId="86" fillId="2" borderId="23" xfId="0" applyFont="1" applyFill="1" applyBorder="1" applyAlignment="1">
      <alignment horizontal="right"/>
    </xf>
    <xf numFmtId="0" fontId="19" fillId="2" borderId="2" xfId="0" applyFont="1" applyFill="1" applyBorder="1" applyAlignment="1">
      <alignment horizontal="left" indent="1"/>
    </xf>
    <xf numFmtId="41" fontId="5" fillId="2" borderId="23" xfId="0" applyNumberFormat="1" applyFont="1" applyFill="1" applyBorder="1"/>
    <xf numFmtId="176" fontId="5" fillId="2" borderId="0" xfId="160" applyNumberFormat="1" applyFont="1" applyFill="1" applyBorder="1"/>
    <xf numFmtId="41" fontId="5" fillId="2" borderId="25" xfId="0" applyNumberFormat="1" applyFont="1" applyFill="1" applyBorder="1"/>
    <xf numFmtId="175" fontId="5" fillId="0" borderId="26" xfId="160" applyNumberFormat="1" applyFont="1" applyFill="1" applyBorder="1" applyAlignment="1">
      <alignment horizontal="left"/>
    </xf>
    <xf numFmtId="41" fontId="5" fillId="2" borderId="24" xfId="0" applyNumberFormat="1" applyFont="1" applyFill="1" applyBorder="1"/>
    <xf numFmtId="41" fontId="5" fillId="2" borderId="26" xfId="0" applyNumberFormat="1" applyFont="1" applyFill="1" applyBorder="1"/>
    <xf numFmtId="175" fontId="5" fillId="0" borderId="23" xfId="160" applyNumberFormat="1" applyFont="1" applyFill="1" applyBorder="1" applyAlignment="1">
      <alignment horizontal="left"/>
    </xf>
    <xf numFmtId="41" fontId="19" fillId="0" borderId="66" xfId="0" applyNumberFormat="1" applyFont="1" applyFill="1" applyBorder="1"/>
    <xf numFmtId="0" fontId="19" fillId="0" borderId="25" xfId="0" applyFont="1" applyFill="1" applyBorder="1"/>
    <xf numFmtId="0" fontId="19" fillId="0" borderId="25" xfId="0" applyFont="1" applyFill="1" applyBorder="1" applyAlignment="1">
      <alignment horizontal="left"/>
    </xf>
    <xf numFmtId="0" fontId="19" fillId="0" borderId="27" xfId="0" applyFont="1" applyFill="1" applyBorder="1"/>
    <xf numFmtId="0" fontId="19" fillId="2" borderId="21" xfId="0" applyFont="1" applyFill="1" applyBorder="1"/>
    <xf numFmtId="177" fontId="5" fillId="0" borderId="28" xfId="161" applyNumberFormat="1" applyFont="1" applyFill="1" applyBorder="1" applyAlignment="1">
      <alignment horizontal="left"/>
    </xf>
    <xf numFmtId="41" fontId="5" fillId="2" borderId="28" xfId="0" applyNumberFormat="1" applyFont="1" applyFill="1" applyBorder="1"/>
    <xf numFmtId="41" fontId="5" fillId="2" borderId="29" xfId="0" applyNumberFormat="1" applyFont="1" applyFill="1" applyBorder="1"/>
    <xf numFmtId="177" fontId="5" fillId="0" borderId="21" xfId="0" applyNumberFormat="1" applyFont="1" applyFill="1" applyBorder="1"/>
    <xf numFmtId="177" fontId="5" fillId="0" borderId="0" xfId="161" applyNumberFormat="1" applyFont="1" applyFill="1" applyBorder="1" applyAlignment="1">
      <alignment horizontal="center"/>
    </xf>
    <xf numFmtId="191" fontId="19" fillId="2" borderId="0" xfId="160" applyNumberFormat="1" applyFont="1" applyFill="1" applyBorder="1" applyAlignment="1">
      <alignment horizontal="right"/>
    </xf>
    <xf numFmtId="0" fontId="19" fillId="2" borderId="69" xfId="0" applyFont="1" applyFill="1" applyBorder="1"/>
    <xf numFmtId="0" fontId="5" fillId="0" borderId="61" xfId="0" applyFont="1" applyBorder="1"/>
    <xf numFmtId="175" fontId="5" fillId="55" borderId="24" xfId="160" applyNumberFormat="1" applyFont="1" applyFill="1" applyBorder="1" applyAlignment="1">
      <alignment horizontal="left"/>
    </xf>
    <xf numFmtId="0" fontId="0" fillId="55" borderId="0" xfId="0" applyFont="1" applyFill="1" applyBorder="1"/>
    <xf numFmtId="176" fontId="0" fillId="55" borderId="0" xfId="160" applyNumberFormat="1" applyFont="1" applyFill="1" applyBorder="1"/>
    <xf numFmtId="177" fontId="5" fillId="55" borderId="0" xfId="161" applyNumberFormat="1" applyFont="1" applyFill="1" applyBorder="1" applyAlignment="1">
      <alignment horizontal="center"/>
    </xf>
    <xf numFmtId="176" fontId="5" fillId="55" borderId="0" xfId="160" applyNumberFormat="1" applyFont="1" applyFill="1" applyBorder="1" applyAlignment="1">
      <alignment horizontal="right"/>
    </xf>
    <xf numFmtId="175" fontId="5" fillId="55" borderId="23" xfId="160" applyNumberFormat="1" applyFont="1" applyFill="1" applyBorder="1" applyAlignment="1">
      <alignment horizontal="left"/>
    </xf>
    <xf numFmtId="177" fontId="5" fillId="55" borderId="23" xfId="161" applyNumberFormat="1" applyFont="1" applyFill="1" applyBorder="1" applyAlignment="1">
      <alignment horizontal="center"/>
    </xf>
    <xf numFmtId="176" fontId="5" fillId="55" borderId="0" xfId="160" applyNumberFormat="1" applyFont="1" applyFill="1" applyBorder="1"/>
    <xf numFmtId="176" fontId="4" fillId="55" borderId="2" xfId="160" applyNumberFormat="1" applyFont="1" applyFill="1" applyBorder="1" applyAlignment="1">
      <alignment horizontal="right"/>
    </xf>
    <xf numFmtId="176" fontId="19" fillId="55" borderId="59" xfId="0" applyNumberFormat="1" applyFont="1" applyFill="1" applyBorder="1"/>
    <xf numFmtId="0" fontId="0" fillId="21" borderId="19" xfId="0" applyFill="1" applyBorder="1" applyAlignment="1">
      <alignment horizontal="center"/>
    </xf>
    <xf numFmtId="0" fontId="0" fillId="21" borderId="11" xfId="0" applyFill="1" applyBorder="1" applyAlignment="1">
      <alignment horizontal="center"/>
    </xf>
    <xf numFmtId="0" fontId="0" fillId="21" borderId="20" xfId="0" applyFill="1" applyBorder="1" applyAlignment="1">
      <alignment horizontal="center"/>
    </xf>
  </cellXfs>
  <cellStyles count="416">
    <cellStyle name="20% - Accent1 2" xfId="162"/>
    <cellStyle name="20% - Accent1 3" xfId="163"/>
    <cellStyle name="20% - Accent2 2" xfId="164"/>
    <cellStyle name="20% - Accent2 3" xfId="165"/>
    <cellStyle name="20% - Accent3 2" xfId="166"/>
    <cellStyle name="20% - Accent3 3" xfId="167"/>
    <cellStyle name="20% - Accent4 2" xfId="168"/>
    <cellStyle name="20% - Accent4 3" xfId="169"/>
    <cellStyle name="20% - Accent5 2" xfId="170"/>
    <cellStyle name="20% - Accent5 3" xfId="171"/>
    <cellStyle name="20% - Accent6 2" xfId="172"/>
    <cellStyle name="20% - Accent6 3" xfId="173"/>
    <cellStyle name="40% - Accent1 2" xfId="174"/>
    <cellStyle name="40% - Accent1 3" xfId="175"/>
    <cellStyle name="40% - Accent2 2" xfId="176"/>
    <cellStyle name="40% - Accent2 3" xfId="177"/>
    <cellStyle name="40% - Accent3 2" xfId="178"/>
    <cellStyle name="40% - Accent3 3" xfId="179"/>
    <cellStyle name="40% - Accent4 2" xfId="180"/>
    <cellStyle name="40% - Accent4 3" xfId="181"/>
    <cellStyle name="40% - Accent5 2" xfId="182"/>
    <cellStyle name="40% - Accent5 3" xfId="183"/>
    <cellStyle name="40% - Accent6 2" xfId="184"/>
    <cellStyle name="40% - Accent6 3" xfId="185"/>
    <cellStyle name="60% - Accent1 2" xfId="186"/>
    <cellStyle name="60% - Accent1 3" xfId="187"/>
    <cellStyle name="60% - Accent2 2" xfId="188"/>
    <cellStyle name="60% - Accent2 3" xfId="189"/>
    <cellStyle name="60% - Accent3 2" xfId="190"/>
    <cellStyle name="60% - Accent3 3" xfId="191"/>
    <cellStyle name="60% - Accent4 2" xfId="192"/>
    <cellStyle name="60% - Accent4 3" xfId="193"/>
    <cellStyle name="60% - Accent5 2" xfId="194"/>
    <cellStyle name="60% - Accent5 3" xfId="195"/>
    <cellStyle name="60% - Accent6 2" xfId="196"/>
    <cellStyle name="60% - Accent6 3" xfId="197"/>
    <cellStyle name="Accent1 2" xfId="198"/>
    <cellStyle name="Accent1 3" xfId="199"/>
    <cellStyle name="Accent2 2" xfId="200"/>
    <cellStyle name="Accent2 3" xfId="201"/>
    <cellStyle name="Accent3 2" xfId="202"/>
    <cellStyle name="Accent3 3" xfId="203"/>
    <cellStyle name="Accent4 2" xfId="204"/>
    <cellStyle name="Accent4 3" xfId="205"/>
    <cellStyle name="Accent5 2" xfId="206"/>
    <cellStyle name="Accent5 3" xfId="207"/>
    <cellStyle name="Accent6 2" xfId="208"/>
    <cellStyle name="Accent6 3" xfId="209"/>
    <cellStyle name="ArrayHeading" xfId="1"/>
    <cellStyle name="ArrayHeading 2" xfId="2"/>
    <cellStyle name="Bad 2" xfId="210"/>
    <cellStyle name="Bad 3" xfId="211"/>
    <cellStyle name="BetweenMacros" xfId="3"/>
    <cellStyle name="BetweenMacros 2" xfId="4"/>
    <cellStyle name="Calculation 2" xfId="212"/>
    <cellStyle name="Calculation 3" xfId="213"/>
    <cellStyle name="Cancel" xfId="214"/>
    <cellStyle name="Check Cell 2" xfId="215"/>
    <cellStyle name="Check Cell 3" xfId="216"/>
    <cellStyle name="Column total in dollars" xfId="5"/>
    <cellStyle name="Column total in dollars 2" xfId="6"/>
    <cellStyle name="Comma" xfId="159" builtinId="3"/>
    <cellStyle name="Comma  - Style1" xfId="7"/>
    <cellStyle name="Comma  - Style2" xfId="8"/>
    <cellStyle name="Comma  - Style3" xfId="9"/>
    <cellStyle name="Comma  - Style4" xfId="10"/>
    <cellStyle name="Comma  - Style5" xfId="11"/>
    <cellStyle name="Comma  - Style6" xfId="12"/>
    <cellStyle name="Comma  - Style7" xfId="13"/>
    <cellStyle name="Comma  - Style8" xfId="14"/>
    <cellStyle name="Comma (0)" xfId="15"/>
    <cellStyle name="Comma [0] 2" xfId="16"/>
    <cellStyle name="Comma 10" xfId="217"/>
    <cellStyle name="Comma 11" xfId="218"/>
    <cellStyle name="Comma 12" xfId="219"/>
    <cellStyle name="Comma 13" xfId="220"/>
    <cellStyle name="Comma 14" xfId="221"/>
    <cellStyle name="Comma 15" xfId="222"/>
    <cellStyle name="Comma 16" xfId="223"/>
    <cellStyle name="Comma 17" xfId="224"/>
    <cellStyle name="Comma 18" xfId="225"/>
    <cellStyle name="Comma 19" xfId="226"/>
    <cellStyle name="Comma 2" xfId="17"/>
    <cellStyle name="Comma 2 2" xfId="18"/>
    <cellStyle name="Comma 2 2 2" xfId="227"/>
    <cellStyle name="Comma 20" xfId="228"/>
    <cellStyle name="Comma 21" xfId="229"/>
    <cellStyle name="Comma 22" xfId="230"/>
    <cellStyle name="Comma 23" xfId="231"/>
    <cellStyle name="Comma 24" xfId="232"/>
    <cellStyle name="Comma 25" xfId="233"/>
    <cellStyle name="Comma 26" xfId="234"/>
    <cellStyle name="Comma 27" xfId="235"/>
    <cellStyle name="Comma 3" xfId="19"/>
    <cellStyle name="Comma 3 2" xfId="20"/>
    <cellStyle name="Comma 3 2 2" xfId="236"/>
    <cellStyle name="Comma 3 3" xfId="237"/>
    <cellStyle name="Comma 4" xfId="21"/>
    <cellStyle name="Comma 4 2" xfId="22"/>
    <cellStyle name="Comma 4 3" xfId="238"/>
    <cellStyle name="Comma 5" xfId="158"/>
    <cellStyle name="Comma 5 2" xfId="239"/>
    <cellStyle name="Comma 6" xfId="240"/>
    <cellStyle name="Comma 7" xfId="241"/>
    <cellStyle name="Comma 8" xfId="242"/>
    <cellStyle name="Comma 9" xfId="243"/>
    <cellStyle name="Comma0" xfId="23"/>
    <cellStyle name="Comma0 - Style1" xfId="244"/>
    <cellStyle name="Comma0 - Style2" xfId="245"/>
    <cellStyle name="Comma0 - Style3" xfId="24"/>
    <cellStyle name="Comma0 - Style3 2" xfId="25"/>
    <cellStyle name="Comma0 - Style4" xfId="26"/>
    <cellStyle name="Comma0 - Style4 2" xfId="27"/>
    <cellStyle name="Comma0 2" xfId="246"/>
    <cellStyle name="Comma0_Book1" xfId="28"/>
    <cellStyle name="Comma1 - Style1" xfId="29"/>
    <cellStyle name="Comma1 - Style1 2" xfId="30"/>
    <cellStyle name="Curren - Style2" xfId="247"/>
    <cellStyle name="Curren - Style3" xfId="248"/>
    <cellStyle name="Currency" xfId="160" builtinId="4"/>
    <cellStyle name="Currency 2" xfId="31"/>
    <cellStyle name="Currency 2 2" xfId="32"/>
    <cellStyle name="Currency 3" xfId="33"/>
    <cellStyle name="Currency 3 2" xfId="34"/>
    <cellStyle name="Currency 4" xfId="35"/>
    <cellStyle name="Currency 5" xfId="36"/>
    <cellStyle name="Currency 6" xfId="156"/>
    <cellStyle name="Currency No Comma" xfId="37"/>
    <cellStyle name="Currency(0)" xfId="38"/>
    <cellStyle name="Currency0" xfId="39"/>
    <cellStyle name="Currency0 2" xfId="249"/>
    <cellStyle name="Custom - Style8" xfId="250"/>
    <cellStyle name="Data   - Style2" xfId="251"/>
    <cellStyle name="Date" xfId="40"/>
    <cellStyle name="Date - Style1" xfId="252"/>
    <cellStyle name="Date - Style3" xfId="41"/>
    <cellStyle name="Date - Style3 2" xfId="42"/>
    <cellStyle name="Date 10" xfId="43"/>
    <cellStyle name="Date 11" xfId="44"/>
    <cellStyle name="Date 12" xfId="45"/>
    <cellStyle name="Date 13" xfId="46"/>
    <cellStyle name="Date 14" xfId="47"/>
    <cellStyle name="Date 15" xfId="253"/>
    <cellStyle name="Date 2" xfId="48"/>
    <cellStyle name="Date 3" xfId="49"/>
    <cellStyle name="Date 4" xfId="50"/>
    <cellStyle name="Date 5" xfId="51"/>
    <cellStyle name="Date 6" xfId="52"/>
    <cellStyle name="Date 7" xfId="53"/>
    <cellStyle name="Date 8" xfId="54"/>
    <cellStyle name="Date 9" xfId="55"/>
    <cellStyle name="Date_Book1" xfId="56"/>
    <cellStyle name="Explanatory Text 2" xfId="254"/>
    <cellStyle name="Explanatory Text 3" xfId="255"/>
    <cellStyle name="Fixed" xfId="57"/>
    <cellStyle name="Fixed 2" xfId="256"/>
    <cellStyle name="Fixed2 - Style2" xfId="257"/>
    <cellStyle name="Good 2" xfId="258"/>
    <cellStyle name="Good 3" xfId="259"/>
    <cellStyle name="Grey" xfId="58"/>
    <cellStyle name="header" xfId="59"/>
    <cellStyle name="header 2" xfId="60"/>
    <cellStyle name="Header1" xfId="61"/>
    <cellStyle name="Header1 2" xfId="62"/>
    <cellStyle name="Header2" xfId="63"/>
    <cellStyle name="Header2 2" xfId="64"/>
    <cellStyle name="Heading 1 2" xfId="260"/>
    <cellStyle name="Heading 1 3" xfId="261"/>
    <cellStyle name="Heading 2 2" xfId="262"/>
    <cellStyle name="Heading 2 3" xfId="263"/>
    <cellStyle name="Heading 3 2" xfId="264"/>
    <cellStyle name="Heading 3 3" xfId="265"/>
    <cellStyle name="Heading 4 2" xfId="266"/>
    <cellStyle name="Heading 4 3" xfId="267"/>
    <cellStyle name="Heading1" xfId="268"/>
    <cellStyle name="Heading2" xfId="269"/>
    <cellStyle name="Hyperlink 2" xfId="65"/>
    <cellStyle name="Input [yellow]" xfId="66"/>
    <cellStyle name="Input 2" xfId="270"/>
    <cellStyle name="Input 3" xfId="271"/>
    <cellStyle name="Input 4" xfId="272"/>
    <cellStyle name="Input 5" xfId="273"/>
    <cellStyle name="Input 6" xfId="274"/>
    <cellStyle name="Inst. Sections" xfId="275"/>
    <cellStyle name="Inst. Subheading" xfId="276"/>
    <cellStyle name="Labels - Style3" xfId="277"/>
    <cellStyle name="Linked Cell 2" xfId="278"/>
    <cellStyle name="Linked Cell 3" xfId="279"/>
    <cellStyle name="Macro" xfId="67"/>
    <cellStyle name="Macro 2" xfId="68"/>
    <cellStyle name="macro descr" xfId="69"/>
    <cellStyle name="macro descr 2" xfId="70"/>
    <cellStyle name="Macro_Comments" xfId="71"/>
    <cellStyle name="MacroText" xfId="72"/>
    <cellStyle name="MacroText 2" xfId="73"/>
    <cellStyle name="MCP" xfId="74"/>
    <cellStyle name="Neutral 2" xfId="280"/>
    <cellStyle name="Neutral 3" xfId="281"/>
    <cellStyle name="nONE" xfId="75"/>
    <cellStyle name="noninput" xfId="76"/>
    <cellStyle name="noninput 2" xfId="77"/>
    <cellStyle name="Normal" xfId="0" builtinId="0"/>
    <cellStyle name="Normal - Style1" xfId="78"/>
    <cellStyle name="Normal - Style1 2" xfId="282"/>
    <cellStyle name="Normal - Style2" xfId="283"/>
    <cellStyle name="Normal - Style3" xfId="284"/>
    <cellStyle name="Normal - Style4" xfId="285"/>
    <cellStyle name="Normal - Style5" xfId="286"/>
    <cellStyle name="Normal - Style6" xfId="287"/>
    <cellStyle name="Normal - Style7" xfId="288"/>
    <cellStyle name="Normal - Style8" xfId="289"/>
    <cellStyle name="Normal 10" xfId="79"/>
    <cellStyle name="Normal 11" xfId="80"/>
    <cellStyle name="Normal 12" xfId="81"/>
    <cellStyle name="Normal 13" xfId="82"/>
    <cellStyle name="Normal 13 2" xfId="290"/>
    <cellStyle name="Normal 14" xfId="83"/>
    <cellStyle name="Normal 14 2" xfId="291"/>
    <cellStyle name="Normal 15" xfId="84"/>
    <cellStyle name="Normal 15 2" xfId="292"/>
    <cellStyle name="Normal 16" xfId="85"/>
    <cellStyle name="Normal 16 2" xfId="293"/>
    <cellStyle name="Normal 17" xfId="86"/>
    <cellStyle name="Normal 17 2" xfId="294"/>
    <cellStyle name="Normal 18" xfId="87"/>
    <cellStyle name="Normal 18 2" xfId="295"/>
    <cellStyle name="Normal 19" xfId="88"/>
    <cellStyle name="Normal 19 2" xfId="296"/>
    <cellStyle name="Normal 2" xfId="89"/>
    <cellStyle name="Normal 2 2" xfId="90"/>
    <cellStyle name="Normal 2 2 2" xfId="91"/>
    <cellStyle name="Normal 2 2 2 2" xfId="297"/>
    <cellStyle name="Normal 2 2 3" xfId="298"/>
    <cellStyle name="Normal 2 3" xfId="92"/>
    <cellStyle name="Normal 2 3 2" xfId="299"/>
    <cellStyle name="Normal 2 4" xfId="93"/>
    <cellStyle name="Normal 2 4 2" xfId="300"/>
    <cellStyle name="Normal 2 5" xfId="94"/>
    <cellStyle name="Normal 20" xfId="95"/>
    <cellStyle name="Normal 21" xfId="96"/>
    <cellStyle name="Normal 22" xfId="97"/>
    <cellStyle name="Normal 23" xfId="98"/>
    <cellStyle name="Normal 24" xfId="99"/>
    <cellStyle name="Normal 24 2" xfId="301"/>
    <cellStyle name="Normal 25" xfId="100"/>
    <cellStyle name="Normal 26" xfId="101"/>
    <cellStyle name="Normal 26 2" xfId="302"/>
    <cellStyle name="Normal 27" xfId="102"/>
    <cellStyle name="Normal 28" xfId="103"/>
    <cellStyle name="Normal 28 2" xfId="303"/>
    <cellStyle name="Normal 29" xfId="304"/>
    <cellStyle name="Normal 3" xfId="104"/>
    <cellStyle name="Normal 3 2" xfId="105"/>
    <cellStyle name="Normal 3 2 2" xfId="106"/>
    <cellStyle name="Normal 3 2 3" xfId="305"/>
    <cellStyle name="Normal 3 3" xfId="107"/>
    <cellStyle name="Normal 3 4" xfId="306"/>
    <cellStyle name="Normal 30" xfId="307"/>
    <cellStyle name="Normal 31" xfId="308"/>
    <cellStyle name="Normal 32" xfId="309"/>
    <cellStyle name="Normal 33" xfId="310"/>
    <cellStyle name="Normal 34" xfId="311"/>
    <cellStyle name="Normal 35" xfId="312"/>
    <cellStyle name="Normal 36" xfId="313"/>
    <cellStyle name="Normal 37" xfId="314"/>
    <cellStyle name="Normal 38" xfId="315"/>
    <cellStyle name="Normal 39" xfId="316"/>
    <cellStyle name="Normal 4" xfId="108"/>
    <cellStyle name="Normal 4 2" xfId="109"/>
    <cellStyle name="Normal 4 3" xfId="110"/>
    <cellStyle name="Normal 4 3 2" xfId="111"/>
    <cellStyle name="Normal 40" xfId="317"/>
    <cellStyle name="Normal 5" xfId="112"/>
    <cellStyle name="Normal 5 2" xfId="113"/>
    <cellStyle name="Normal 5 2 2" xfId="114"/>
    <cellStyle name="Normal 5 2 3" xfId="318"/>
    <cellStyle name="Normal 5 3" xfId="115"/>
    <cellStyle name="Normal 5 3 2" xfId="116"/>
    <cellStyle name="Normal 6" xfId="117"/>
    <cellStyle name="Normal 6 2" xfId="118"/>
    <cellStyle name="Normal 6 2 2" xfId="119"/>
    <cellStyle name="Normal 6 2 3" xfId="319"/>
    <cellStyle name="Normal 6 3" xfId="320"/>
    <cellStyle name="Normal 7" xfId="120"/>
    <cellStyle name="Normal 8" xfId="121"/>
    <cellStyle name="Normal 9" xfId="122"/>
    <cellStyle name="Normal(0)" xfId="123"/>
    <cellStyle name="Normal_Book1" xfId="124"/>
    <cellStyle name="Note 2" xfId="321"/>
    <cellStyle name="Note 3" xfId="322"/>
    <cellStyle name="Note 4" xfId="323"/>
    <cellStyle name="Number" xfId="125"/>
    <cellStyle name="Output 2" xfId="324"/>
    <cellStyle name="Output 3" xfId="325"/>
    <cellStyle name="Output Amounts" xfId="326"/>
    <cellStyle name="Output Line Items" xfId="327"/>
    <cellStyle name="Password" xfId="126"/>
    <cellStyle name="Percen - Style1" xfId="127"/>
    <cellStyle name="Percen - Style1 2" xfId="128"/>
    <cellStyle name="Percen - Style2" xfId="129"/>
    <cellStyle name="Percen - Style2 2" xfId="130"/>
    <cellStyle name="Percent" xfId="161" builtinId="5"/>
    <cellStyle name="Percent [2]" xfId="131"/>
    <cellStyle name="Percent 10" xfId="328"/>
    <cellStyle name="Percent 11" xfId="329"/>
    <cellStyle name="Percent 12" xfId="330"/>
    <cellStyle name="Percent 13" xfId="331"/>
    <cellStyle name="Percent 14" xfId="332"/>
    <cellStyle name="Percent 15" xfId="333"/>
    <cellStyle name="Percent 16" xfId="334"/>
    <cellStyle name="Percent 17" xfId="335"/>
    <cellStyle name="Percent 18" xfId="336"/>
    <cellStyle name="Percent 19" xfId="337"/>
    <cellStyle name="Percent 2" xfId="132"/>
    <cellStyle name="Percent 2 2" xfId="133"/>
    <cellStyle name="Percent 2 2 2" xfId="338"/>
    <cellStyle name="Percent 2 3" xfId="339"/>
    <cellStyle name="Percent 20" xfId="340"/>
    <cellStyle name="Percent 21" xfId="341"/>
    <cellStyle name="Percent 22" xfId="342"/>
    <cellStyle name="Percent 23" xfId="343"/>
    <cellStyle name="Percent 24" xfId="344"/>
    <cellStyle name="Percent 25" xfId="345"/>
    <cellStyle name="Percent 26" xfId="346"/>
    <cellStyle name="Percent 27" xfId="347"/>
    <cellStyle name="Percent 28" xfId="348"/>
    <cellStyle name="Percent 3" xfId="157"/>
    <cellStyle name="Percent 3 2" xfId="349"/>
    <cellStyle name="Percent 4" xfId="350"/>
    <cellStyle name="Percent 5" xfId="351"/>
    <cellStyle name="Percent 6" xfId="352"/>
    <cellStyle name="Percent 7" xfId="353"/>
    <cellStyle name="Percent 8" xfId="354"/>
    <cellStyle name="Percent 9" xfId="355"/>
    <cellStyle name="Percent(0)" xfId="134"/>
    <cellStyle name="Percent(0) 2" xfId="356"/>
    <cellStyle name="PSChar" xfId="135"/>
    <cellStyle name="PSDate" xfId="136"/>
    <cellStyle name="PSDec" xfId="137"/>
    <cellStyle name="PSHeading" xfId="138"/>
    <cellStyle name="PSInt" xfId="139"/>
    <cellStyle name="PSSpacer" xfId="140"/>
    <cellStyle name="Reset  - Style7" xfId="357"/>
    <cellStyle name="SAPBEXaggData" xfId="358"/>
    <cellStyle name="SAPBEXaggDataEmph" xfId="359"/>
    <cellStyle name="SAPBEXaggItem" xfId="360"/>
    <cellStyle name="SAPBEXaggItemX" xfId="361"/>
    <cellStyle name="SAPBEXchaText" xfId="362"/>
    <cellStyle name="SAPBEXexcBad7" xfId="363"/>
    <cellStyle name="SAPBEXexcBad8" xfId="364"/>
    <cellStyle name="SAPBEXexcBad9" xfId="365"/>
    <cellStyle name="SAPBEXexcCritical4" xfId="366"/>
    <cellStyle name="SAPBEXexcCritical5" xfId="367"/>
    <cellStyle name="SAPBEXexcCritical6" xfId="368"/>
    <cellStyle name="SAPBEXexcGood1" xfId="369"/>
    <cellStyle name="SAPBEXexcGood2" xfId="370"/>
    <cellStyle name="SAPBEXexcGood3" xfId="371"/>
    <cellStyle name="SAPBEXfilterDrill" xfId="372"/>
    <cellStyle name="SAPBEXfilterItem" xfId="373"/>
    <cellStyle name="SAPBEXfilterText" xfId="374"/>
    <cellStyle name="SAPBEXformats" xfId="375"/>
    <cellStyle name="SAPBEXheaderItem" xfId="376"/>
    <cellStyle name="SAPBEXheaderText" xfId="377"/>
    <cellStyle name="SAPBEXHLevel0" xfId="378"/>
    <cellStyle name="SAPBEXHLevel0X" xfId="379"/>
    <cellStyle name="SAPBEXHLevel1" xfId="380"/>
    <cellStyle name="SAPBEXHLevel1X" xfId="381"/>
    <cellStyle name="SAPBEXHLevel2" xfId="382"/>
    <cellStyle name="SAPBEXHLevel2X" xfId="383"/>
    <cellStyle name="SAPBEXHLevel3" xfId="384"/>
    <cellStyle name="SAPBEXHLevel3X" xfId="385"/>
    <cellStyle name="SAPBEXresData" xfId="386"/>
    <cellStyle name="SAPBEXresDataEmph" xfId="387"/>
    <cellStyle name="SAPBEXresItem" xfId="388"/>
    <cellStyle name="SAPBEXresItemX" xfId="389"/>
    <cellStyle name="SAPBEXstdData" xfId="390"/>
    <cellStyle name="SAPBEXstdDataEmph" xfId="391"/>
    <cellStyle name="SAPBEXstdItem" xfId="392"/>
    <cellStyle name="SAPBEXstdItemX" xfId="393"/>
    <cellStyle name="SAPBEXtitle" xfId="394"/>
    <cellStyle name="SAPBEXundefined" xfId="395"/>
    <cellStyle name="Shade" xfId="141"/>
    <cellStyle name="Special" xfId="142"/>
    <cellStyle name="STYL1 - Style1" xfId="396"/>
    <cellStyle name="Style 1" xfId="143"/>
    <cellStyle name="Style 1 2" xfId="144"/>
    <cellStyle name="Style 1 3" xfId="397"/>
    <cellStyle name="Table  - Style6" xfId="398"/>
    <cellStyle name="Text" xfId="399"/>
    <cellStyle name="Title  - Style1" xfId="400"/>
    <cellStyle name="Title 2" xfId="401"/>
    <cellStyle name="Title 3" xfId="402"/>
    <cellStyle name="Title 4" xfId="403"/>
    <cellStyle name="Title 5" xfId="404"/>
    <cellStyle name="Title 6" xfId="405"/>
    <cellStyle name="Titles" xfId="145"/>
    <cellStyle name="Titles 2" xfId="146"/>
    <cellStyle name="Total 2" xfId="406"/>
    <cellStyle name="Total 3" xfId="407"/>
    <cellStyle name="Total2 - Style2" xfId="147"/>
    <cellStyle name="Total2 - Style2 2" xfId="148"/>
    <cellStyle name="TotCol - Style5" xfId="408"/>
    <cellStyle name="TotRow - Style4" xfId="409"/>
    <cellStyle name="TRANSMISSION RELIABILITY PORTION OF PROJECT" xfId="149"/>
    <cellStyle name="Tusental (0)_pldt" xfId="410"/>
    <cellStyle name="Tusental_pldt" xfId="411"/>
    <cellStyle name="Underl - Style4" xfId="150"/>
    <cellStyle name="Underl - Style4 2" xfId="151"/>
    <cellStyle name="UNLocked" xfId="152"/>
    <cellStyle name="Unprot" xfId="153"/>
    <cellStyle name="Unprot$" xfId="154"/>
    <cellStyle name="Unprotect" xfId="155"/>
    <cellStyle name="Valuta (0)_pldt" xfId="412"/>
    <cellStyle name="Valuta_pldt" xfId="413"/>
    <cellStyle name="Warning Text 2" xfId="414"/>
    <cellStyle name="Warning Text 3" xfId="4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8240\Desktop\Renewables%20Compliance\2013%20WA%20Impelmentation%20Plan\WA%20RPS%20Wind%20Capi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8240\Local%20Settings\Temporary%20Internet%20Files\Content.Outlook\WMV1PJ30\Wind%20CAPEX%200523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3281\AppData\Local\Microsoft\Windows\Temporary%20Internet%20Files\Content.Outlook\V5T30VUZ\2013%20OR%20RPS%202015-2019%20Incremental%20Cost%20Calc%20Workpaper_added%20Chevron%20for%20Ter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0 yr"/>
      <sheetName val="10 YR Spec Maint. Sch."/>
      <sheetName val="Capex Summary"/>
      <sheetName val="2013-22 10 yr plan"/>
      <sheetName val="Actual Detail"/>
      <sheetName val="Actual Summary"/>
      <sheetName val="Sheet6"/>
      <sheetName val="10YP"/>
      <sheetName val="OR RPS - Const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CAPEX"/>
      <sheetName val="LeaningJuniper"/>
      <sheetName val="Goodnoe Hills"/>
      <sheetName val="Marengo I"/>
      <sheetName val="Marengo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>
            <v>13967160.380000001</v>
          </cell>
        </row>
        <row r="5">
          <cell r="B5">
            <v>90182.399999999907</v>
          </cell>
        </row>
        <row r="6">
          <cell r="B6">
            <v>120586.71</v>
          </cell>
        </row>
        <row r="7">
          <cell r="B7">
            <v>103594.22</v>
          </cell>
        </row>
        <row r="8">
          <cell r="B8">
            <v>107369.039999999</v>
          </cell>
        </row>
        <row r="9">
          <cell r="B9">
            <v>6956605.4199999897</v>
          </cell>
        </row>
        <row r="10">
          <cell r="B10">
            <v>7616285.1600000001</v>
          </cell>
        </row>
        <row r="11">
          <cell r="B11">
            <v>63879852.4099999</v>
          </cell>
        </row>
        <row r="12">
          <cell r="B12">
            <v>8252955.1699999897</v>
          </cell>
        </row>
        <row r="13">
          <cell r="B13">
            <v>101094590.90999988</v>
          </cell>
        </row>
        <row r="14">
          <cell r="B14">
            <v>-4189819.35</v>
          </cell>
        </row>
        <row r="15">
          <cell r="B15">
            <v>3362887.1699999901</v>
          </cell>
        </row>
        <row r="16">
          <cell r="B16">
            <v>4386485.3799999896</v>
          </cell>
        </row>
        <row r="17">
          <cell r="B17">
            <v>9558737.0099999905</v>
          </cell>
        </row>
        <row r="18">
          <cell r="B18">
            <v>10587416.65</v>
          </cell>
        </row>
        <row r="19">
          <cell r="B19">
            <v>7963689.5499999896</v>
          </cell>
        </row>
        <row r="20">
          <cell r="B20">
            <v>22512.65</v>
          </cell>
        </row>
        <row r="21">
          <cell r="B21">
            <v>6698.17</v>
          </cell>
        </row>
        <row r="22">
          <cell r="B22">
            <v>240334.64</v>
          </cell>
        </row>
        <row r="23">
          <cell r="B23">
            <v>90049.97</v>
          </cell>
        </row>
        <row r="24">
          <cell r="B24">
            <v>1678.3699999999899</v>
          </cell>
        </row>
        <row r="25">
          <cell r="B25">
            <v>103557.649999999</v>
          </cell>
        </row>
        <row r="26">
          <cell r="B26">
            <v>32134227.859999958</v>
          </cell>
        </row>
        <row r="27">
          <cell r="B27">
            <v>-145631.049999999</v>
          </cell>
        </row>
        <row r="28">
          <cell r="B28">
            <v>527686.88</v>
          </cell>
        </row>
        <row r="29">
          <cell r="B29">
            <v>212194.799999999</v>
          </cell>
        </row>
        <row r="30">
          <cell r="B30">
            <v>-203890.829999999</v>
          </cell>
        </row>
        <row r="31">
          <cell r="B31">
            <v>3546.54</v>
          </cell>
        </row>
        <row r="32">
          <cell r="B32">
            <v>12074.35</v>
          </cell>
        </row>
        <row r="33">
          <cell r="B33">
            <v>117261.85</v>
          </cell>
        </row>
        <row r="34">
          <cell r="B34">
            <v>-0.76</v>
          </cell>
        </row>
        <row r="35">
          <cell r="B35">
            <v>2855.4499999999898</v>
          </cell>
        </row>
        <row r="36">
          <cell r="B36">
            <v>526097.23000000091</v>
          </cell>
        </row>
        <row r="37">
          <cell r="B37">
            <v>-895.5</v>
          </cell>
        </row>
        <row r="38">
          <cell r="B38">
            <v>598.5</v>
          </cell>
        </row>
        <row r="39">
          <cell r="B39">
            <v>-598.5</v>
          </cell>
        </row>
        <row r="40">
          <cell r="B40">
            <v>-895.5</v>
          </cell>
        </row>
        <row r="41">
          <cell r="B41">
            <v>101454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after correction"/>
      <sheetName val="Report (a)"/>
      <sheetName val="Report (b)"/>
      <sheetName val="Comparison"/>
      <sheetName val="(1.a) Filing Summary"/>
      <sheetName val="(1.b) Filing Summary"/>
      <sheetName val="(2.2a) Detail"/>
      <sheetName val="(2.2b) Detail"/>
      <sheetName val="Assumptions"/>
      <sheetName val="==&gt;"/>
      <sheetName val="Resources"/>
      <sheetName val="Blundell II"/>
      <sheetName val="Dunlap"/>
      <sheetName val="Glenrock"/>
      <sheetName val="Glenrock III"/>
      <sheetName val="Goodnoe Hills"/>
      <sheetName val="McFadden Ridge"/>
      <sheetName val="High Plains"/>
      <sheetName val="Marengo"/>
      <sheetName val="Marengo II"/>
      <sheetName val="Seven Mile Hill"/>
      <sheetName val="Seven Mile Hill II"/>
      <sheetName val="Mt Wind"/>
      <sheetName val="Mt Wind II"/>
      <sheetName val="Top of the World"/>
      <sheetName val="Campbell Hill"/>
      <sheetName val="Casper Wind"/>
      <sheetName val="Forward Price Curve"/>
      <sheetName val="Generation Forecast"/>
      <sheetName val="CCCT"/>
      <sheetName val="SCCT"/>
      <sheetName val="Wheeling"/>
      <sheetName val="Goodnoe PTP"/>
      <sheetName val="WindIntegration"/>
      <sheetName val="PPA Summary"/>
      <sheetName val="Gas TransCosts"/>
      <sheetName val="Market_Value"/>
    </sheetNames>
    <sheetDataSet>
      <sheetData sheetId="0"/>
      <sheetData sheetId="1"/>
      <sheetData sheetId="2"/>
      <sheetData sheetId="3"/>
      <sheetData sheetId="4">
        <row r="3">
          <cell r="B3">
            <v>8</v>
          </cell>
          <cell r="C3" t="str">
            <v>Scenario 8: Nov 8 2013, OFPC (Lake Side)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4">
          <cell r="W14">
            <v>0.03</v>
          </cell>
        </row>
        <row r="15">
          <cell r="W15">
            <v>3.0000000000000001E-3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C5" sqref="C5"/>
    </sheetView>
  </sheetViews>
  <sheetFormatPr defaultRowHeight="11.25"/>
  <cols>
    <col min="1" max="1" width="2.83203125" customWidth="1"/>
    <col min="2" max="2" width="2.83203125" style="157" customWidth="1"/>
    <col min="3" max="3" width="6.33203125" style="157" customWidth="1"/>
    <col min="4" max="4" width="64.5" style="157" customWidth="1"/>
    <col min="5" max="5" width="2.83203125" style="157" customWidth="1"/>
    <col min="6" max="6" width="9.33203125" style="157"/>
  </cols>
  <sheetData>
    <row r="2" spans="2:5">
      <c r="B2" s="267"/>
      <c r="C2" s="268"/>
      <c r="D2" s="268"/>
      <c r="E2" s="269"/>
    </row>
    <row r="3" spans="2:5">
      <c r="B3" s="3"/>
      <c r="C3" s="270" t="s">
        <v>0</v>
      </c>
      <c r="D3" s="4"/>
      <c r="E3" s="271"/>
    </row>
    <row r="4" spans="2:5">
      <c r="B4" s="3"/>
      <c r="C4" s="270" t="s">
        <v>273</v>
      </c>
      <c r="D4" s="4"/>
      <c r="E4" s="271"/>
    </row>
    <row r="5" spans="2:5">
      <c r="B5" s="3"/>
      <c r="C5" s="270" t="s">
        <v>1</v>
      </c>
      <c r="D5" s="4"/>
      <c r="E5" s="271"/>
    </row>
    <row r="6" spans="2:5">
      <c r="B6" s="3"/>
      <c r="C6" s="4"/>
      <c r="D6" s="4"/>
      <c r="E6" s="271"/>
    </row>
    <row r="7" spans="2:5">
      <c r="B7" s="3"/>
      <c r="C7" s="270" t="s">
        <v>2</v>
      </c>
      <c r="D7" s="4"/>
      <c r="E7" s="271"/>
    </row>
    <row r="8" spans="2:5">
      <c r="B8" s="3"/>
      <c r="C8" s="4"/>
      <c r="D8" s="4"/>
      <c r="E8" s="271"/>
    </row>
    <row r="9" spans="2:5">
      <c r="B9" s="3"/>
      <c r="C9" s="4" t="s">
        <v>3</v>
      </c>
      <c r="D9" s="4"/>
      <c r="E9" s="271"/>
    </row>
    <row r="10" spans="2:5">
      <c r="B10" s="3"/>
      <c r="C10" s="4">
        <v>1.1000000000000001</v>
      </c>
      <c r="D10" s="4" t="s">
        <v>4</v>
      </c>
      <c r="E10" s="271"/>
    </row>
    <row r="11" spans="2:5">
      <c r="B11" s="3"/>
      <c r="C11" s="272">
        <v>1.2</v>
      </c>
      <c r="D11" s="4" t="s">
        <v>5</v>
      </c>
      <c r="E11" s="271"/>
    </row>
    <row r="12" spans="2:5">
      <c r="B12" s="3"/>
      <c r="C12" s="272"/>
      <c r="D12" s="4"/>
      <c r="E12" s="271"/>
    </row>
    <row r="13" spans="2:5">
      <c r="B13" s="3"/>
      <c r="C13" s="4" t="s">
        <v>6</v>
      </c>
      <c r="D13" s="4"/>
      <c r="E13" s="271"/>
    </row>
    <row r="14" spans="2:5">
      <c r="B14" s="3"/>
      <c r="C14" s="273">
        <v>2.1</v>
      </c>
      <c r="D14" s="4" t="s">
        <v>7</v>
      </c>
      <c r="E14" s="271"/>
    </row>
    <row r="15" spans="2:5">
      <c r="B15" s="3"/>
      <c r="C15" s="273">
        <v>2.2000000000000002</v>
      </c>
      <c r="D15" s="4" t="s">
        <v>8</v>
      </c>
      <c r="E15" s="271"/>
    </row>
    <row r="16" spans="2:5">
      <c r="B16" s="3"/>
      <c r="C16" s="272"/>
      <c r="D16" s="4"/>
      <c r="E16" s="271"/>
    </row>
    <row r="17" spans="2:5">
      <c r="B17" s="3"/>
      <c r="C17" s="4" t="s">
        <v>9</v>
      </c>
      <c r="D17" s="4"/>
      <c r="E17" s="271"/>
    </row>
    <row r="18" spans="2:5">
      <c r="B18" s="3"/>
      <c r="C18" s="272">
        <v>3.1</v>
      </c>
      <c r="D18" s="274" t="s">
        <v>10</v>
      </c>
      <c r="E18" s="271"/>
    </row>
    <row r="19" spans="2:5">
      <c r="B19" s="3"/>
      <c r="C19" s="272">
        <v>3.2</v>
      </c>
      <c r="D19" s="274" t="s">
        <v>11</v>
      </c>
      <c r="E19" s="271"/>
    </row>
    <row r="20" spans="2:5">
      <c r="B20" s="3"/>
      <c r="C20" s="272">
        <v>3.3</v>
      </c>
      <c r="D20" s="274" t="s">
        <v>12</v>
      </c>
      <c r="E20" s="271"/>
    </row>
    <row r="21" spans="2:5">
      <c r="B21" s="3"/>
      <c r="C21" s="272">
        <v>3.4</v>
      </c>
      <c r="D21" s="274" t="s">
        <v>13</v>
      </c>
      <c r="E21" s="271"/>
    </row>
    <row r="22" spans="2:5">
      <c r="B22" s="3"/>
      <c r="C22" s="272">
        <v>3.5</v>
      </c>
      <c r="D22" s="274" t="s">
        <v>163</v>
      </c>
      <c r="E22" s="271"/>
    </row>
    <row r="23" spans="2:5">
      <c r="B23" s="3"/>
      <c r="C23" s="272">
        <v>3.6</v>
      </c>
      <c r="D23" s="274" t="s">
        <v>164</v>
      </c>
      <c r="E23" s="271"/>
    </row>
    <row r="24" spans="2:5">
      <c r="B24" s="3"/>
      <c r="C24" s="272">
        <v>3.7</v>
      </c>
      <c r="D24" s="274" t="s">
        <v>229</v>
      </c>
      <c r="E24" s="271"/>
    </row>
    <row r="25" spans="2:5">
      <c r="B25" s="3"/>
      <c r="C25" s="272">
        <v>3.8</v>
      </c>
      <c r="D25" s="274" t="s">
        <v>230</v>
      </c>
      <c r="E25" s="271"/>
    </row>
    <row r="26" spans="2:5">
      <c r="B26" s="275"/>
      <c r="C26" s="276">
        <v>3.9</v>
      </c>
      <c r="D26" s="277" t="s">
        <v>248</v>
      </c>
      <c r="E26" s="278"/>
    </row>
  </sheetData>
  <pageMargins left="0.25" right="0.25" top="0.2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A13" zoomScaleNormal="100" workbookViewId="0">
      <selection activeCell="U35" sqref="U35"/>
    </sheetView>
  </sheetViews>
  <sheetFormatPr defaultRowHeight="11.25"/>
  <cols>
    <col min="1" max="1" width="2.83203125" style="34" customWidth="1"/>
    <col min="2" max="2" width="2" style="34" customWidth="1"/>
    <col min="3" max="3" width="34.6640625" style="34" customWidth="1"/>
    <col min="4" max="4" width="5.83203125" style="34" customWidth="1"/>
    <col min="5" max="5" width="15.83203125" style="34" customWidth="1"/>
    <col min="6" max="6" width="2" style="34" customWidth="1"/>
    <col min="7" max="7" width="7.83203125" style="34" customWidth="1"/>
    <col min="8" max="8" width="10.1640625" style="34" customWidth="1"/>
    <col min="9" max="9" width="2" style="34" customWidth="1"/>
    <col min="10" max="10" width="17.5" style="34" customWidth="1"/>
    <col min="11" max="11" width="2" style="34" customWidth="1"/>
    <col min="12" max="12" width="2.6640625" style="34" customWidth="1"/>
    <col min="13" max="13" width="2" style="34" customWidth="1"/>
    <col min="14" max="14" width="37.33203125" style="34" customWidth="1"/>
    <col min="15" max="15" width="5.1640625" style="34" customWidth="1"/>
    <col min="16" max="16" width="15.83203125" style="34" customWidth="1"/>
    <col min="17" max="17" width="2.1640625" style="34" customWidth="1"/>
    <col min="18" max="18" width="7.83203125" style="34" customWidth="1"/>
    <col min="19" max="19" width="10.1640625" style="34" customWidth="1"/>
    <col min="20" max="20" width="2" style="34" customWidth="1"/>
    <col min="21" max="21" width="18.1640625" style="34" customWidth="1"/>
    <col min="22" max="22" width="2" style="34" customWidth="1"/>
    <col min="23" max="16384" width="9.33203125" style="34"/>
  </cols>
  <sheetData>
    <row r="1" spans="1:22" s="6" customFormat="1">
      <c r="A1" s="6" t="str">
        <f>+'Workpaper Index'!C3</f>
        <v>PACIFICORP</v>
      </c>
    </row>
    <row r="2" spans="1:22" s="6" customFormat="1">
      <c r="A2" s="6" t="str">
        <f>+'Workpaper Index'!C4</f>
        <v xml:space="preserve">WASHINGTON AUGUST 23, 2019 RENEWABLES REPORT </v>
      </c>
    </row>
    <row r="3" spans="1:22" s="6" customFormat="1">
      <c r="A3" s="6" t="str">
        <f>+'Workpaper Index'!C5</f>
        <v>EVALUATION OF RENEWABLE RESOURCE COST</v>
      </c>
    </row>
    <row r="4" spans="1:22" s="6" customFormat="1"/>
    <row r="5" spans="1:22" s="6" customFormat="1">
      <c r="A5" s="6" t="str">
        <f>+'Workpaper Index'!C10&amp;" - "&amp;'Workpaper Index'!D10</f>
        <v>1.1 - TOTAL RESOURCE COST TO WASHINGTON REVENUE REQUIREMENT</v>
      </c>
    </row>
    <row r="6" spans="1:22" s="6" customFormat="1"/>
    <row r="8" spans="1:22" s="7" customFormat="1">
      <c r="B8" s="8" t="s">
        <v>263</v>
      </c>
      <c r="C8" s="9"/>
      <c r="D8" s="9"/>
      <c r="E8" s="9"/>
      <c r="F8" s="9"/>
      <c r="G8" s="9"/>
      <c r="H8" s="9"/>
      <c r="I8" s="9"/>
      <c r="J8" s="9"/>
      <c r="K8" s="10"/>
      <c r="M8" s="8" t="s">
        <v>270</v>
      </c>
      <c r="N8" s="9"/>
      <c r="O8" s="9"/>
      <c r="P8" s="9"/>
      <c r="Q8" s="9"/>
      <c r="R8" s="9"/>
      <c r="S8" s="9"/>
      <c r="T8" s="9"/>
      <c r="U8" s="9"/>
      <c r="V8" s="10"/>
    </row>
    <row r="9" spans="1:22" s="7" customFormat="1">
      <c r="B9" s="11"/>
      <c r="C9" s="12"/>
      <c r="D9" s="12"/>
      <c r="E9" s="12"/>
      <c r="F9" s="12"/>
      <c r="G9" s="12"/>
      <c r="H9" s="12"/>
      <c r="I9" s="12"/>
      <c r="J9" s="12"/>
      <c r="K9" s="13"/>
      <c r="M9" s="11"/>
      <c r="N9" s="12"/>
      <c r="O9" s="12"/>
      <c r="P9" s="12"/>
      <c r="Q9" s="12"/>
      <c r="R9" s="12"/>
      <c r="S9" s="12"/>
      <c r="T9" s="12"/>
      <c r="U9" s="12"/>
      <c r="V9" s="13"/>
    </row>
    <row r="10" spans="1:22" s="7" customFormat="1" ht="22.5">
      <c r="B10" s="11"/>
      <c r="C10" s="12"/>
      <c r="D10" s="5"/>
      <c r="E10" s="14" t="s">
        <v>264</v>
      </c>
      <c r="F10" s="15"/>
      <c r="G10" s="16" t="s">
        <v>14</v>
      </c>
      <c r="H10" s="16"/>
      <c r="I10" s="15"/>
      <c r="J10" s="14" t="s">
        <v>15</v>
      </c>
      <c r="K10" s="13"/>
      <c r="M10" s="11"/>
      <c r="N10" s="12"/>
      <c r="O10" s="5"/>
      <c r="P10" s="367" t="s">
        <v>271</v>
      </c>
      <c r="Q10" s="12"/>
      <c r="R10" s="16" t="s">
        <v>14</v>
      </c>
      <c r="S10" s="16"/>
      <c r="T10" s="15"/>
      <c r="U10" s="14" t="s">
        <v>15</v>
      </c>
      <c r="V10" s="13"/>
    </row>
    <row r="11" spans="1:22" s="7" customFormat="1" ht="4.5" customHeight="1">
      <c r="B11" s="11"/>
      <c r="C11" s="12"/>
      <c r="D11" s="17"/>
      <c r="E11" s="18"/>
      <c r="F11" s="18"/>
      <c r="G11" s="18"/>
      <c r="I11" s="18"/>
      <c r="J11" s="18"/>
      <c r="K11" s="13"/>
      <c r="M11" s="11"/>
      <c r="N11" s="12"/>
      <c r="O11" s="17"/>
      <c r="P11" s="18"/>
      <c r="Q11" s="12"/>
      <c r="R11" s="18"/>
      <c r="T11" s="18"/>
      <c r="U11" s="18"/>
      <c r="V11" s="13"/>
    </row>
    <row r="12" spans="1:22" s="7" customFormat="1">
      <c r="B12" s="11"/>
      <c r="C12" s="1" t="s">
        <v>16</v>
      </c>
      <c r="D12" s="12"/>
      <c r="E12" s="12"/>
      <c r="F12" s="12"/>
      <c r="G12" s="12"/>
      <c r="H12" s="359"/>
      <c r="I12" s="12"/>
      <c r="J12" s="12"/>
      <c r="K12" s="13"/>
      <c r="M12" s="11"/>
      <c r="N12" s="1" t="s">
        <v>16</v>
      </c>
      <c r="O12" s="12"/>
      <c r="P12" s="19"/>
      <c r="Q12" s="12"/>
      <c r="R12" s="20"/>
      <c r="S12" s="21"/>
      <c r="T12" s="12"/>
      <c r="U12" s="12"/>
      <c r="V12" s="13"/>
    </row>
    <row r="13" spans="1:22" s="7" customFormat="1">
      <c r="B13" s="11"/>
      <c r="C13" s="22" t="s">
        <v>17</v>
      </c>
      <c r="D13" s="455" t="s">
        <v>24</v>
      </c>
      <c r="E13" s="23">
        <v>18315</v>
      </c>
      <c r="F13" s="12"/>
      <c r="G13" s="17"/>
      <c r="H13" s="368">
        <f>+'(1.2)_Lvl_Resource_Cost'!$E$20</f>
        <v>14.131675601963146</v>
      </c>
      <c r="I13" s="12"/>
      <c r="J13" s="181">
        <f>+E13*H13</f>
        <v>258821.63864995501</v>
      </c>
      <c r="K13" s="13"/>
      <c r="M13" s="11"/>
      <c r="N13" s="454" t="s">
        <v>17</v>
      </c>
      <c r="O13" s="455" t="s">
        <v>24</v>
      </c>
      <c r="P13" s="518">
        <v>16098</v>
      </c>
      <c r="Q13" s="5"/>
      <c r="R13" s="515"/>
      <c r="S13" s="445">
        <f>+'(1.2)_Lvl_Resource_Cost'!$E$20</f>
        <v>14.131675601963146</v>
      </c>
      <c r="T13" s="5"/>
      <c r="U13" s="519">
        <f t="shared" ref="U13:U20" si="0">+P13*S13</f>
        <v>227491.71384040272</v>
      </c>
      <c r="V13" s="13"/>
    </row>
    <row r="14" spans="1:22" s="7" customFormat="1">
      <c r="B14" s="11"/>
      <c r="C14" s="22" t="s">
        <v>18</v>
      </c>
      <c r="D14" s="513" t="s">
        <v>19</v>
      </c>
      <c r="E14" s="265">
        <v>16022</v>
      </c>
      <c r="F14" s="12"/>
      <c r="G14" s="17"/>
      <c r="H14" s="368">
        <f>+'(1.2)_Lvl_Resource_Cost'!$K$20</f>
        <v>3.5839563567065311</v>
      </c>
      <c r="I14" s="12"/>
      <c r="J14" s="181">
        <f t="shared" ref="J14:J21" si="1">+E14*H14</f>
        <v>57422.148747152045</v>
      </c>
      <c r="K14" s="13"/>
      <c r="M14" s="11"/>
      <c r="N14" s="454" t="s">
        <v>18</v>
      </c>
      <c r="O14" s="458" t="s">
        <v>19</v>
      </c>
      <c r="P14" s="520">
        <v>16388</v>
      </c>
      <c r="Q14" s="5"/>
      <c r="R14" s="461"/>
      <c r="S14" s="521">
        <f>+'(1.2)_Lvl_Resource_Cost'!$K$20</f>
        <v>3.5839563567065311</v>
      </c>
      <c r="T14" s="5"/>
      <c r="U14" s="519">
        <f t="shared" si="0"/>
        <v>58733.87677370663</v>
      </c>
      <c r="V14" s="13"/>
    </row>
    <row r="15" spans="1:22" s="7" customFormat="1">
      <c r="B15" s="11"/>
      <c r="C15" s="22" t="s">
        <v>20</v>
      </c>
      <c r="D15" s="513" t="s">
        <v>19</v>
      </c>
      <c r="E15" s="266">
        <v>26729</v>
      </c>
      <c r="F15" s="12"/>
      <c r="G15" s="17"/>
      <c r="H15" s="368">
        <f>+'(1.2)_Lvl_Resource_Cost'!$G$20</f>
        <v>6.4704515517312311</v>
      </c>
      <c r="I15" s="12"/>
      <c r="J15" s="181">
        <f t="shared" si="1"/>
        <v>172948.69952622408</v>
      </c>
      <c r="K15" s="13"/>
      <c r="M15" s="11"/>
      <c r="N15" s="454" t="s">
        <v>20</v>
      </c>
      <c r="O15" s="458" t="s">
        <v>19</v>
      </c>
      <c r="P15" s="522">
        <v>26067</v>
      </c>
      <c r="Q15" s="5"/>
      <c r="R15" s="458"/>
      <c r="S15" s="445">
        <f>+'(1.2)_Lvl_Resource_Cost'!$G$20</f>
        <v>6.4704515517312311</v>
      </c>
      <c r="T15" s="5"/>
      <c r="U15" s="519">
        <f t="shared" si="0"/>
        <v>168665.260598978</v>
      </c>
      <c r="V15" s="13"/>
    </row>
    <row r="16" spans="1:22" s="7" customFormat="1">
      <c r="B16" s="11"/>
      <c r="C16" s="22" t="s">
        <v>21</v>
      </c>
      <c r="D16" s="513" t="s">
        <v>19</v>
      </c>
      <c r="E16" s="265">
        <v>13065</v>
      </c>
      <c r="F16" s="12"/>
      <c r="G16" s="17"/>
      <c r="H16" s="368">
        <f>+'(1.2)_Lvl_Resource_Cost'!$I$20</f>
        <v>12.106425175599828</v>
      </c>
      <c r="I16" s="12"/>
      <c r="J16" s="181">
        <f t="shared" si="1"/>
        <v>158170.44491921176</v>
      </c>
      <c r="K16" s="13"/>
      <c r="M16" s="11"/>
      <c r="N16" s="454" t="s">
        <v>21</v>
      </c>
      <c r="O16" s="458" t="s">
        <v>19</v>
      </c>
      <c r="P16" s="522">
        <v>12516</v>
      </c>
      <c r="Q16" s="5"/>
      <c r="R16" s="458"/>
      <c r="S16" s="445">
        <f>+'(1.2)_Lvl_Resource_Cost'!$I$20</f>
        <v>12.106425175599828</v>
      </c>
      <c r="T16" s="5"/>
      <c r="U16" s="519">
        <f t="shared" si="0"/>
        <v>151524.01749780745</v>
      </c>
      <c r="V16" s="13"/>
    </row>
    <row r="17" spans="2:23" s="7" customFormat="1">
      <c r="B17" s="11"/>
      <c r="C17" s="22" t="s">
        <v>22</v>
      </c>
      <c r="D17" s="455" t="s">
        <v>24</v>
      </c>
      <c r="E17" s="440">
        <v>42284</v>
      </c>
      <c r="F17" s="12"/>
      <c r="G17" s="17"/>
      <c r="H17" s="368">
        <f>'(3.9)_WCA Wind Weighted Average'!$L$15</f>
        <v>8.5085367809399699</v>
      </c>
      <c r="I17" s="12"/>
      <c r="J17" s="181">
        <f t="shared" si="1"/>
        <v>359774.9692452657</v>
      </c>
      <c r="K17" s="13"/>
      <c r="M17" s="11"/>
      <c r="N17" s="454" t="s">
        <v>22</v>
      </c>
      <c r="O17" s="455" t="s">
        <v>24</v>
      </c>
      <c r="P17" s="523">
        <v>48616</v>
      </c>
      <c r="Q17" s="5"/>
      <c r="R17" s="461"/>
      <c r="S17" s="445">
        <f>'(3.9)_WCA Wind Weighted Average'!$L$15</f>
        <v>8.5085367809399699</v>
      </c>
      <c r="T17" s="459"/>
      <c r="U17" s="519">
        <f t="shared" si="0"/>
        <v>413651.0241421776</v>
      </c>
      <c r="V17" s="13"/>
    </row>
    <row r="18" spans="2:23" s="7" customFormat="1">
      <c r="B18" s="11"/>
      <c r="C18" s="22" t="s">
        <v>242</v>
      </c>
      <c r="D18" s="513" t="s">
        <v>19</v>
      </c>
      <c r="E18" s="440">
        <v>55648</v>
      </c>
      <c r="F18" s="12"/>
      <c r="G18" s="17"/>
      <c r="H18" s="368">
        <f>'(3.9)_WCA Wind Weighted Average'!$L$15</f>
        <v>8.5085367809399699</v>
      </c>
      <c r="I18" s="12"/>
      <c r="J18" s="181">
        <f t="shared" si="1"/>
        <v>473483.05478574743</v>
      </c>
      <c r="K18" s="13"/>
      <c r="M18" s="11"/>
      <c r="N18" s="454" t="s">
        <v>242</v>
      </c>
      <c r="O18" s="458" t="s">
        <v>19</v>
      </c>
      <c r="P18" s="523">
        <v>29430</v>
      </c>
      <c r="Q18" s="5"/>
      <c r="R18" s="458"/>
      <c r="S18" s="445">
        <f>'(3.9)_WCA Wind Weighted Average'!$L$15</f>
        <v>8.5085367809399699</v>
      </c>
      <c r="T18" s="459"/>
      <c r="U18" s="519">
        <f t="shared" si="0"/>
        <v>250406.23746306333</v>
      </c>
      <c r="V18" s="13"/>
    </row>
    <row r="19" spans="2:23" s="7" customFormat="1">
      <c r="B19" s="11"/>
      <c r="C19" s="22" t="s">
        <v>255</v>
      </c>
      <c r="D19" s="513" t="s">
        <v>19</v>
      </c>
      <c r="E19" s="440">
        <v>11844</v>
      </c>
      <c r="F19" s="12"/>
      <c r="G19" s="17"/>
      <c r="H19" s="368">
        <f>'(3.9)_WCA Wind Weighted Average'!$L$15</f>
        <v>8.5085367809399699</v>
      </c>
      <c r="I19" s="12"/>
      <c r="J19" s="181">
        <f t="shared" si="1"/>
        <v>100775.109633453</v>
      </c>
      <c r="K19" s="13"/>
      <c r="M19" s="11"/>
      <c r="N19" s="454" t="s">
        <v>243</v>
      </c>
      <c r="O19" s="461" t="s">
        <v>19</v>
      </c>
      <c r="P19" s="523">
        <v>24118</v>
      </c>
      <c r="Q19" s="5"/>
      <c r="R19" s="461"/>
      <c r="S19" s="445">
        <f>'(3.9)_WCA Wind Weighted Average'!$L$15</f>
        <v>8.5085367809399699</v>
      </c>
      <c r="T19" s="459"/>
      <c r="U19" s="519">
        <f t="shared" si="0"/>
        <v>205208.89008271019</v>
      </c>
      <c r="V19" s="13"/>
    </row>
    <row r="20" spans="2:23" s="7" customFormat="1">
      <c r="B20" s="11"/>
      <c r="C20" s="22" t="s">
        <v>243</v>
      </c>
      <c r="D20" s="513" t="s">
        <v>19</v>
      </c>
      <c r="E20" s="440">
        <v>24143</v>
      </c>
      <c r="F20" s="12"/>
      <c r="G20" s="17"/>
      <c r="H20" s="368">
        <f>'(3.9)_WCA Wind Weighted Average'!$L$15</f>
        <v>8.5085367809399699</v>
      </c>
      <c r="I20" s="12"/>
      <c r="J20" s="181">
        <f t="shared" si="1"/>
        <v>205421.60350223369</v>
      </c>
      <c r="K20" s="13"/>
      <c r="M20" s="11"/>
      <c r="N20" s="514" t="s">
        <v>269</v>
      </c>
      <c r="O20" s="515" t="s">
        <v>19</v>
      </c>
      <c r="P20" s="518">
        <v>26479</v>
      </c>
      <c r="Q20" s="5"/>
      <c r="R20" s="472"/>
      <c r="S20" s="524">
        <f>'(3.9)_WCA Wind Weighted Average'!$L$15</f>
        <v>8.5085367809399699</v>
      </c>
      <c r="T20" s="472"/>
      <c r="U20" s="519">
        <f t="shared" si="0"/>
        <v>225297.54542250946</v>
      </c>
      <c r="V20" s="13"/>
    </row>
    <row r="21" spans="2:23" s="7" customFormat="1">
      <c r="B21" s="11"/>
      <c r="C21" s="22" t="s">
        <v>269</v>
      </c>
      <c r="D21" s="513" t="s">
        <v>19</v>
      </c>
      <c r="E21" s="440">
        <v>49754</v>
      </c>
      <c r="F21" s="12"/>
      <c r="G21" s="17"/>
      <c r="H21" s="368">
        <f>'(3.9)_WCA Wind Weighted Average'!$L$15</f>
        <v>8.5085367809399699</v>
      </c>
      <c r="I21" s="12"/>
      <c r="J21" s="181">
        <f t="shared" si="1"/>
        <v>423333.73899888725</v>
      </c>
      <c r="K21" s="13"/>
      <c r="M21" s="11"/>
      <c r="N21" s="514" t="s">
        <v>245</v>
      </c>
      <c r="O21" s="516" t="s">
        <v>259</v>
      </c>
      <c r="P21" s="518">
        <v>3216</v>
      </c>
      <c r="Q21" s="5"/>
      <c r="R21" s="515"/>
      <c r="S21" s="543"/>
      <c r="T21" s="544"/>
      <c r="U21" s="545"/>
      <c r="V21" s="13"/>
    </row>
    <row r="22" spans="2:23" s="7" customFormat="1">
      <c r="B22" s="11"/>
      <c r="C22" s="22" t="s">
        <v>245</v>
      </c>
      <c r="D22" s="455" t="s">
        <v>23</v>
      </c>
      <c r="E22" s="373">
        <v>9667</v>
      </c>
      <c r="F22" s="12"/>
      <c r="G22" s="17"/>
      <c r="H22" s="538"/>
      <c r="I22" s="539"/>
      <c r="J22" s="540"/>
      <c r="K22" s="13"/>
      <c r="M22" s="11"/>
      <c r="N22" s="514" t="s">
        <v>246</v>
      </c>
      <c r="O22" s="515" t="s">
        <v>19</v>
      </c>
      <c r="P22" s="518">
        <v>1923</v>
      </c>
      <c r="Q22" s="5"/>
      <c r="R22" s="515"/>
      <c r="S22" s="543"/>
      <c r="T22" s="544"/>
      <c r="U22" s="545"/>
      <c r="V22" s="13"/>
    </row>
    <row r="23" spans="2:23" s="7" customFormat="1">
      <c r="B23" s="11"/>
      <c r="C23" s="22" t="s">
        <v>246</v>
      </c>
      <c r="D23" s="455" t="s">
        <v>19</v>
      </c>
      <c r="E23" s="373">
        <v>8846</v>
      </c>
      <c r="F23" s="12"/>
      <c r="G23" s="17"/>
      <c r="H23" s="538"/>
      <c r="I23" s="539"/>
      <c r="J23" s="540"/>
      <c r="K23" s="13"/>
      <c r="M23" s="11"/>
      <c r="N23" s="454"/>
      <c r="O23" s="461"/>
      <c r="P23" s="456"/>
      <c r="Q23" s="5"/>
      <c r="R23" s="458"/>
      <c r="S23" s="445"/>
      <c r="T23" s="459"/>
      <c r="U23" s="463"/>
      <c r="V23" s="13"/>
    </row>
    <row r="24" spans="2:23" s="7" customFormat="1">
      <c r="B24" s="11"/>
      <c r="C24" s="19"/>
      <c r="D24" s="369"/>
      <c r="E24" s="370"/>
      <c r="F24" s="369"/>
      <c r="G24" s="369"/>
      <c r="H24" s="371"/>
      <c r="I24" s="369"/>
      <c r="J24" s="372"/>
      <c r="K24" s="13"/>
      <c r="M24" s="11"/>
      <c r="N24" s="517" t="s">
        <v>25</v>
      </c>
      <c r="O24" s="447"/>
      <c r="P24" s="525">
        <f>+SUM(P13:P22)</f>
        <v>204851</v>
      </c>
      <c r="Q24" s="5"/>
      <c r="R24" s="450"/>
      <c r="S24" s="451"/>
      <c r="T24" s="452"/>
      <c r="U24" s="547"/>
      <c r="V24" s="13"/>
    </row>
    <row r="25" spans="2:23" s="7" customFormat="1">
      <c r="B25" s="11"/>
      <c r="C25" s="439" t="s">
        <v>25</v>
      </c>
      <c r="D25" s="1"/>
      <c r="E25" s="374">
        <f>+SUM(E13:E24)</f>
        <v>276317</v>
      </c>
      <c r="F25" s="29"/>
      <c r="G25" s="29"/>
      <c r="H25" s="375"/>
      <c r="I25" s="28"/>
      <c r="J25" s="546"/>
      <c r="K25" s="13"/>
      <c r="M25" s="11"/>
      <c r="N25" s="495"/>
      <c r="O25" s="498"/>
      <c r="P25" s="443"/>
      <c r="Q25" s="444"/>
      <c r="R25" s="496"/>
      <c r="S25" s="442"/>
      <c r="T25" s="497"/>
      <c r="U25" s="499"/>
      <c r="V25" s="13"/>
    </row>
    <row r="26" spans="2:23" s="7" customFormat="1">
      <c r="B26" s="11"/>
      <c r="C26" s="12"/>
      <c r="D26" s="376"/>
      <c r="E26" s="18"/>
      <c r="F26" s="26"/>
      <c r="G26" s="26"/>
      <c r="H26" s="377"/>
      <c r="I26" s="183"/>
      <c r="J26" s="378"/>
      <c r="K26" s="13"/>
      <c r="M26" s="11"/>
      <c r="N26" s="495"/>
      <c r="O26" s="498"/>
      <c r="P26" s="443"/>
      <c r="Q26" s="444"/>
      <c r="R26" s="496"/>
      <c r="S26" s="442"/>
      <c r="T26" s="497"/>
      <c r="U26" s="499"/>
      <c r="V26" s="13"/>
    </row>
    <row r="27" spans="2:23" s="7" customFormat="1">
      <c r="B27" s="11"/>
      <c r="C27" s="12"/>
      <c r="D27" s="376"/>
      <c r="E27" s="18"/>
      <c r="F27" s="26"/>
      <c r="G27" s="26"/>
      <c r="H27" s="377"/>
      <c r="I27" s="183"/>
      <c r="J27" s="378"/>
      <c r="K27" s="13"/>
      <c r="M27" s="11"/>
      <c r="N27" s="446" t="s">
        <v>256</v>
      </c>
      <c r="O27" s="447"/>
      <c r="P27" s="448"/>
      <c r="Q27" s="5"/>
      <c r="R27" s="450"/>
      <c r="S27" s="451"/>
      <c r="T27" s="452"/>
      <c r="U27" s="453"/>
      <c r="V27" s="512"/>
    </row>
    <row r="28" spans="2:23" s="7" customFormat="1">
      <c r="B28" s="11"/>
      <c r="C28" s="446" t="s">
        <v>256</v>
      </c>
      <c r="D28" s="447"/>
      <c r="E28" s="448"/>
      <c r="F28" s="449"/>
      <c r="G28" s="450"/>
      <c r="H28" s="451"/>
      <c r="I28" s="452"/>
      <c r="J28" s="453"/>
      <c r="K28" s="512"/>
      <c r="M28" s="11"/>
      <c r="N28" s="454" t="s">
        <v>265</v>
      </c>
      <c r="O28" s="455" t="s">
        <v>259</v>
      </c>
      <c r="P28" s="523">
        <v>5022</v>
      </c>
      <c r="Q28" s="5"/>
      <c r="R28" s="458"/>
      <c r="S28" s="538"/>
      <c r="T28" s="541"/>
      <c r="U28" s="542"/>
      <c r="V28" s="512"/>
      <c r="W28" s="244"/>
    </row>
    <row r="29" spans="2:23" s="7" customFormat="1">
      <c r="B29" s="11"/>
      <c r="C29" s="454" t="s">
        <v>258</v>
      </c>
      <c r="D29" s="455" t="s">
        <v>259</v>
      </c>
      <c r="E29" s="463">
        <v>64705</v>
      </c>
      <c r="F29" s="457"/>
      <c r="G29" s="458"/>
      <c r="H29" s="538"/>
      <c r="I29" s="541"/>
      <c r="J29" s="542"/>
      <c r="K29" s="512"/>
      <c r="M29" s="11"/>
      <c r="N29" s="454" t="s">
        <v>266</v>
      </c>
      <c r="O29" s="461" t="s">
        <v>19</v>
      </c>
      <c r="P29" s="523">
        <v>5132</v>
      </c>
      <c r="Q29" s="5"/>
      <c r="R29" s="458"/>
      <c r="S29" s="538"/>
      <c r="T29" s="541"/>
      <c r="U29" s="542"/>
      <c r="V29" s="512"/>
    </row>
    <row r="30" spans="2:23" s="7" customFormat="1">
      <c r="B30" s="11"/>
      <c r="C30" s="454" t="s">
        <v>257</v>
      </c>
      <c r="D30" s="455" t="s">
        <v>19</v>
      </c>
      <c r="E30" s="463">
        <v>26549</v>
      </c>
      <c r="F30" s="457"/>
      <c r="G30" s="458"/>
      <c r="H30" s="538"/>
      <c r="I30" s="541"/>
      <c r="J30" s="542"/>
      <c r="K30" s="512"/>
      <c r="M30" s="11"/>
      <c r="N30" s="454" t="s">
        <v>267</v>
      </c>
      <c r="O30" s="461" t="s">
        <v>19</v>
      </c>
      <c r="P30" s="523">
        <v>4059</v>
      </c>
      <c r="Q30" s="5"/>
      <c r="R30" s="458"/>
      <c r="S30" s="538"/>
      <c r="T30" s="541"/>
      <c r="U30" s="542"/>
      <c r="V30" s="512"/>
    </row>
    <row r="31" spans="2:23" s="7" customFormat="1">
      <c r="B31" s="11"/>
      <c r="C31" s="454"/>
      <c r="D31" s="455"/>
      <c r="E31" s="456"/>
      <c r="F31" s="457"/>
      <c r="G31" s="458"/>
      <c r="H31" s="445"/>
      <c r="I31" s="459"/>
      <c r="J31" s="460"/>
      <c r="K31" s="512"/>
      <c r="M31" s="11"/>
      <c r="N31" s="454" t="s">
        <v>268</v>
      </c>
      <c r="O31" s="461" t="s">
        <v>19</v>
      </c>
      <c r="P31" s="456">
        <v>5022</v>
      </c>
      <c r="Q31" s="5"/>
      <c r="R31" s="458"/>
      <c r="S31" s="538"/>
      <c r="T31" s="541"/>
      <c r="U31" s="542"/>
      <c r="V31" s="512"/>
    </row>
    <row r="32" spans="2:23" s="7" customFormat="1">
      <c r="B32" s="11"/>
      <c r="C32" s="464" t="s">
        <v>260</v>
      </c>
      <c r="D32" s="465"/>
      <c r="E32" s="466">
        <f>E29+E30</f>
        <v>91254</v>
      </c>
      <c r="F32" s="467"/>
      <c r="G32" s="467"/>
      <c r="H32" s="468"/>
      <c r="I32" s="469"/>
      <c r="J32" s="547"/>
      <c r="K32" s="512"/>
      <c r="L32" s="379"/>
      <c r="M32" s="433"/>
      <c r="N32" s="454" t="s">
        <v>258</v>
      </c>
      <c r="O32" s="461" t="s">
        <v>19</v>
      </c>
      <c r="P32" s="456">
        <v>88276</v>
      </c>
      <c r="Q32" s="5"/>
      <c r="R32" s="458"/>
      <c r="S32" s="538"/>
      <c r="T32" s="541"/>
      <c r="U32" s="542"/>
      <c r="V32" s="512"/>
    </row>
    <row r="33" spans="1:24" s="7" customFormat="1">
      <c r="A33" s="379"/>
      <c r="B33" s="11"/>
      <c r="C33" s="5"/>
      <c r="D33" s="5"/>
      <c r="E33" s="5"/>
      <c r="F33" s="5"/>
      <c r="G33" s="5"/>
      <c r="H33" s="5"/>
      <c r="I33" s="5"/>
      <c r="J33" s="5"/>
      <c r="K33" s="512"/>
      <c r="L33" s="382"/>
      <c r="M33" s="434"/>
      <c r="N33" s="454" t="s">
        <v>257</v>
      </c>
      <c r="O33" s="461" t="s">
        <v>19</v>
      </c>
      <c r="P33" s="456">
        <v>53461</v>
      </c>
      <c r="Q33" s="457"/>
      <c r="R33" s="458"/>
      <c r="S33" s="538"/>
      <c r="T33" s="541"/>
      <c r="U33" s="542"/>
      <c r="V33" s="512"/>
    </row>
    <row r="34" spans="1:24">
      <c r="A34" s="384"/>
      <c r="B34" s="11"/>
      <c r="C34" s="500"/>
      <c r="D34" s="504"/>
      <c r="E34" s="505"/>
      <c r="F34" s="505"/>
      <c r="G34" s="504"/>
      <c r="H34" s="506"/>
      <c r="I34" s="501"/>
      <c r="J34" s="503"/>
      <c r="K34" s="13"/>
      <c r="L34" s="384"/>
      <c r="M34" s="434"/>
      <c r="N34" s="454"/>
      <c r="O34" s="461"/>
      <c r="P34" s="462"/>
      <c r="Q34" s="5"/>
      <c r="R34" s="458"/>
      <c r="S34" s="445"/>
      <c r="T34" s="459"/>
      <c r="U34" s="463"/>
      <c r="V34" s="512"/>
    </row>
    <row r="35" spans="1:24">
      <c r="B35" s="11"/>
      <c r="C35" s="473" t="s">
        <v>244</v>
      </c>
      <c r="D35" s="5"/>
      <c r="E35" s="5"/>
      <c r="F35" s="474"/>
      <c r="G35" s="474"/>
      <c r="H35" s="475"/>
      <c r="I35" s="459"/>
      <c r="J35" s="476"/>
      <c r="K35" s="13"/>
      <c r="L35" s="384"/>
      <c r="M35" s="433"/>
      <c r="N35" s="464" t="s">
        <v>260</v>
      </c>
      <c r="O35" s="470"/>
      <c r="P35" s="525">
        <f>SUM(P28:P33)</f>
        <v>160972</v>
      </c>
      <c r="Q35" s="5"/>
      <c r="R35" s="526"/>
      <c r="S35" s="527"/>
      <c r="T35" s="528"/>
      <c r="U35" s="547"/>
      <c r="V35" s="512"/>
    </row>
    <row r="36" spans="1:24">
      <c r="B36" s="11"/>
      <c r="C36" s="454" t="s">
        <v>26</v>
      </c>
      <c r="D36" s="5"/>
      <c r="E36" s="462">
        <v>266</v>
      </c>
      <c r="F36" s="474"/>
      <c r="G36" s="474"/>
      <c r="H36" s="477">
        <f>'(1.2)_Lvl_Resource_Cost'!$S$20</f>
        <v>-40.273516972999651</v>
      </c>
      <c r="I36" s="459"/>
      <c r="J36" s="460">
        <f>+E36*H36</f>
        <v>-10712.755514817907</v>
      </c>
      <c r="K36" s="13"/>
      <c r="L36" s="384"/>
      <c r="M36" s="11"/>
      <c r="N36" s="529"/>
      <c r="O36" s="470"/>
      <c r="P36" s="470"/>
      <c r="Q36" s="5"/>
      <c r="R36" s="470"/>
      <c r="S36" s="470"/>
      <c r="T36" s="470"/>
      <c r="U36" s="470"/>
      <c r="V36" s="512"/>
    </row>
    <row r="37" spans="1:24">
      <c r="B37" s="11"/>
      <c r="C37" s="454" t="s">
        <v>27</v>
      </c>
      <c r="D37" s="478"/>
      <c r="E37" s="479">
        <v>1007</v>
      </c>
      <c r="F37" s="474"/>
      <c r="G37" s="474"/>
      <c r="H37" s="480">
        <f>'(1.2)_Lvl_Resource_Cost'!$M$20</f>
        <v>-45.230021351870242</v>
      </c>
      <c r="I37" s="459"/>
      <c r="J37" s="460">
        <f>+E37*H37</f>
        <v>-45546.631501333337</v>
      </c>
      <c r="K37" s="13"/>
      <c r="L37" s="384"/>
      <c r="M37" s="11"/>
      <c r="N37" s="500"/>
      <c r="O37" s="500"/>
      <c r="P37" s="509"/>
      <c r="Q37" s="444"/>
      <c r="R37" s="500"/>
      <c r="S37" s="510"/>
      <c r="T37" s="509"/>
      <c r="U37" s="502"/>
      <c r="V37" s="13"/>
    </row>
    <row r="38" spans="1:24">
      <c r="B38" s="11"/>
      <c r="C38" s="454" t="s">
        <v>228</v>
      </c>
      <c r="D38" s="481"/>
      <c r="E38" s="471">
        <v>205</v>
      </c>
      <c r="F38" s="474"/>
      <c r="G38" s="474"/>
      <c r="H38" s="480">
        <f>'(1.2)_Lvl_Resource_Cost'!$Q$20</f>
        <v>-66.436339352473794</v>
      </c>
      <c r="I38" s="459"/>
      <c r="J38" s="460">
        <f>+E38*H38</f>
        <v>-13619.449567257128</v>
      </c>
      <c r="K38" s="13"/>
      <c r="L38" s="384"/>
      <c r="M38" s="11"/>
      <c r="N38" s="529" t="s">
        <v>244</v>
      </c>
      <c r="O38" s="5"/>
      <c r="P38" s="457"/>
      <c r="Q38" s="5"/>
      <c r="R38" s="457"/>
      <c r="S38" s="530"/>
      <c r="T38" s="459"/>
      <c r="U38" s="490"/>
      <c r="V38" s="13"/>
    </row>
    <row r="39" spans="1:24">
      <c r="B39" s="11"/>
      <c r="C39" s="454" t="s">
        <v>28</v>
      </c>
      <c r="D39" s="5"/>
      <c r="E39" s="482">
        <v>84</v>
      </c>
      <c r="F39" s="474"/>
      <c r="G39" s="474"/>
      <c r="H39" s="480">
        <f>'(1.2)_Lvl_Resource_Cost'!$O$20</f>
        <v>-65.946274804512385</v>
      </c>
      <c r="I39" s="459"/>
      <c r="J39" s="460">
        <f>+E39*H39</f>
        <v>-5539.4870835790407</v>
      </c>
      <c r="K39" s="13"/>
      <c r="L39" s="384"/>
      <c r="M39" s="11"/>
      <c r="N39" s="454" t="s">
        <v>26</v>
      </c>
      <c r="O39" s="5"/>
      <c r="P39" s="531">
        <v>283</v>
      </c>
      <c r="Q39" s="5"/>
      <c r="R39" s="515"/>
      <c r="S39" s="477">
        <f>'(1.2)_Lvl_Resource_Cost'!S20</f>
        <v>-40.273516972999651</v>
      </c>
      <c r="T39" s="459"/>
      <c r="U39" s="460">
        <f>+P39*S39</f>
        <v>-11397.405303358901</v>
      </c>
      <c r="V39" s="13"/>
      <c r="X39" s="248"/>
    </row>
    <row r="40" spans="1:24">
      <c r="B40" s="11"/>
      <c r="C40" s="454"/>
      <c r="D40" s="5"/>
      <c r="E40" s="483"/>
      <c r="F40" s="474"/>
      <c r="G40" s="474"/>
      <c r="H40" s="475"/>
      <c r="I40" s="459"/>
      <c r="J40" s="484"/>
      <c r="K40" s="13"/>
      <c r="L40" s="384"/>
      <c r="M40" s="11"/>
      <c r="N40" s="454" t="s">
        <v>27</v>
      </c>
      <c r="O40" s="5"/>
      <c r="P40" s="463">
        <v>1208</v>
      </c>
      <c r="Q40" s="5"/>
      <c r="R40" s="461"/>
      <c r="S40" s="480">
        <f>'(1.2)_Lvl_Resource_Cost'!$M$20</f>
        <v>-45.230021351870242</v>
      </c>
      <c r="T40" s="459"/>
      <c r="U40" s="460">
        <f>+P40*S40</f>
        <v>-54637.865793059253</v>
      </c>
      <c r="V40" s="13"/>
    </row>
    <row r="41" spans="1:24">
      <c r="B41" s="11"/>
      <c r="C41" s="485" t="s">
        <v>29</v>
      </c>
      <c r="D41" s="5"/>
      <c r="E41" s="486">
        <f>+SUM(E36:E39)</f>
        <v>1562</v>
      </c>
      <c r="F41" s="474"/>
      <c r="G41" s="474"/>
      <c r="H41" s="459"/>
      <c r="I41" s="459"/>
      <c r="J41" s="487">
        <f>+SUM(J36:J39)</f>
        <v>-75418.323666987417</v>
      </c>
      <c r="K41" s="13"/>
      <c r="L41" s="384"/>
      <c r="M41" s="11"/>
      <c r="N41" s="454" t="s">
        <v>228</v>
      </c>
      <c r="O41" s="5"/>
      <c r="P41" s="532">
        <v>246</v>
      </c>
      <c r="Q41" s="5"/>
      <c r="R41" s="458"/>
      <c r="S41" s="480">
        <f>'(1.2)_Lvl_Resource_Cost'!$Q$20</f>
        <v>-66.436339352473794</v>
      </c>
      <c r="T41" s="459"/>
      <c r="U41" s="460">
        <f>+P41*S41</f>
        <v>-16343.339480708553</v>
      </c>
      <c r="V41" s="13"/>
    </row>
    <row r="42" spans="1:24">
      <c r="B42" s="11"/>
      <c r="C42" s="5"/>
      <c r="D42" s="5"/>
      <c r="E42" s="483"/>
      <c r="F42" s="474"/>
      <c r="G42" s="474"/>
      <c r="H42" s="459"/>
      <c r="I42" s="459"/>
      <c r="J42" s="488"/>
      <c r="K42" s="13"/>
      <c r="L42" s="384"/>
      <c r="M42" s="11"/>
      <c r="N42" s="454" t="s">
        <v>28</v>
      </c>
      <c r="O42" s="5"/>
      <c r="P42" s="532">
        <v>109</v>
      </c>
      <c r="Q42" s="5"/>
      <c r="R42" s="458"/>
      <c r="S42" s="480">
        <f>'(1.2)_Lvl_Resource_Cost'!$O$20</f>
        <v>-65.946274804512385</v>
      </c>
      <c r="T42" s="459"/>
      <c r="U42" s="460">
        <f>+P42*S42</f>
        <v>-7188.1439536918497</v>
      </c>
      <c r="V42" s="13"/>
    </row>
    <row r="43" spans="1:24">
      <c r="B43" s="11"/>
      <c r="C43" s="485" t="s">
        <v>30</v>
      </c>
      <c r="D43" s="5"/>
      <c r="E43" s="486">
        <f>E25+E32+E41</f>
        <v>369133</v>
      </c>
      <c r="F43" s="474"/>
      <c r="G43" s="474"/>
      <c r="H43" s="459"/>
      <c r="I43" s="459"/>
      <c r="J43" s="493">
        <v>2325265.5843411423</v>
      </c>
      <c r="K43" s="13"/>
      <c r="L43" s="384"/>
      <c r="M43" s="11"/>
      <c r="N43" s="454"/>
      <c r="O43" s="5"/>
      <c r="P43" s="483"/>
      <c r="Q43" s="5"/>
      <c r="R43" s="533"/>
      <c r="S43" s="534"/>
      <c r="T43" s="459"/>
      <c r="U43" s="488"/>
      <c r="V43" s="13"/>
    </row>
    <row r="44" spans="1:24">
      <c r="B44" s="11"/>
      <c r="C44" s="5"/>
      <c r="D44" s="5"/>
      <c r="E44" s="489"/>
      <c r="F44" s="474"/>
      <c r="G44" s="474"/>
      <c r="H44" s="459"/>
      <c r="I44" s="459"/>
      <c r="J44" s="490"/>
      <c r="K44" s="13"/>
      <c r="L44" s="384"/>
      <c r="M44" s="381"/>
      <c r="N44" s="485" t="s">
        <v>29</v>
      </c>
      <c r="O44" s="5"/>
      <c r="P44" s="453">
        <f>+SUM(P39:P42)</f>
        <v>1846</v>
      </c>
      <c r="Q44" s="5"/>
      <c r="R44" s="474"/>
      <c r="S44" s="459"/>
      <c r="T44" s="459"/>
      <c r="U44" s="535">
        <f>+SUM(U39:U42)</f>
        <v>-89566.754530818551</v>
      </c>
      <c r="V44" s="13"/>
    </row>
    <row r="45" spans="1:24">
      <c r="B45" s="11"/>
      <c r="C45" s="473" t="s">
        <v>31</v>
      </c>
      <c r="D45" s="473"/>
      <c r="E45" s="491"/>
      <c r="F45" s="492"/>
      <c r="G45" s="492"/>
      <c r="H45" s="452"/>
      <c r="I45" s="452"/>
      <c r="J45" s="493">
        <v>330209153</v>
      </c>
      <c r="K45" s="13"/>
      <c r="L45" s="384"/>
      <c r="M45" s="383"/>
      <c r="N45" s="444"/>
      <c r="O45" s="444"/>
      <c r="P45" s="511"/>
      <c r="Q45" s="507"/>
      <c r="R45" s="507"/>
      <c r="S45" s="497"/>
      <c r="T45" s="497"/>
      <c r="U45" s="508"/>
      <c r="V45" s="13"/>
    </row>
    <row r="46" spans="1:24">
      <c r="B46" s="11"/>
      <c r="C46" s="473"/>
      <c r="D46" s="473"/>
      <c r="E46" s="492"/>
      <c r="F46" s="492"/>
      <c r="G46" s="492"/>
      <c r="H46" s="452"/>
      <c r="I46" s="452"/>
      <c r="J46" s="487"/>
      <c r="K46" s="13"/>
      <c r="L46" s="248"/>
      <c r="M46" s="386"/>
      <c r="N46" s="536" t="s">
        <v>30</v>
      </c>
      <c r="O46" s="5"/>
      <c r="P46" s="453">
        <f>P24+P35+P36+P44</f>
        <v>367669</v>
      </c>
      <c r="Q46" s="453"/>
      <c r="R46" s="474"/>
      <c r="S46" s="459"/>
      <c r="T46" s="459"/>
      <c r="U46" s="487">
        <v>1893965.2112905369</v>
      </c>
      <c r="V46" s="13"/>
      <c r="W46" s="248"/>
    </row>
    <row r="47" spans="1:24">
      <c r="B47" s="11"/>
      <c r="C47" s="473" t="s">
        <v>4</v>
      </c>
      <c r="D47" s="473"/>
      <c r="E47" s="492"/>
      <c r="F47" s="492"/>
      <c r="G47" s="492"/>
      <c r="H47" s="452"/>
      <c r="I47" s="452"/>
      <c r="J47" s="494">
        <f>+J43/J45</f>
        <v>7.0417962773465046E-3</v>
      </c>
      <c r="K47" s="13"/>
      <c r="L47" s="248"/>
      <c r="M47" s="387"/>
      <c r="N47" s="5"/>
      <c r="O47" s="5"/>
      <c r="P47" s="474"/>
      <c r="Q47" s="474"/>
      <c r="R47" s="474"/>
      <c r="S47" s="459"/>
      <c r="T47" s="459"/>
      <c r="U47" s="490"/>
      <c r="V47" s="512"/>
      <c r="W47" s="248"/>
    </row>
    <row r="48" spans="1:24">
      <c r="B48" s="11"/>
      <c r="C48" s="1"/>
      <c r="D48" s="1"/>
      <c r="E48" s="29"/>
      <c r="F48" s="29"/>
      <c r="G48" s="29"/>
      <c r="H48" s="185"/>
      <c r="I48" s="185"/>
      <c r="J48" s="380"/>
      <c r="K48" s="13"/>
      <c r="M48" s="386"/>
      <c r="N48" s="473" t="s">
        <v>31</v>
      </c>
      <c r="O48" s="473"/>
      <c r="P48" s="492"/>
      <c r="Q48" s="492"/>
      <c r="R48" s="492"/>
      <c r="S48" s="452"/>
      <c r="T48" s="452"/>
      <c r="U48" s="493">
        <v>330209153</v>
      </c>
      <c r="V48" s="512"/>
      <c r="W48" s="248"/>
    </row>
    <row r="49" spans="1:23">
      <c r="B49" s="11"/>
      <c r="C49" s="180" t="s">
        <v>247</v>
      </c>
      <c r="D49" s="12"/>
      <c r="E49" s="26"/>
      <c r="F49" s="26"/>
      <c r="G49" s="26"/>
      <c r="H49" s="183"/>
      <c r="I49" s="183"/>
      <c r="J49" s="186"/>
      <c r="K49" s="13"/>
      <c r="L49" s="248"/>
      <c r="M49" s="386"/>
      <c r="N49" s="473"/>
      <c r="O49" s="473"/>
      <c r="P49" s="492"/>
      <c r="Q49" s="492"/>
      <c r="R49" s="492"/>
      <c r="S49" s="452"/>
      <c r="T49" s="452"/>
      <c r="U49" s="487"/>
      <c r="V49" s="512"/>
      <c r="W49" s="248"/>
    </row>
    <row r="50" spans="1:23">
      <c r="B50" s="11"/>
      <c r="C50" s="180" t="s">
        <v>272</v>
      </c>
      <c r="E50" s="441"/>
      <c r="F50" s="441"/>
      <c r="G50" s="441"/>
      <c r="H50" s="441"/>
      <c r="I50" s="441"/>
      <c r="J50" s="441"/>
      <c r="K50" s="13"/>
      <c r="L50" s="248"/>
      <c r="M50" s="386"/>
      <c r="N50" s="473" t="s">
        <v>4</v>
      </c>
      <c r="O50" s="473"/>
      <c r="P50" s="492"/>
      <c r="Q50" s="492"/>
      <c r="R50" s="492"/>
      <c r="S50" s="452"/>
      <c r="T50" s="452"/>
      <c r="U50" s="494">
        <f>+U46/U48</f>
        <v>5.73565327939452E-3</v>
      </c>
      <c r="V50" s="537"/>
      <c r="W50" s="248"/>
    </row>
    <row r="51" spans="1:23">
      <c r="B51" s="31"/>
      <c r="C51" s="438"/>
      <c r="D51" s="32"/>
      <c r="E51" s="27"/>
      <c r="F51" s="27"/>
      <c r="G51" s="27"/>
      <c r="H51" s="435"/>
      <c r="I51" s="435"/>
      <c r="J51" s="184"/>
      <c r="K51" s="33"/>
      <c r="M51" s="386"/>
      <c r="N51" s="473"/>
      <c r="O51" s="473"/>
      <c r="P51" s="492"/>
      <c r="Q51" s="492"/>
      <c r="R51" s="492"/>
      <c r="S51" s="452"/>
      <c r="T51" s="452"/>
      <c r="U51" s="494"/>
      <c r="V51" s="537"/>
    </row>
    <row r="52" spans="1:23">
      <c r="M52" s="386"/>
      <c r="N52" s="180" t="s">
        <v>247</v>
      </c>
      <c r="O52" s="12"/>
      <c r="P52" s="26"/>
      <c r="Q52" s="26"/>
      <c r="R52" s="26"/>
      <c r="S52" s="183"/>
      <c r="T52" s="183"/>
      <c r="U52" s="186"/>
      <c r="V52" s="388"/>
    </row>
    <row r="53" spans="1:23">
      <c r="M53" s="386"/>
      <c r="N53" s="180" t="s">
        <v>272</v>
      </c>
      <c r="O53" s="12"/>
      <c r="P53" s="26"/>
      <c r="Q53" s="26"/>
      <c r="R53" s="26"/>
      <c r="S53" s="183"/>
      <c r="T53" s="183"/>
      <c r="U53" s="186"/>
      <c r="V53" s="388"/>
    </row>
    <row r="54" spans="1:23">
      <c r="M54" s="437"/>
      <c r="N54" s="438"/>
      <c r="O54" s="32"/>
      <c r="P54" s="27"/>
      <c r="Q54" s="27"/>
      <c r="R54" s="27"/>
      <c r="S54" s="435"/>
      <c r="T54" s="435"/>
      <c r="U54" s="184"/>
      <c r="V54" s="385"/>
    </row>
    <row r="55" spans="1:23" s="248" customForma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</sheetData>
  <pageMargins left="0.25" right="0.25" top="0.2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Normal="100" workbookViewId="0">
      <selection activeCell="E20" sqref="E20"/>
    </sheetView>
  </sheetViews>
  <sheetFormatPr defaultRowHeight="11.25"/>
  <cols>
    <col min="1" max="1" width="2.83203125" style="34" customWidth="1"/>
    <col min="2" max="2" width="2" style="34" customWidth="1"/>
    <col min="3" max="3" width="37.33203125" style="34" customWidth="1"/>
    <col min="4" max="4" width="2" style="34" customWidth="1"/>
    <col min="5" max="5" width="16.6640625" style="34" customWidth="1"/>
    <col min="6" max="6" width="2" style="34" customWidth="1"/>
    <col min="7" max="7" width="16.6640625" style="34" customWidth="1"/>
    <col min="8" max="8" width="2" style="34" customWidth="1"/>
    <col min="9" max="9" width="16.6640625" style="34" customWidth="1"/>
    <col min="10" max="10" width="2" style="34" customWidth="1"/>
    <col min="11" max="11" width="16.6640625" style="34" customWidth="1"/>
    <col min="12" max="12" width="2" style="34" customWidth="1"/>
    <col min="13" max="13" width="16.6640625" style="34" customWidth="1"/>
    <col min="14" max="14" width="2" style="34" customWidth="1"/>
    <col min="15" max="15" width="16.6640625" style="34" customWidth="1"/>
    <col min="16" max="16" width="2" style="34" customWidth="1"/>
    <col min="17" max="17" width="16.6640625" style="34" customWidth="1"/>
    <col min="18" max="18" width="2" style="34" customWidth="1"/>
    <col min="19" max="19" width="16.6640625" style="34" customWidth="1"/>
    <col min="20" max="21" width="2" style="34" customWidth="1"/>
    <col min="22" max="16384" width="9.33203125" style="34"/>
  </cols>
  <sheetData>
    <row r="1" spans="1:21" s="6" customFormat="1">
      <c r="A1" s="6" t="str">
        <f>+'Workpaper Index'!C3</f>
        <v>PACIFICORP</v>
      </c>
    </row>
    <row r="2" spans="1:21" s="6" customFormat="1">
      <c r="A2" s="6" t="str">
        <f>+'Workpaper Index'!C4</f>
        <v xml:space="preserve">WASHINGTON AUGUST 23, 2019 RENEWABLES REPORT </v>
      </c>
    </row>
    <row r="3" spans="1:21" s="6" customFormat="1">
      <c r="A3" s="6" t="str">
        <f>+'Workpaper Index'!C5</f>
        <v>EVALUATION OF RENEWABLE RESOURCE COST</v>
      </c>
    </row>
    <row r="4" spans="1:21" s="6" customFormat="1"/>
    <row r="5" spans="1:21" s="6" customFormat="1">
      <c r="A5" s="6" t="str">
        <f>+'Workpaper Index'!C11&amp;" - "&amp;'Workpaper Index'!D11</f>
        <v>1.2 - LEVELIZED RESOURCE COST SUMMARY</v>
      </c>
    </row>
    <row r="6" spans="1:21" s="6" customFormat="1"/>
    <row r="8" spans="1:21" s="7" customFormat="1">
      <c r="B8" s="8" t="s">
        <v>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</row>
    <row r="9" spans="1:21" s="7" customFormat="1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</row>
    <row r="10" spans="1:21" s="7" customFormat="1">
      <c r="B10" s="11"/>
      <c r="C10" s="12"/>
      <c r="D10" s="12"/>
      <c r="E10" s="35" t="s">
        <v>33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13"/>
    </row>
    <row r="11" spans="1:21" s="7" customFormat="1">
      <c r="B11" s="11"/>
      <c r="C11" s="12"/>
      <c r="D11" s="5"/>
      <c r="E11" s="36" t="s">
        <v>17</v>
      </c>
      <c r="F11" s="37"/>
      <c r="G11" s="36" t="s">
        <v>34</v>
      </c>
      <c r="H11" s="37"/>
      <c r="I11" s="36" t="s">
        <v>21</v>
      </c>
      <c r="J11" s="37"/>
      <c r="K11" s="36" t="s">
        <v>18</v>
      </c>
      <c r="L11" s="37"/>
      <c r="M11" s="36" t="s">
        <v>165</v>
      </c>
      <c r="N11" s="37"/>
      <c r="O11" s="36" t="s">
        <v>166</v>
      </c>
      <c r="P11" s="37"/>
      <c r="Q11" s="36" t="s">
        <v>226</v>
      </c>
      <c r="R11" s="37"/>
      <c r="S11" s="36" t="s">
        <v>221</v>
      </c>
      <c r="T11" s="37"/>
      <c r="U11" s="13"/>
    </row>
    <row r="12" spans="1:21" s="7" customFormat="1">
      <c r="B12" s="11"/>
      <c r="C12" s="12"/>
      <c r="D12" s="17"/>
      <c r="E12" s="18" t="str">
        <f>"(3.1)"</f>
        <v>(3.1)</v>
      </c>
      <c r="F12" s="18"/>
      <c r="G12" s="18" t="str">
        <f>"(3.2)"</f>
        <v>(3.2)</v>
      </c>
      <c r="H12" s="18"/>
      <c r="I12" s="18" t="str">
        <f>"(3.3)"</f>
        <v>(3.3)</v>
      </c>
      <c r="J12" s="18"/>
      <c r="K12" s="18" t="str">
        <f>"(3.4)"</f>
        <v>(3.4)</v>
      </c>
      <c r="L12" s="18"/>
      <c r="M12" s="18" t="str">
        <f>"(3.5)"</f>
        <v>(3.5)</v>
      </c>
      <c r="N12" s="18"/>
      <c r="O12" s="18" t="str">
        <f>"(3.6)"</f>
        <v>(3.6)</v>
      </c>
      <c r="P12" s="18"/>
      <c r="Q12" s="18" t="str">
        <f>"(3.7)"</f>
        <v>(3.7)</v>
      </c>
      <c r="R12" s="18"/>
      <c r="S12" s="18" t="str">
        <f>"(3.8)"</f>
        <v>(3.8)</v>
      </c>
      <c r="T12" s="18"/>
      <c r="U12" s="13"/>
    </row>
    <row r="13" spans="1:21" s="7" customFormat="1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/>
    </row>
    <row r="14" spans="1:21" s="7" customFormat="1">
      <c r="B14" s="11"/>
      <c r="C14" s="12" t="s">
        <v>35</v>
      </c>
      <c r="D14" s="12"/>
      <c r="E14" s="24">
        <f>+'(3.1)_Goodnoe_Hills'!$S$54</f>
        <v>23998.180081300361</v>
      </c>
      <c r="F14" s="12"/>
      <c r="G14" s="24">
        <f>'(3.2)_Marengo'!$S$54</f>
        <v>31977.637511687299</v>
      </c>
      <c r="H14" s="12"/>
      <c r="I14" s="24">
        <f>'(3.3)_Marengo 2'!$S$54</f>
        <v>16471.141688628581</v>
      </c>
      <c r="J14" s="12"/>
      <c r="K14" s="24">
        <f>'(3.4)_Leaning Juniper'!$S$54</f>
        <v>23505.013714272351</v>
      </c>
      <c r="L14" s="12"/>
      <c r="M14" s="24">
        <f>'(3.5)_Lemolo 1 (2003IRP)'!$S$66</f>
        <v>51.351375492717658</v>
      </c>
      <c r="N14" s="12"/>
      <c r="O14" s="24">
        <f>'(3.6)_Lemolo 2 (2008 IRP)'!$S$58</f>
        <v>886.73874951453615</v>
      </c>
      <c r="P14" s="12"/>
      <c r="Q14" s="24">
        <f>'(3.7)_JC Boyle (2004 IRP)'!$S$47</f>
        <v>113.44495737553754</v>
      </c>
      <c r="R14" s="12"/>
      <c r="S14" s="24">
        <f>'(3.8)_Prospect 2 (2003 IRP)'!$S$66</f>
        <v>39.061852998687137</v>
      </c>
      <c r="T14" s="12"/>
      <c r="U14" s="13"/>
    </row>
    <row r="15" spans="1:21" s="7" customFormat="1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/>
    </row>
    <row r="16" spans="1:21" s="7" customFormat="1">
      <c r="B16" s="11"/>
      <c r="C16" s="12" t="s">
        <v>36</v>
      </c>
      <c r="D16" s="12"/>
      <c r="E16" s="24">
        <f>+'(3.1)_Goodnoe_Hills'!$U$54</f>
        <v>20223.968248878362</v>
      </c>
      <c r="F16" s="12"/>
      <c r="G16" s="24">
        <f>'(3.2)_Marengo'!$U$54</f>
        <v>29431.93571696318</v>
      </c>
      <c r="H16" s="12"/>
      <c r="I16" s="24">
        <f>'(3.3)_Marengo 2'!$U$54</f>
        <v>14202.225403499042</v>
      </c>
      <c r="J16" s="12"/>
      <c r="K16" s="24">
        <f>'(3.4)_Leaning Juniper'!$U$54</f>
        <v>22409.681464178528</v>
      </c>
      <c r="L16" s="12"/>
      <c r="M16" s="24">
        <f>'(3.5)_Lemolo 1 (2003IRP)'!$U$66</f>
        <v>645.67385605629227</v>
      </c>
      <c r="N16" s="12"/>
      <c r="O16" s="24">
        <f>'(3.6)_Lemolo 2 (2008 IRP)'!$U$58</f>
        <v>2021.1465687017583</v>
      </c>
      <c r="P16" s="12"/>
      <c r="Q16" s="24">
        <f>'(3.7)_JC Boyle (2004 IRP)'!$U$47</f>
        <v>2336.8699264847774</v>
      </c>
      <c r="R16" s="12"/>
      <c r="S16" s="24">
        <f>'(3.8)_Prospect 2 (2003 IRP)'!$U$66</f>
        <v>411.16375667828771</v>
      </c>
      <c r="T16" s="12"/>
      <c r="U16" s="13"/>
    </row>
    <row r="17" spans="2:21" s="7" customFormat="1">
      <c r="B17" s="11"/>
      <c r="C17" s="12"/>
      <c r="D17" s="12"/>
      <c r="E17" s="38" t="s">
        <v>37</v>
      </c>
      <c r="F17" s="12"/>
      <c r="G17" s="38" t="s">
        <v>37</v>
      </c>
      <c r="H17" s="12"/>
      <c r="I17" s="38" t="s">
        <v>37</v>
      </c>
      <c r="J17" s="12"/>
      <c r="K17" s="38" t="s">
        <v>37</v>
      </c>
      <c r="L17" s="12"/>
      <c r="M17" s="38" t="s">
        <v>37</v>
      </c>
      <c r="N17" s="12"/>
      <c r="O17" s="38" t="s">
        <v>37</v>
      </c>
      <c r="P17" s="12"/>
      <c r="Q17" s="38" t="s">
        <v>37</v>
      </c>
      <c r="R17" s="12"/>
      <c r="S17" s="38" t="s">
        <v>37</v>
      </c>
      <c r="T17" s="12"/>
      <c r="U17" s="13"/>
    </row>
    <row r="18" spans="2:21" s="7" customFormat="1">
      <c r="B18" s="11"/>
      <c r="C18" s="12" t="s">
        <v>38</v>
      </c>
      <c r="D18" s="12"/>
      <c r="E18" s="24">
        <f>+'(3.1)_Goodnoe_Hills'!$W$54</f>
        <v>3774.2118324219955</v>
      </c>
      <c r="F18" s="12"/>
      <c r="G18" s="187">
        <f>'(3.2)_Marengo'!$W$54</f>
        <v>2545.7017947241116</v>
      </c>
      <c r="H18" s="182"/>
      <c r="I18" s="187">
        <f>'(3.3)_Marengo 2'!$W$54</f>
        <v>2268.9162851295418</v>
      </c>
      <c r="J18" s="39"/>
      <c r="K18" s="187">
        <f>'(3.4)_Leaning Juniper'!$W$54</f>
        <v>1095.3322500938236</v>
      </c>
      <c r="L18" s="39"/>
      <c r="M18" s="187">
        <f>'(3.5)_Lemolo 1 (2003IRP)'!$W$66</f>
        <v>-594.32248056357446</v>
      </c>
      <c r="N18" s="39"/>
      <c r="O18" s="187">
        <f>'(3.6)_Lemolo 2 (2008 IRP)'!$W$58</f>
        <v>-1134.4078191872218</v>
      </c>
      <c r="P18" s="39"/>
      <c r="Q18" s="24">
        <f>'(3.7)_JC Boyle (2004 IRP)'!$W$47</f>
        <v>-2223.42496910924</v>
      </c>
      <c r="R18" s="39"/>
      <c r="S18" s="24">
        <f>'(3.8)_Prospect 2 (2003 IRP)'!$W$66</f>
        <v>-372.10190367960053</v>
      </c>
      <c r="T18" s="39"/>
      <c r="U18" s="13"/>
    </row>
    <row r="19" spans="2:21" s="7" customFormat="1">
      <c r="B19" s="11"/>
      <c r="C19" s="40"/>
      <c r="D19" s="12"/>
      <c r="E19" s="12"/>
      <c r="F19" s="12"/>
      <c r="G19" s="182"/>
      <c r="H19" s="182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13"/>
    </row>
    <row r="20" spans="2:21" s="7" customFormat="1">
      <c r="B20" s="11"/>
      <c r="C20" s="2" t="s">
        <v>39</v>
      </c>
      <c r="D20" s="12"/>
      <c r="E20" s="26">
        <f>+'(3.1)_Goodnoe_Hills'!$Y$54</f>
        <v>14.131675601963146</v>
      </c>
      <c r="F20" s="26"/>
      <c r="G20" s="183">
        <f>'(3.2)_Marengo'!$Y$54</f>
        <v>6.4704515517312311</v>
      </c>
      <c r="H20" s="183"/>
      <c r="I20" s="183">
        <f>'(3.3)_Marengo 2'!$Y$54</f>
        <v>12.106425175599828</v>
      </c>
      <c r="J20" s="41"/>
      <c r="K20" s="183">
        <f>'(3.4)_Leaning Juniper'!$Y$54</f>
        <v>3.5839563567065311</v>
      </c>
      <c r="L20" s="41"/>
      <c r="M20" s="183">
        <f>'(3.5)_Lemolo 1 (2003IRP)'!$Y$66</f>
        <v>-45.230021351870242</v>
      </c>
      <c r="N20" s="41"/>
      <c r="O20" s="183">
        <f>'(3.6)_Lemolo 2 (2008 IRP)'!$Y$58</f>
        <v>-65.946274804512385</v>
      </c>
      <c r="P20" s="41"/>
      <c r="Q20" s="26">
        <f>'(3.7)_JC Boyle (2004 IRP)'!$Y$47</f>
        <v>-66.436339352473794</v>
      </c>
      <c r="R20" s="41"/>
      <c r="S20" s="26">
        <f>'(3.8)_Prospect 2 (2003 IRP)'!$Y$66</f>
        <v>-40.273516972999651</v>
      </c>
      <c r="T20" s="41"/>
      <c r="U20" s="13"/>
    </row>
    <row r="21" spans="2:21" s="7" customFormat="1">
      <c r="B21" s="11"/>
      <c r="C21" s="2"/>
      <c r="D21" s="12"/>
      <c r="E21" s="26"/>
      <c r="F21" s="26"/>
      <c r="G21" s="183"/>
      <c r="H21" s="183"/>
      <c r="I21" s="183"/>
      <c r="J21" s="41"/>
      <c r="K21" s="183"/>
      <c r="L21" s="41"/>
      <c r="M21" s="183"/>
      <c r="N21" s="41"/>
      <c r="O21" s="183"/>
      <c r="P21" s="41"/>
      <c r="Q21" s="183"/>
      <c r="R21" s="41"/>
      <c r="S21" s="183"/>
      <c r="T21" s="41"/>
      <c r="U21" s="13"/>
    </row>
    <row r="22" spans="2:21" s="7" customForma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/>
    </row>
  </sheetData>
  <pageMargins left="0.25" right="0.25" top="0.2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topLeftCell="A40" zoomScale="80" zoomScaleNormal="80" workbookViewId="0">
      <selection activeCell="K55" sqref="K55"/>
    </sheetView>
  </sheetViews>
  <sheetFormatPr defaultRowHeight="11.25"/>
  <cols>
    <col min="1" max="1" width="14.5" style="34" customWidth="1"/>
    <col min="2" max="2" width="2.5" style="34" customWidth="1"/>
    <col min="3" max="3" width="27.83203125" style="34" customWidth="1"/>
    <col min="4" max="4" width="15.33203125" style="34" customWidth="1"/>
    <col min="5" max="7" width="13.1640625" style="34" customWidth="1"/>
    <col min="8" max="8" width="17.33203125" style="34" customWidth="1"/>
    <col min="9" max="15" width="13.1640625" style="34" customWidth="1"/>
    <col min="16" max="16" width="22.33203125" style="34" customWidth="1"/>
    <col min="17" max="17" width="11.6640625" style="34" customWidth="1"/>
    <col min="18" max="18" width="13" style="34" customWidth="1"/>
    <col min="19" max="19" width="10.33203125" style="34" customWidth="1"/>
    <col min="20" max="20" width="12.5" style="34" customWidth="1"/>
    <col min="21" max="21" width="9.33203125" style="34"/>
    <col min="22" max="22" width="11.1640625" style="34" customWidth="1"/>
    <col min="23" max="23" width="9.33203125" style="34"/>
    <col min="24" max="24" width="11.1640625" style="34" customWidth="1"/>
    <col min="25" max="25" width="9.33203125" style="34"/>
    <col min="26" max="26" width="12.83203125" style="34" bestFit="1" customWidth="1"/>
    <col min="27" max="27" width="11.1640625" style="34" customWidth="1"/>
    <col min="28" max="16384" width="9.33203125" style="34"/>
  </cols>
  <sheetData>
    <row r="1" spans="1:10" s="6" customFormat="1">
      <c r="A1" s="6" t="s">
        <v>0</v>
      </c>
    </row>
    <row r="2" spans="1:10" s="6" customFormat="1">
      <c r="A2" s="6" t="s">
        <v>162</v>
      </c>
    </row>
    <row r="3" spans="1:10" s="6" customFormat="1">
      <c r="A3" s="6" t="s">
        <v>1</v>
      </c>
    </row>
    <row r="4" spans="1:10" s="6" customFormat="1"/>
    <row r="5" spans="1:10" s="6" customFormat="1">
      <c r="A5" s="6" t="s">
        <v>154</v>
      </c>
    </row>
    <row r="6" spans="1:10" s="6" customFormat="1">
      <c r="H6" s="42"/>
    </row>
    <row r="7" spans="1:10">
      <c r="H7" s="43"/>
    </row>
    <row r="8" spans="1:10" s="7" customFormat="1">
      <c r="B8" s="8" t="s">
        <v>7</v>
      </c>
      <c r="C8" s="9"/>
      <c r="D8" s="9"/>
      <c r="E8" s="9"/>
      <c r="F8" s="9"/>
      <c r="G8" s="9"/>
      <c r="H8" s="9"/>
      <c r="I8" s="9"/>
      <c r="J8" s="10"/>
    </row>
    <row r="9" spans="1:10" s="7" customFormat="1">
      <c r="B9" s="11"/>
      <c r="C9" s="12"/>
      <c r="D9" s="12"/>
      <c r="E9" s="12"/>
      <c r="F9" s="12"/>
      <c r="G9" s="12"/>
      <c r="H9" s="12"/>
      <c r="I9" s="12"/>
      <c r="J9" s="13"/>
    </row>
    <row r="10" spans="1:10" s="7" customFormat="1" ht="22.5">
      <c r="B10" s="11"/>
      <c r="C10" s="5" t="s">
        <v>40</v>
      </c>
      <c r="D10" s="44" t="s">
        <v>41</v>
      </c>
      <c r="E10" s="15" t="s">
        <v>42</v>
      </c>
      <c r="F10" s="15" t="s">
        <v>43</v>
      </c>
      <c r="G10" s="15" t="s">
        <v>44</v>
      </c>
      <c r="H10" s="15" t="s">
        <v>45</v>
      </c>
      <c r="I10" s="15" t="s">
        <v>46</v>
      </c>
      <c r="J10" s="45" t="s">
        <v>47</v>
      </c>
    </row>
    <row r="11" spans="1:10" s="7" customFormat="1">
      <c r="B11" s="11"/>
      <c r="C11" s="46" t="s">
        <v>48</v>
      </c>
      <c r="D11" s="46" t="s">
        <v>48</v>
      </c>
      <c r="E11" s="46" t="s">
        <v>48</v>
      </c>
      <c r="F11" s="46" t="s">
        <v>48</v>
      </c>
      <c r="G11" s="46" t="s">
        <v>48</v>
      </c>
      <c r="H11" s="46" t="s">
        <v>48</v>
      </c>
      <c r="I11" s="46" t="s">
        <v>48</v>
      </c>
      <c r="J11" s="47" t="s">
        <v>48</v>
      </c>
    </row>
    <row r="12" spans="1:10" s="7" customFormat="1">
      <c r="B12" s="11"/>
      <c r="C12" s="5" t="s">
        <v>17</v>
      </c>
      <c r="D12" s="48">
        <v>94</v>
      </c>
      <c r="E12" s="25">
        <v>0.32430715621392298</v>
      </c>
      <c r="F12" s="39">
        <v>2008</v>
      </c>
      <c r="G12" s="39">
        <v>25</v>
      </c>
      <c r="H12" s="49">
        <v>192.46011054334076</v>
      </c>
      <c r="I12" s="50">
        <v>14.384830645825609</v>
      </c>
      <c r="J12" s="51">
        <v>5.3332720597611454</v>
      </c>
    </row>
    <row r="13" spans="1:10" s="7" customFormat="1">
      <c r="B13" s="11"/>
      <c r="C13" s="5" t="s">
        <v>34</v>
      </c>
      <c r="D13" s="48">
        <v>140.4</v>
      </c>
      <c r="E13" s="25">
        <v>0.3198868874996067</v>
      </c>
      <c r="F13" s="39">
        <v>2007</v>
      </c>
      <c r="G13" s="39">
        <v>25</v>
      </c>
      <c r="H13" s="49">
        <v>181.53437359001532</v>
      </c>
      <c r="I13" s="50">
        <v>16.892584357750504</v>
      </c>
      <c r="J13" s="51"/>
    </row>
    <row r="14" spans="1:10" s="7" customFormat="1">
      <c r="B14" s="11"/>
      <c r="C14" s="5" t="s">
        <v>21</v>
      </c>
      <c r="D14" s="48">
        <v>70.2</v>
      </c>
      <c r="E14" s="25">
        <v>0.30471886820463195</v>
      </c>
      <c r="F14" s="39">
        <v>2008</v>
      </c>
      <c r="G14" s="39">
        <v>25</v>
      </c>
      <c r="H14" s="49">
        <v>180.81600157565364</v>
      </c>
      <c r="I14" s="50">
        <v>19.612798811178333</v>
      </c>
      <c r="J14" s="51"/>
    </row>
    <row r="15" spans="1:10" s="7" customFormat="1">
      <c r="B15" s="11"/>
      <c r="C15" s="5" t="s">
        <v>18</v>
      </c>
      <c r="D15" s="48">
        <v>100.5</v>
      </c>
      <c r="E15" s="25">
        <v>0.34697866466618793</v>
      </c>
      <c r="F15" s="39">
        <v>2006</v>
      </c>
      <c r="G15" s="39">
        <v>25</v>
      </c>
      <c r="H15" s="49">
        <v>187.53573564552991</v>
      </c>
      <c r="I15" s="50">
        <v>12.630108405506199</v>
      </c>
      <c r="J15" s="51">
        <v>3.0220510108288803</v>
      </c>
    </row>
    <row r="16" spans="1:10" s="7" customFormat="1">
      <c r="B16" s="11"/>
      <c r="C16" s="5" t="s">
        <v>222</v>
      </c>
      <c r="D16" s="48">
        <f>'(3.5)_Lemolo 1 (2003IRP)'!G11</f>
        <v>3.8999999999999986</v>
      </c>
      <c r="E16" s="25">
        <f>'(3.5)_Lemolo 1 (2003IRP)'!G12</f>
        <v>0.38461538461538475</v>
      </c>
      <c r="F16" s="39">
        <f>'(3.5)_Lemolo 1 (2003IRP)'!G13</f>
        <v>2003</v>
      </c>
      <c r="G16" s="39">
        <f>'(3.5)_Lemolo 1 (2003IRP)'!G14</f>
        <v>35</v>
      </c>
      <c r="H16" s="49">
        <f>'(3.5)_Lemolo 1 (2003IRP)'!G15</f>
        <v>155.6371642434062</v>
      </c>
      <c r="I16" s="50"/>
      <c r="J16" s="51"/>
    </row>
    <row r="17" spans="1:32" s="7" customFormat="1">
      <c r="B17" s="11"/>
      <c r="C17" s="5" t="s">
        <v>223</v>
      </c>
      <c r="D17" s="48">
        <f>'(3.6)_Lemolo 2 (2008 IRP)'!G11</f>
        <v>4.2</v>
      </c>
      <c r="E17" s="25">
        <f>'(3.6)_Lemolo 2 (2008 IRP)'!G12</f>
        <v>0.4675472928897586</v>
      </c>
      <c r="F17" s="431">
        <f>'(3.6)_Lemolo 2 (2008 IRP)'!G13</f>
        <v>2009</v>
      </c>
      <c r="G17" s="431">
        <f>'(3.6)_Lemolo 2 (2008 IRP)'!G14</f>
        <v>29</v>
      </c>
      <c r="H17" s="49">
        <f>'(3.6)_Lemolo 2 (2008 IRP)'!G15</f>
        <v>171.69496414373259</v>
      </c>
      <c r="I17" s="50"/>
      <c r="J17" s="51"/>
    </row>
    <row r="18" spans="1:32" s="7" customFormat="1">
      <c r="B18" s="11"/>
      <c r="C18" s="5" t="s">
        <v>226</v>
      </c>
      <c r="D18" s="48">
        <f>'(3.7)_JC Boyle (2004 IRP)'!G11</f>
        <v>22.9</v>
      </c>
      <c r="E18" s="25">
        <f>'(3.7)_JC Boyle (2004 IRP)'!G12</f>
        <v>0.35049851283984751</v>
      </c>
      <c r="F18" s="39">
        <f>'(3.7)_JC Boyle (2004 IRP)'!G13</f>
        <v>2005</v>
      </c>
      <c r="G18" s="39">
        <f>'(3.7)_JC Boyle (2004 IRP)'!G14</f>
        <v>14</v>
      </c>
      <c r="H18" s="49">
        <f>'(3.7)_JC Boyle (2004 IRP)'!G15</f>
        <v>45.891821857092474</v>
      </c>
      <c r="I18" s="50"/>
      <c r="J18" s="51"/>
    </row>
    <row r="19" spans="1:32" s="7" customFormat="1">
      <c r="B19" s="31"/>
      <c r="C19" s="32"/>
      <c r="D19" s="32"/>
      <c r="E19" s="32"/>
      <c r="F19" s="32"/>
      <c r="G19" s="32"/>
      <c r="H19" s="32"/>
      <c r="I19" s="32"/>
      <c r="J19" s="33"/>
    </row>
    <row r="20" spans="1:32" s="7" customFormat="1"/>
    <row r="23" spans="1:32" s="52" customFormat="1" ht="12.75">
      <c r="B23" s="53" t="s">
        <v>177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</row>
    <row r="24" spans="1:32" s="52" customFormat="1" ht="12.75">
      <c r="B24" s="55"/>
      <c r="C24" s="56" t="s">
        <v>49</v>
      </c>
      <c r="D24" s="57"/>
      <c r="E24" s="57"/>
      <c r="F24" s="57"/>
      <c r="G24" s="58"/>
      <c r="H24" s="58"/>
      <c r="I24" s="58"/>
      <c r="J24" s="59" t="s">
        <v>50</v>
      </c>
      <c r="K24" s="60"/>
      <c r="L24" s="61" t="s">
        <v>51</v>
      </c>
      <c r="M24" s="62"/>
      <c r="N24" s="63"/>
      <c r="O24" s="64" t="s">
        <v>52</v>
      </c>
      <c r="P24" s="65"/>
      <c r="Q24" s="66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</row>
    <row r="25" spans="1:32" s="52" customFormat="1" ht="12.75">
      <c r="B25" s="67"/>
      <c r="C25" s="68"/>
      <c r="D25" s="68"/>
      <c r="E25" s="68"/>
      <c r="F25" s="68"/>
      <c r="G25" s="68"/>
      <c r="H25" s="69"/>
      <c r="I25" s="68"/>
      <c r="J25" s="70"/>
      <c r="K25" s="71"/>
      <c r="L25" s="72" t="s">
        <v>53</v>
      </c>
      <c r="M25" s="73"/>
      <c r="N25" s="74"/>
      <c r="O25" s="75"/>
      <c r="P25" s="76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</row>
    <row r="26" spans="1:32" s="52" customFormat="1" ht="48" customHeight="1">
      <c r="B26" s="77" t="s">
        <v>54</v>
      </c>
      <c r="C26" s="78"/>
      <c r="D26" s="78" t="s">
        <v>55</v>
      </c>
      <c r="E26" s="78" t="s">
        <v>56</v>
      </c>
      <c r="F26" s="78" t="s">
        <v>57</v>
      </c>
      <c r="G26" s="78" t="s">
        <v>58</v>
      </c>
      <c r="H26" s="78" t="s">
        <v>59</v>
      </c>
      <c r="I26" s="78" t="s">
        <v>60</v>
      </c>
      <c r="J26" s="79" t="s">
        <v>61</v>
      </c>
      <c r="K26" s="80" t="s">
        <v>62</v>
      </c>
      <c r="L26" s="81" t="s">
        <v>63</v>
      </c>
      <c r="M26" s="81" t="s">
        <v>64</v>
      </c>
      <c r="N26" s="82" t="s">
        <v>65</v>
      </c>
      <c r="O26" s="83" t="s">
        <v>66</v>
      </c>
      <c r="P26" s="80" t="s">
        <v>161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</row>
    <row r="27" spans="1:32" s="84" customFormat="1" ht="12.75">
      <c r="B27" s="85"/>
      <c r="C27" s="86"/>
      <c r="D27" s="87"/>
      <c r="E27" s="87"/>
      <c r="F27" s="88"/>
      <c r="G27" s="89"/>
      <c r="H27" s="90"/>
      <c r="I27" s="91"/>
      <c r="J27" s="92"/>
      <c r="K27" s="93"/>
      <c r="L27" s="92"/>
      <c r="M27" s="92"/>
      <c r="N27" s="94"/>
      <c r="O27" s="92"/>
      <c r="P27" s="95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</row>
    <row r="28" spans="1:32" s="97" customFormat="1" ht="12.75">
      <c r="B28" s="98" t="str">
        <f>B23</f>
        <v>2007 IRP Proxy Resource</v>
      </c>
      <c r="C28" s="99"/>
      <c r="D28" s="100"/>
      <c r="E28" s="100"/>
      <c r="F28" s="101"/>
      <c r="G28" s="101"/>
      <c r="H28" s="102"/>
      <c r="I28" s="103"/>
      <c r="J28" s="104">
        <v>2006</v>
      </c>
      <c r="K28" s="101"/>
      <c r="L28" s="104">
        <v>2006</v>
      </c>
      <c r="M28" s="104">
        <v>2006</v>
      </c>
      <c r="N28" s="94"/>
      <c r="O28" s="104">
        <v>2006</v>
      </c>
      <c r="P28" s="105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</row>
    <row r="29" spans="1:32" s="97" customFormat="1" ht="12.75">
      <c r="A29" s="97" t="s">
        <v>67</v>
      </c>
      <c r="B29" s="107" t="s">
        <v>68</v>
      </c>
      <c r="C29" s="107"/>
      <c r="D29" s="108">
        <v>0.56000000000000005</v>
      </c>
      <c r="E29" s="108">
        <v>0.92</v>
      </c>
      <c r="F29" s="109"/>
      <c r="G29" s="110">
        <v>492</v>
      </c>
      <c r="H29" s="111">
        <v>7163.6978653530377</v>
      </c>
      <c r="I29" s="112">
        <f>G29*D29*8760</f>
        <v>2413555.2000000002</v>
      </c>
      <c r="J29" s="110">
        <v>741</v>
      </c>
      <c r="K29" s="113">
        <v>8.6199999999999999E-2</v>
      </c>
      <c r="L29" s="114">
        <v>9.07</v>
      </c>
      <c r="M29" s="114">
        <v>0.5</v>
      </c>
      <c r="N29" s="115">
        <f>L29+M29</f>
        <v>9.57</v>
      </c>
      <c r="O29" s="116">
        <v>2.36</v>
      </c>
      <c r="P29" s="116">
        <v>2.27</v>
      </c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</row>
    <row r="30" spans="1:32" s="97" customFormat="1" ht="12.75">
      <c r="A30" s="97" t="s">
        <v>67</v>
      </c>
      <c r="B30" s="107" t="s">
        <v>69</v>
      </c>
      <c r="C30" s="107"/>
      <c r="D30" s="117">
        <v>0.16</v>
      </c>
      <c r="E30" s="117">
        <v>0.92</v>
      </c>
      <c r="F30" s="118"/>
      <c r="G30" s="119">
        <v>110</v>
      </c>
      <c r="H30" s="120">
        <v>8867.8486690962327</v>
      </c>
      <c r="I30" s="121">
        <f>G30*D30*8760</f>
        <v>154176</v>
      </c>
      <c r="J30" s="119">
        <v>249</v>
      </c>
      <c r="K30" s="122">
        <v>8.6199999999999999E-2</v>
      </c>
      <c r="L30" s="123">
        <v>0</v>
      </c>
      <c r="M30" s="123">
        <v>0.5</v>
      </c>
      <c r="N30" s="124">
        <f>L30+M30</f>
        <v>0.5</v>
      </c>
      <c r="O30" s="125">
        <v>0.1</v>
      </c>
      <c r="P30" s="125">
        <v>2.81</v>
      </c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</row>
    <row r="31" spans="1:32" s="97" customFormat="1" ht="12.75">
      <c r="B31" s="422" t="s">
        <v>70</v>
      </c>
      <c r="C31" s="107"/>
      <c r="D31" s="127">
        <f>SUMPRODUCT(D29:D30,$G29:$G30)/SUM($G29:$G30)</f>
        <v>0.48691029900332239</v>
      </c>
      <c r="E31" s="118"/>
      <c r="F31" s="118"/>
      <c r="G31" s="128"/>
      <c r="H31" s="129">
        <f>SUMPRODUCT(H29:H30,$I29:$I30)/SUM($I29:$I30)</f>
        <v>7266.0213306432961</v>
      </c>
      <c r="I31" s="118"/>
      <c r="J31" s="130">
        <f>SUMPRODUCT(J29:J30,$G29:$G30)/SUM($G29:$G30)</f>
        <v>651.09966777408636</v>
      </c>
      <c r="K31" s="131"/>
      <c r="L31" s="124">
        <f>SUMPRODUCT(L29:L30,$G29:$G30)/SUM($G29:$G30)</f>
        <v>7.4126910299003335</v>
      </c>
      <c r="M31" s="124">
        <f>SUMPRODUCT(M29:M30,$G29:$G30)/SUM($G29:$G30)</f>
        <v>0.5</v>
      </c>
      <c r="N31" s="124">
        <f>SUMPRODUCT(N29:N30,$G29:$G30)/SUM($G29:$G30)</f>
        <v>7.9126910299003335</v>
      </c>
      <c r="O31" s="124">
        <f>SUMPRODUCT(O29:O30,$I29:$I30)/SUM($I29:$I30)</f>
        <v>2.2243013100436677</v>
      </c>
      <c r="P31" s="124">
        <f>SUMPRODUCT(P29:P30,$I29:$I30)/SUM($I29:$I30)</f>
        <v>2.302423580786026</v>
      </c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</row>
    <row r="32" spans="1:32" s="97" customFormat="1" ht="12.75">
      <c r="B32" s="99" t="s">
        <v>71</v>
      </c>
      <c r="C32" s="432"/>
      <c r="D32" s="108">
        <v>0.21</v>
      </c>
      <c r="E32" s="108"/>
      <c r="F32" s="109"/>
      <c r="G32" s="110">
        <v>332</v>
      </c>
      <c r="H32" s="111"/>
      <c r="I32" s="112"/>
      <c r="J32" s="110">
        <f>(423+485)/2</f>
        <v>454</v>
      </c>
      <c r="K32" s="113">
        <v>8.3299999999999999E-2</v>
      </c>
      <c r="L32" s="114">
        <v>5.25</v>
      </c>
      <c r="M32" s="114">
        <v>0.5</v>
      </c>
      <c r="N32" s="115">
        <f>L32+M32</f>
        <v>5.75</v>
      </c>
      <c r="O32" s="116">
        <v>9.8699999999999992</v>
      </c>
      <c r="P32" s="116">
        <v>3.79</v>
      </c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</row>
    <row r="33" spans="1:32" ht="12.75">
      <c r="A33" s="248"/>
      <c r="B33" s="96" t="s">
        <v>72</v>
      </c>
      <c r="G33" s="133"/>
    </row>
    <row r="34" spans="1:32" ht="21" customHeight="1">
      <c r="G34" s="133"/>
    </row>
    <row r="36" spans="1:32" ht="12.75">
      <c r="B36" s="193" t="str">
        <f>"2008 IRP Proxy Resource, 2008 IRP Table 6.4"</f>
        <v>2008 IRP Proxy Resource, 2008 IRP Table 6.4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279"/>
      <c r="R36" s="279"/>
      <c r="S36" s="279"/>
      <c r="T36" s="279"/>
      <c r="U36" s="194"/>
      <c r="V36" s="194"/>
    </row>
    <row r="37" spans="1:32" ht="12.75">
      <c r="B37" s="407"/>
      <c r="C37" s="408" t="s">
        <v>49</v>
      </c>
      <c r="D37" s="409"/>
      <c r="E37" s="409"/>
      <c r="F37" s="409"/>
      <c r="G37" s="410"/>
      <c r="H37" s="410"/>
      <c r="I37" s="410"/>
      <c r="J37" s="59" t="s">
        <v>50</v>
      </c>
      <c r="K37" s="60"/>
      <c r="L37" s="61" t="s">
        <v>51</v>
      </c>
      <c r="M37" s="411"/>
      <c r="N37" s="412"/>
      <c r="O37" s="64" t="s">
        <v>52</v>
      </c>
      <c r="P37" s="65"/>
      <c r="Q37" s="249"/>
      <c r="R37" s="249"/>
      <c r="S37" s="249"/>
      <c r="T37" s="249"/>
      <c r="U37" s="248"/>
    </row>
    <row r="38" spans="1:32" ht="12.75">
      <c r="B38" s="419"/>
      <c r="C38" s="418"/>
      <c r="D38" s="195"/>
      <c r="E38" s="195"/>
      <c r="F38" s="195"/>
      <c r="G38" s="196"/>
      <c r="H38" s="197"/>
      <c r="I38" s="195"/>
      <c r="J38" s="199"/>
      <c r="K38" s="198"/>
      <c r="L38" s="200" t="s">
        <v>53</v>
      </c>
      <c r="M38" s="62"/>
      <c r="N38" s="63"/>
      <c r="O38" s="201"/>
      <c r="P38" s="202"/>
      <c r="X38" s="203" t="s">
        <v>170</v>
      </c>
      <c r="Y38" s="204"/>
      <c r="Z38" s="204"/>
      <c r="AA38" s="205"/>
    </row>
    <row r="39" spans="1:32" ht="66" customHeight="1">
      <c r="B39" s="417" t="s">
        <v>54</v>
      </c>
      <c r="C39" s="206"/>
      <c r="D39" s="78" t="s">
        <v>55</v>
      </c>
      <c r="E39" s="78" t="s">
        <v>56</v>
      </c>
      <c r="F39" s="78" t="s">
        <v>57</v>
      </c>
      <c r="G39" s="78" t="s">
        <v>58</v>
      </c>
      <c r="H39" s="78" t="s">
        <v>59</v>
      </c>
      <c r="I39" s="78" t="s">
        <v>60</v>
      </c>
      <c r="J39" s="207" t="s">
        <v>61</v>
      </c>
      <c r="K39" s="78" t="s">
        <v>62</v>
      </c>
      <c r="L39" s="208" t="s">
        <v>63</v>
      </c>
      <c r="M39" s="208" t="s">
        <v>64</v>
      </c>
      <c r="N39" s="209" t="s">
        <v>65</v>
      </c>
      <c r="O39" s="210" t="s">
        <v>66</v>
      </c>
      <c r="P39" s="210" t="s">
        <v>171</v>
      </c>
      <c r="Q39" s="402" t="s">
        <v>178</v>
      </c>
      <c r="X39" s="78" t="s">
        <v>172</v>
      </c>
      <c r="Y39" s="78" t="s">
        <v>173</v>
      </c>
      <c r="Z39" s="78" t="s">
        <v>174</v>
      </c>
      <c r="AA39" s="211" t="s">
        <v>175</v>
      </c>
    </row>
    <row r="40" spans="1:32" ht="12.75">
      <c r="B40" s="413"/>
      <c r="C40" s="87"/>
      <c r="D40" s="87"/>
      <c r="E40" s="87"/>
      <c r="F40" s="212"/>
      <c r="G40" s="89"/>
      <c r="H40" s="90"/>
      <c r="I40" s="91"/>
      <c r="J40" s="92"/>
      <c r="K40" s="93"/>
      <c r="L40" s="92"/>
      <c r="M40" s="92"/>
      <c r="N40" s="94"/>
      <c r="O40" s="92"/>
      <c r="P40" s="403"/>
      <c r="Q40" s="95"/>
      <c r="X40" s="213"/>
      <c r="Y40" s="213"/>
      <c r="Z40" s="213"/>
      <c r="AA40" s="214"/>
    </row>
    <row r="41" spans="1:32" ht="12.75">
      <c r="B41" s="98" t="str">
        <f>B36</f>
        <v>2008 IRP Proxy Resource, 2008 IRP Table 6.4</v>
      </c>
      <c r="C41" s="91"/>
      <c r="D41" s="215"/>
      <c r="E41" s="215"/>
      <c r="F41" s="91"/>
      <c r="G41" s="91"/>
      <c r="H41" s="216"/>
      <c r="I41" s="217"/>
      <c r="J41" s="218">
        <v>2008</v>
      </c>
      <c r="K41" s="91"/>
      <c r="L41" s="218">
        <v>2008</v>
      </c>
      <c r="M41" s="218">
        <v>2008</v>
      </c>
      <c r="N41" s="94"/>
      <c r="O41" s="218">
        <v>2008</v>
      </c>
      <c r="P41" s="218">
        <v>2010</v>
      </c>
      <c r="Q41" s="403">
        <v>2008</v>
      </c>
      <c r="X41" s="219"/>
      <c r="Y41" s="216"/>
      <c r="Z41" s="216"/>
      <c r="AA41" s="220"/>
    </row>
    <row r="42" spans="1:32" ht="12.75">
      <c r="B42" s="414" t="s">
        <v>176</v>
      </c>
      <c r="C42" s="96"/>
      <c r="D42" s="221">
        <v>0.56000000000000005</v>
      </c>
      <c r="E42" s="221">
        <v>0.92</v>
      </c>
      <c r="F42" s="222"/>
      <c r="G42" s="223">
        <v>505.93497958333285</v>
      </c>
      <c r="H42" s="224">
        <v>7098.0908239498294</v>
      </c>
      <c r="I42" s="225">
        <f>G42*D42*8760</f>
        <v>2481914.6358439978</v>
      </c>
      <c r="J42" s="226">
        <v>1243.767380590491</v>
      </c>
      <c r="K42" s="227">
        <v>8.5860000000000006E-2</v>
      </c>
      <c r="L42" s="223">
        <v>7.7719621817459537</v>
      </c>
      <c r="M42" s="223">
        <v>0.5</v>
      </c>
      <c r="N42" s="115">
        <f>L42+M42</f>
        <v>8.2719621817459537</v>
      </c>
      <c r="O42" s="228">
        <v>2.9424640533057906</v>
      </c>
      <c r="P42" s="228">
        <v>5.96</v>
      </c>
      <c r="Q42" s="404">
        <v>2.25</v>
      </c>
      <c r="R42" s="107"/>
      <c r="S42" s="247"/>
      <c r="T42" s="247"/>
      <c r="U42" s="246"/>
      <c r="V42" s="247"/>
      <c r="X42" s="229">
        <v>5.9999999999999995E-4</v>
      </c>
      <c r="Y42" s="228">
        <v>1.0999999999999999E-2</v>
      </c>
      <c r="Z42" s="228">
        <v>0.255</v>
      </c>
      <c r="AA42" s="230">
        <v>118</v>
      </c>
    </row>
    <row r="43" spans="1:32" ht="12.75">
      <c r="B43" s="414" t="s">
        <v>69</v>
      </c>
      <c r="C43" s="96"/>
      <c r="D43" s="127">
        <v>0.16</v>
      </c>
      <c r="E43" s="127">
        <v>0.92</v>
      </c>
      <c r="F43" s="231"/>
      <c r="G43" s="232">
        <v>63.739957916667045</v>
      </c>
      <c r="H43" s="233">
        <v>8557.4573633663476</v>
      </c>
      <c r="I43" s="234">
        <f>G43*D43*8760</f>
        <v>89337.925016000532</v>
      </c>
      <c r="J43" s="235">
        <v>627.54983384669913</v>
      </c>
      <c r="K43" s="236">
        <v>8.5860000000000006E-2</v>
      </c>
      <c r="L43" s="232">
        <v>1.5955454525552297</v>
      </c>
      <c r="M43" s="232">
        <v>0.5</v>
      </c>
      <c r="N43" s="124">
        <f>L43+M43</f>
        <v>2.0955454525552297</v>
      </c>
      <c r="O43" s="237">
        <v>0.39314252692066332</v>
      </c>
      <c r="P43" s="237">
        <v>7.18</v>
      </c>
      <c r="Q43" s="405">
        <v>2.71</v>
      </c>
      <c r="R43" s="107"/>
      <c r="S43" s="247"/>
      <c r="T43" s="247"/>
      <c r="U43" s="246"/>
      <c r="V43" s="247"/>
      <c r="X43" s="238">
        <v>5.9999999999999995E-4</v>
      </c>
      <c r="Y43" s="237">
        <v>1.0999999999999999E-2</v>
      </c>
      <c r="Z43" s="237">
        <v>0.255</v>
      </c>
      <c r="AA43" s="239">
        <v>118</v>
      </c>
    </row>
    <row r="44" spans="1:32" ht="13.5" thickBot="1">
      <c r="B44" s="415" t="s">
        <v>70</v>
      </c>
      <c r="C44" s="416"/>
      <c r="D44" s="127">
        <f>SUMPRODUCT(D42:D43,$G42:$G43)/SUM($G42:$G43)</f>
        <v>0.51524468168012605</v>
      </c>
      <c r="E44" s="231"/>
      <c r="F44" s="231"/>
      <c r="G44" s="231"/>
      <c r="H44" s="129">
        <f>SUMPRODUCT(H42:H43,$I42:$I43)/SUM($I42:$I43)</f>
        <v>7148.796375187334</v>
      </c>
      <c r="I44" s="231"/>
      <c r="J44" s="130">
        <f>SUMPRODUCT(J42:J43,$G42:$G43)/SUM($G42:$G43)</f>
        <v>1174.8198494434653</v>
      </c>
      <c r="K44" s="131"/>
      <c r="L44" s="124">
        <f>SUMPRODUCT(L42:L43,$G42:$G43)/SUM($G42:$G43)</f>
        <v>7.0808934397681389</v>
      </c>
      <c r="M44" s="124">
        <f>SUMPRODUCT(M42:M43,$G42:$G43)/SUM($G42:$G43)</f>
        <v>0.5</v>
      </c>
      <c r="N44" s="124">
        <f>SUMPRODUCT(N42:N43,$G42:$G43)/SUM($G42:$G43)</f>
        <v>7.5808934397681389</v>
      </c>
      <c r="O44" s="124">
        <f>SUMPRODUCT(O42:O43,$I42:$I43)/SUM($I42:$I43)</f>
        <v>2.8538881199911357</v>
      </c>
      <c r="P44" s="124">
        <f>SUMPRODUCT(P42:P43,$I42:$I43)/SUM($I42:$I43)</f>
        <v>6.0023887836530019</v>
      </c>
      <c r="Q44" s="406">
        <f>SUMPRODUCT(Q42:Q43,$I42:$I43)/SUM($I42:$I43)</f>
        <v>2.26598265613146</v>
      </c>
      <c r="X44" s="240">
        <f>SUMPRODUCT(X42:X43,$I42:$I43)/SUM($I42:$I43)</f>
        <v>5.9999999999999995E-4</v>
      </c>
      <c r="Y44" s="241">
        <f>SUMPRODUCT(Y42:Y43,$I42:$I43)/SUM($I42:$I43)</f>
        <v>1.0999999999999999E-2</v>
      </c>
      <c r="Z44" s="241">
        <f>SUMPRODUCT(Z42:Z43,$I42:$I43)/SUM($I42:$I43)</f>
        <v>0.255</v>
      </c>
      <c r="AA44" s="242">
        <f>SUMPRODUCT(AA42:AA43,$I42:$I43)/SUM($I42:$I43)</f>
        <v>118.00000000000001</v>
      </c>
    </row>
    <row r="45" spans="1:32" s="84" customFormat="1" ht="12.75">
      <c r="B45" s="259" t="s">
        <v>71</v>
      </c>
      <c r="C45" s="260"/>
      <c r="D45" s="221">
        <v>0.21</v>
      </c>
      <c r="E45" s="221"/>
      <c r="F45" s="222"/>
      <c r="G45" s="226"/>
      <c r="H45" s="224"/>
      <c r="I45" s="225"/>
      <c r="J45" s="226">
        <v>747</v>
      </c>
      <c r="K45" s="227">
        <v>8.6199999999999999E-2</v>
      </c>
      <c r="L45" s="223">
        <v>3.74</v>
      </c>
      <c r="M45" s="223">
        <v>0.5</v>
      </c>
      <c r="N45" s="115">
        <f>L45+M45</f>
        <v>4.24</v>
      </c>
      <c r="O45" s="228">
        <v>4.47</v>
      </c>
      <c r="P45" s="228">
        <v>9.7799999999999994</v>
      </c>
      <c r="Q45" s="231">
        <v>3.7</v>
      </c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</row>
    <row r="46" spans="1:32" ht="12.75">
      <c r="Q46" s="255"/>
      <c r="X46" s="34" t="s">
        <v>183</v>
      </c>
      <c r="Y46" s="34" t="s">
        <v>183</v>
      </c>
      <c r="Z46" s="34" t="s">
        <v>183</v>
      </c>
      <c r="AA46" s="34" t="s">
        <v>183</v>
      </c>
    </row>
    <row r="48" spans="1:32" s="52" customFormat="1" ht="12.75">
      <c r="B48" s="53" t="s">
        <v>179</v>
      </c>
      <c r="R48" s="54"/>
      <c r="S48" s="54"/>
      <c r="T48" s="54"/>
      <c r="U48" s="54"/>
      <c r="V48" s="54"/>
      <c r="W48" s="54"/>
      <c r="AB48" s="54"/>
      <c r="AC48" s="54"/>
      <c r="AD48" s="54"/>
      <c r="AE48" s="54"/>
      <c r="AF48" s="54"/>
    </row>
    <row r="49" spans="1:32" s="52" customFormat="1" ht="12.75">
      <c r="B49" s="55"/>
      <c r="C49" s="56" t="s">
        <v>49</v>
      </c>
      <c r="D49" s="57"/>
      <c r="E49" s="57"/>
      <c r="F49" s="57"/>
      <c r="G49" s="58"/>
      <c r="H49" s="58"/>
      <c r="I49" s="58"/>
      <c r="J49" s="59" t="s">
        <v>50</v>
      </c>
      <c r="K49" s="60"/>
      <c r="L49" s="61" t="s">
        <v>51</v>
      </c>
      <c r="M49" s="62"/>
      <c r="N49" s="63"/>
      <c r="O49" s="64" t="s">
        <v>52</v>
      </c>
      <c r="P49" s="65"/>
      <c r="Q49" s="66"/>
      <c r="R49" s="54"/>
      <c r="S49" s="54"/>
      <c r="T49" s="54"/>
      <c r="U49" s="54"/>
      <c r="V49" s="54"/>
      <c r="W49" s="54"/>
      <c r="AB49" s="54"/>
      <c r="AC49" s="54"/>
      <c r="AD49" s="54"/>
      <c r="AE49" s="54"/>
      <c r="AF49" s="54"/>
    </row>
    <row r="50" spans="1:32" s="52" customFormat="1" ht="12.75">
      <c r="B50" s="67"/>
      <c r="C50" s="68"/>
      <c r="D50" s="68"/>
      <c r="E50" s="68"/>
      <c r="F50" s="68"/>
      <c r="G50" s="68"/>
      <c r="H50" s="69"/>
      <c r="I50" s="68"/>
      <c r="J50" s="70"/>
      <c r="K50" s="71"/>
      <c r="L50" s="72" t="s">
        <v>53</v>
      </c>
      <c r="M50" s="73"/>
      <c r="N50" s="74"/>
      <c r="O50" s="75"/>
      <c r="P50" s="76"/>
      <c r="R50" s="34"/>
      <c r="W50" s="54"/>
      <c r="X50" s="203" t="s">
        <v>170</v>
      </c>
      <c r="Y50" s="204"/>
      <c r="Z50" s="204"/>
      <c r="AA50" s="205"/>
      <c r="AB50" s="54"/>
      <c r="AC50" s="54"/>
      <c r="AD50" s="54"/>
      <c r="AE50" s="54"/>
      <c r="AF50" s="54"/>
    </row>
    <row r="51" spans="1:32" s="52" customFormat="1" ht="48" customHeight="1">
      <c r="B51" s="77" t="s">
        <v>54</v>
      </c>
      <c r="C51" s="78"/>
      <c r="D51" s="78" t="s">
        <v>55</v>
      </c>
      <c r="E51" s="78" t="s">
        <v>56</v>
      </c>
      <c r="F51" s="78" t="s">
        <v>57</v>
      </c>
      <c r="G51" s="78" t="s">
        <v>58</v>
      </c>
      <c r="H51" s="78" t="s">
        <v>59</v>
      </c>
      <c r="I51" s="78" t="s">
        <v>60</v>
      </c>
      <c r="J51" s="79" t="s">
        <v>61</v>
      </c>
      <c r="K51" s="80" t="s">
        <v>62</v>
      </c>
      <c r="L51" s="81" t="s">
        <v>63</v>
      </c>
      <c r="M51" s="81" t="s">
        <v>64</v>
      </c>
      <c r="N51" s="82" t="s">
        <v>65</v>
      </c>
      <c r="O51" s="83" t="s">
        <v>66</v>
      </c>
      <c r="P51" s="80" t="s">
        <v>178</v>
      </c>
      <c r="R51" s="34"/>
      <c r="W51" s="54"/>
      <c r="X51" s="78" t="s">
        <v>172</v>
      </c>
      <c r="Y51" s="78" t="s">
        <v>173</v>
      </c>
      <c r="Z51" s="78" t="s">
        <v>174</v>
      </c>
      <c r="AA51" s="211" t="s">
        <v>175</v>
      </c>
      <c r="AB51" s="54"/>
      <c r="AC51" s="54"/>
      <c r="AD51" s="54"/>
      <c r="AE51" s="54"/>
      <c r="AF51" s="54"/>
    </row>
    <row r="52" spans="1:32" s="84" customFormat="1" ht="12.75">
      <c r="B52" s="85"/>
      <c r="C52" s="86"/>
      <c r="D52" s="87"/>
      <c r="E52" s="87"/>
      <c r="F52" s="88"/>
      <c r="G52" s="89"/>
      <c r="H52" s="90"/>
      <c r="I52" s="91"/>
      <c r="J52" s="92"/>
      <c r="K52" s="93"/>
      <c r="L52" s="92"/>
      <c r="M52" s="92"/>
      <c r="N52" s="94"/>
      <c r="O52" s="92"/>
      <c r="P52" s="95"/>
      <c r="R52" s="34"/>
      <c r="S52" s="34"/>
      <c r="T52" s="34"/>
      <c r="U52" s="34"/>
      <c r="V52" s="34"/>
      <c r="W52" s="96"/>
      <c r="X52" s="219"/>
      <c r="Y52" s="216"/>
      <c r="Z52" s="216"/>
      <c r="AA52" s="220"/>
      <c r="AB52" s="96"/>
      <c r="AC52" s="96"/>
      <c r="AD52" s="96"/>
      <c r="AE52" s="96"/>
      <c r="AF52" s="96"/>
    </row>
    <row r="53" spans="1:32" s="97" customFormat="1" ht="12.75">
      <c r="B53" s="98" t="s">
        <v>179</v>
      </c>
      <c r="C53" s="99"/>
      <c r="D53" s="100"/>
      <c r="E53" s="100"/>
      <c r="F53" s="101"/>
      <c r="G53" s="101"/>
      <c r="H53" s="102"/>
      <c r="I53" s="103"/>
      <c r="J53" s="104">
        <v>2002</v>
      </c>
      <c r="K53" s="101"/>
      <c r="L53" s="104">
        <v>2002</v>
      </c>
      <c r="M53" s="104">
        <v>2002</v>
      </c>
      <c r="N53" s="94"/>
      <c r="O53" s="104">
        <v>2002</v>
      </c>
      <c r="P53" s="104">
        <v>2002</v>
      </c>
      <c r="R53" s="248" t="s">
        <v>185</v>
      </c>
      <c r="S53" s="248" t="s">
        <v>184</v>
      </c>
      <c r="T53" s="248" t="s">
        <v>184</v>
      </c>
      <c r="U53" s="34" t="s">
        <v>184</v>
      </c>
      <c r="V53" s="34" t="s">
        <v>184</v>
      </c>
      <c r="W53" s="106"/>
      <c r="X53" s="229">
        <v>1.47E-3</v>
      </c>
      <c r="Y53" s="228">
        <v>8.8000000000000005E-3</v>
      </c>
      <c r="Z53" s="228">
        <v>0.255</v>
      </c>
      <c r="AA53" s="230">
        <v>118</v>
      </c>
      <c r="AB53" s="106"/>
      <c r="AC53" s="106"/>
      <c r="AD53" s="106"/>
      <c r="AE53" s="106"/>
      <c r="AF53" s="106"/>
    </row>
    <row r="54" spans="1:32" s="97" customFormat="1" ht="12.75">
      <c r="A54" s="97" t="s">
        <v>67</v>
      </c>
      <c r="B54" s="107" t="s">
        <v>249</v>
      </c>
      <c r="C54" s="107"/>
      <c r="D54" s="108">
        <v>0.86</v>
      </c>
      <c r="E54" s="108"/>
      <c r="F54" s="109"/>
      <c r="G54" s="110">
        <v>490</v>
      </c>
      <c r="H54" s="111">
        <v>7074</v>
      </c>
      <c r="I54" s="112">
        <f>G54*D54*8760</f>
        <v>3691464</v>
      </c>
      <c r="J54" s="110">
        <f>631+66</f>
        <v>697</v>
      </c>
      <c r="K54" s="113">
        <v>8.6099999999999996E-2</v>
      </c>
      <c r="L54" s="114">
        <v>7</v>
      </c>
      <c r="M54" s="114">
        <v>0.2</v>
      </c>
      <c r="N54" s="115">
        <f>L54+M54</f>
        <v>7.2</v>
      </c>
      <c r="O54" s="116">
        <v>1.61</v>
      </c>
      <c r="P54" s="116">
        <f>SUM(S54:V54)</f>
        <v>3.1097027406600004</v>
      </c>
      <c r="R54" s="106" t="s">
        <v>180</v>
      </c>
      <c r="S54" s="401">
        <f>X53*($H54/1000)*(1/2000)*X$57</f>
        <v>1.52862066E-3</v>
      </c>
      <c r="T54" s="401">
        <f>Y53*($H54/1000)*(1/2000)*Y$57</f>
        <v>6.2251199999999998E-3</v>
      </c>
      <c r="U54" s="246">
        <f>Z53*($H54/1000000000)*(1/2000)*Z$57</f>
        <v>0.18038700000000002</v>
      </c>
      <c r="V54" s="247">
        <f>AA53*($H54/1000)*(1/2000)*AA$57</f>
        <v>2.9215620000000002</v>
      </c>
      <c r="W54" s="106"/>
      <c r="X54" s="238">
        <v>1.47E-3</v>
      </c>
      <c r="Y54" s="228">
        <v>8.8000000000000005E-3</v>
      </c>
      <c r="Z54" s="237">
        <v>0.255</v>
      </c>
      <c r="AA54" s="239">
        <v>118</v>
      </c>
      <c r="AB54" s="106"/>
      <c r="AC54" s="106"/>
      <c r="AD54" s="106"/>
      <c r="AE54" s="106"/>
      <c r="AF54" s="106"/>
    </row>
    <row r="55" spans="1:32" s="97" customFormat="1" ht="12.75">
      <c r="A55" s="97" t="s">
        <v>67</v>
      </c>
      <c r="B55" s="107" t="s">
        <v>251</v>
      </c>
      <c r="C55" s="107"/>
      <c r="D55" s="117">
        <v>0.23</v>
      </c>
      <c r="E55" s="117"/>
      <c r="F55" s="118"/>
      <c r="G55" s="119">
        <v>80</v>
      </c>
      <c r="H55" s="120">
        <v>9219</v>
      </c>
      <c r="I55" s="121">
        <f>G55*D55*8760</f>
        <v>161184.00000000003</v>
      </c>
      <c r="J55" s="119">
        <v>184</v>
      </c>
      <c r="K55" s="122">
        <v>8.6099999999999996E-2</v>
      </c>
      <c r="L55" s="123">
        <v>2.75</v>
      </c>
      <c r="M55" s="123">
        <v>0.2</v>
      </c>
      <c r="N55" s="124">
        <f>L55+M55</f>
        <v>2.95</v>
      </c>
      <c r="O55" s="125">
        <v>0</v>
      </c>
      <c r="P55" s="125">
        <f>SUM(S55:V55)</f>
        <v>4.0526363537099996</v>
      </c>
      <c r="R55" s="106" t="s">
        <v>181</v>
      </c>
      <c r="S55" s="401">
        <f>X54*($H55/1000)*(1/2000)*X$57</f>
        <v>1.9921337099999999E-3</v>
      </c>
      <c r="T55" s="401">
        <f>Y54*($H55/1000)*(1/2000)*Y$57</f>
        <v>8.1127200000000003E-3</v>
      </c>
      <c r="U55" s="246">
        <f>Z54*($H55/1000000000)*(1/2000)*Z$57</f>
        <v>0.23508449999999997</v>
      </c>
      <c r="V55" s="247">
        <f>AA54*($H55/1000)*(1/2000)*AA$57</f>
        <v>3.8074469999999998</v>
      </c>
      <c r="W55" s="106"/>
      <c r="AB55" s="106"/>
      <c r="AC55" s="106"/>
      <c r="AD55" s="106"/>
      <c r="AE55" s="106"/>
      <c r="AF55" s="106"/>
    </row>
    <row r="56" spans="1:32" s="97" customFormat="1" ht="12.75">
      <c r="B56" s="422" t="s">
        <v>70</v>
      </c>
      <c r="C56" s="107"/>
      <c r="D56" s="423">
        <f>SUMPRODUCT(D54:D55,$G54:$G55)/SUM($G54:$G55)</f>
        <v>0.77157894736842092</v>
      </c>
      <c r="E56" s="424"/>
      <c r="F56" s="424"/>
      <c r="G56" s="425"/>
      <c r="H56" s="426">
        <f>SUMPRODUCT(H54:H55,$I54:$I55)/SUM($I54:$I55)</f>
        <v>7163.7407912687586</v>
      </c>
      <c r="I56" s="424"/>
      <c r="J56" s="427">
        <f>SUMPRODUCT(J54:J55,$G54:$G55)/SUM($G54:$G55)</f>
        <v>625</v>
      </c>
      <c r="K56" s="428"/>
      <c r="L56" s="258">
        <f>SUMPRODUCT(L54:L55,$G54:$G55)/SUM($G54:$G55)</f>
        <v>6.4035087719298245</v>
      </c>
      <c r="M56" s="258">
        <f>SUMPRODUCT(M54:M55,$G54:$G55)/SUM($G54:$G55)</f>
        <v>0.2</v>
      </c>
      <c r="N56" s="258">
        <f>SUMPRODUCT(N54:N55,$G54:$G55)/SUM($G54:$G55)</f>
        <v>6.6035087719298247</v>
      </c>
      <c r="O56" s="258">
        <f>SUMPRODUCT(O54:O55,$I54:$I55)/SUM($I54:$I55)</f>
        <v>1.5426421100500227</v>
      </c>
      <c r="P56" s="258">
        <f>SUMPRODUCT(P54:P55,$I54:$I55)/SUM($I54:$I55)</f>
        <v>3.1491524416152528</v>
      </c>
      <c r="R56" s="248"/>
      <c r="S56" s="248"/>
      <c r="T56" s="248"/>
      <c r="U56" s="34"/>
      <c r="V56" s="34"/>
      <c r="W56" s="106"/>
      <c r="X56" s="34" t="s">
        <v>183</v>
      </c>
      <c r="Y56" s="34" t="s">
        <v>183</v>
      </c>
      <c r="Z56" s="34" t="s">
        <v>183</v>
      </c>
      <c r="AA56" s="34" t="s">
        <v>183</v>
      </c>
      <c r="AB56" s="106"/>
      <c r="AC56" s="106"/>
      <c r="AD56" s="106"/>
      <c r="AE56" s="106"/>
      <c r="AF56" s="106"/>
    </row>
    <row r="57" spans="1:32" s="97" customFormat="1" ht="12.75">
      <c r="B57" s="99" t="s">
        <v>182</v>
      </c>
      <c r="C57" s="429"/>
      <c r="D57" s="117">
        <v>0.23</v>
      </c>
      <c r="E57" s="117"/>
      <c r="F57" s="118"/>
      <c r="G57" s="119">
        <v>115</v>
      </c>
      <c r="H57" s="430">
        <v>12176</v>
      </c>
      <c r="I57" s="121"/>
      <c r="J57" s="119">
        <v>482</v>
      </c>
      <c r="K57" s="122">
        <v>9.5899999999999999E-2</v>
      </c>
      <c r="L57" s="123">
        <v>10.050000000000001</v>
      </c>
      <c r="M57" s="123"/>
      <c r="N57" s="124">
        <f>L57+M57</f>
        <v>10.050000000000001</v>
      </c>
      <c r="O57" s="125">
        <v>2.86</v>
      </c>
      <c r="P57" s="125"/>
      <c r="R57" s="248"/>
      <c r="S57" s="248"/>
      <c r="T57" s="248"/>
      <c r="U57" s="34"/>
      <c r="V57" s="34"/>
      <c r="W57" s="106"/>
      <c r="X57" s="34">
        <v>294</v>
      </c>
      <c r="Y57" s="34">
        <v>200</v>
      </c>
      <c r="Z57" s="245">
        <f>100000*2000</f>
        <v>200000000</v>
      </c>
      <c r="AA57" s="34">
        <v>7</v>
      </c>
      <c r="AB57" s="106"/>
      <c r="AC57" s="106"/>
      <c r="AD57" s="106"/>
      <c r="AE57" s="106"/>
      <c r="AF57" s="106"/>
    </row>
    <row r="58" spans="1:32" ht="12.75">
      <c r="A58" s="248"/>
      <c r="B58" s="96" t="s">
        <v>250</v>
      </c>
      <c r="G58" s="133"/>
      <c r="R58" s="248"/>
      <c r="S58" s="248"/>
      <c r="T58" s="248"/>
    </row>
    <row r="59" spans="1:32">
      <c r="A59" s="248"/>
      <c r="R59" s="248"/>
      <c r="S59" s="248"/>
      <c r="T59" s="248"/>
    </row>
    <row r="60" spans="1:32" ht="12.75">
      <c r="R60" s="248"/>
      <c r="S60" s="248"/>
      <c r="T60" s="248"/>
      <c r="X60" s="52"/>
      <c r="Y60" s="52"/>
      <c r="Z60" s="52"/>
      <c r="AA60" s="52"/>
    </row>
    <row r="61" spans="1:32" ht="12.75">
      <c r="R61" s="248"/>
      <c r="S61" s="248"/>
      <c r="T61" s="248"/>
      <c r="X61" s="54"/>
      <c r="Y61" s="54"/>
      <c r="Z61" s="54"/>
      <c r="AA61" s="54"/>
    </row>
    <row r="62" spans="1:32" ht="12.75">
      <c r="A62" s="52"/>
      <c r="B62" s="53" t="s">
        <v>186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4"/>
      <c r="S62" s="54"/>
      <c r="T62" s="54"/>
      <c r="U62" s="54"/>
      <c r="V62" s="54"/>
      <c r="W62" s="54"/>
      <c r="X62" s="248"/>
      <c r="Y62" s="248"/>
      <c r="Z62" s="248"/>
      <c r="AA62" s="248"/>
    </row>
    <row r="63" spans="1:32" ht="12.75">
      <c r="A63" s="52"/>
      <c r="B63" s="55"/>
      <c r="C63" s="56" t="s">
        <v>49</v>
      </c>
      <c r="D63" s="57"/>
      <c r="E63" s="57"/>
      <c r="F63" s="57"/>
      <c r="G63" s="58"/>
      <c r="H63" s="58"/>
      <c r="I63" s="58"/>
      <c r="J63" s="59" t="s">
        <v>50</v>
      </c>
      <c r="K63" s="60"/>
      <c r="L63" s="61" t="s">
        <v>51</v>
      </c>
      <c r="M63" s="62"/>
      <c r="N63" s="63"/>
      <c r="O63" s="64" t="s">
        <v>52</v>
      </c>
      <c r="P63" s="65"/>
      <c r="Q63" s="66"/>
      <c r="R63" s="54"/>
      <c r="S63" s="54"/>
      <c r="T63" s="54"/>
      <c r="U63" s="54"/>
      <c r="V63" s="54"/>
      <c r="W63" s="54"/>
      <c r="X63" s="248"/>
      <c r="Y63" s="248"/>
      <c r="Z63" s="248"/>
      <c r="AA63" s="248"/>
    </row>
    <row r="64" spans="1:32" ht="12.75">
      <c r="A64" s="52"/>
      <c r="B64" s="67"/>
      <c r="C64" s="68"/>
      <c r="D64" s="68"/>
      <c r="E64" s="68"/>
      <c r="F64" s="68"/>
      <c r="G64" s="68"/>
      <c r="H64" s="69"/>
      <c r="I64" s="68"/>
      <c r="J64" s="70"/>
      <c r="K64" s="71"/>
      <c r="L64" s="72" t="s">
        <v>53</v>
      </c>
      <c r="M64" s="73"/>
      <c r="N64" s="74"/>
      <c r="O64" s="75"/>
      <c r="P64" s="76"/>
      <c r="Q64" s="52"/>
      <c r="R64" s="248"/>
      <c r="S64" s="54"/>
      <c r="T64" s="54"/>
      <c r="U64" s="52"/>
      <c r="V64" s="52"/>
      <c r="W64" s="54"/>
      <c r="X64" s="249"/>
      <c r="Y64" s="249"/>
      <c r="Z64" s="249"/>
      <c r="AA64" s="249"/>
    </row>
    <row r="65" spans="1:27" ht="38.25">
      <c r="A65" s="52"/>
      <c r="B65" s="420" t="s">
        <v>54</v>
      </c>
      <c r="C65" s="80"/>
      <c r="D65" s="80" t="s">
        <v>55</v>
      </c>
      <c r="E65" s="80" t="s">
        <v>56</v>
      </c>
      <c r="F65" s="80" t="s">
        <v>57</v>
      </c>
      <c r="G65" s="80" t="s">
        <v>58</v>
      </c>
      <c r="H65" s="80" t="s">
        <v>59</v>
      </c>
      <c r="I65" s="80" t="s">
        <v>60</v>
      </c>
      <c r="J65" s="79" t="s">
        <v>61</v>
      </c>
      <c r="K65" s="80" t="s">
        <v>62</v>
      </c>
      <c r="L65" s="81" t="s">
        <v>63</v>
      </c>
      <c r="M65" s="81" t="s">
        <v>64</v>
      </c>
      <c r="N65" s="82" t="s">
        <v>65</v>
      </c>
      <c r="O65" s="83" t="s">
        <v>66</v>
      </c>
      <c r="P65" s="80" t="s">
        <v>178</v>
      </c>
      <c r="Q65" s="52"/>
      <c r="R65" s="248"/>
      <c r="S65" s="54"/>
      <c r="T65" s="54"/>
      <c r="U65" s="52"/>
      <c r="V65" s="52"/>
      <c r="W65" s="54"/>
      <c r="X65" s="250"/>
      <c r="Y65" s="250"/>
      <c r="Z65" s="250"/>
      <c r="AA65" s="250"/>
    </row>
    <row r="66" spans="1:27" ht="12.75">
      <c r="A66" s="84"/>
      <c r="B66" s="85"/>
      <c r="C66" s="86"/>
      <c r="D66" s="87"/>
      <c r="E66" s="87"/>
      <c r="F66" s="88"/>
      <c r="G66" s="89"/>
      <c r="H66" s="90"/>
      <c r="I66" s="91"/>
      <c r="J66" s="92"/>
      <c r="K66" s="93"/>
      <c r="L66" s="92"/>
      <c r="M66" s="92"/>
      <c r="N66" s="94"/>
      <c r="O66" s="92"/>
      <c r="P66" s="95"/>
      <c r="Q66" s="84"/>
      <c r="R66" s="248"/>
      <c r="S66" s="248"/>
      <c r="T66" s="248"/>
      <c r="W66" s="96"/>
      <c r="X66" s="251"/>
      <c r="Y66" s="252"/>
      <c r="Z66" s="252"/>
      <c r="AA66" s="252"/>
    </row>
    <row r="67" spans="1:27" ht="12.75">
      <c r="A67" s="97"/>
      <c r="B67" s="98" t="s">
        <v>186</v>
      </c>
      <c r="C67" s="99"/>
      <c r="D67" s="100"/>
      <c r="E67" s="100"/>
      <c r="F67" s="101"/>
      <c r="G67" s="101"/>
      <c r="H67" s="102"/>
      <c r="I67" s="103"/>
      <c r="J67" s="104">
        <v>2004</v>
      </c>
      <c r="K67" s="101"/>
      <c r="L67" s="104">
        <v>2004</v>
      </c>
      <c r="M67" s="104">
        <v>2004</v>
      </c>
      <c r="N67" s="94"/>
      <c r="O67" s="104">
        <v>2004</v>
      </c>
      <c r="P67" s="104">
        <v>2004</v>
      </c>
      <c r="Q67" s="97"/>
      <c r="R67" s="248"/>
      <c r="S67" s="248"/>
      <c r="T67" s="248"/>
      <c r="W67" s="106"/>
      <c r="X67" s="253"/>
      <c r="Y67" s="254"/>
      <c r="Z67" s="255"/>
      <c r="AA67" s="255"/>
    </row>
    <row r="68" spans="1:27" ht="12.75">
      <c r="A68" s="97" t="s">
        <v>253</v>
      </c>
      <c r="B68" s="107" t="s">
        <v>249</v>
      </c>
      <c r="C68" s="107"/>
      <c r="D68" s="108">
        <v>0.56000000000000005</v>
      </c>
      <c r="E68" s="108"/>
      <c r="F68" s="109"/>
      <c r="G68" s="110">
        <v>420</v>
      </c>
      <c r="H68" s="111">
        <v>7462</v>
      </c>
      <c r="I68" s="112">
        <f>G68*D68*8760</f>
        <v>2060352.0000000002</v>
      </c>
      <c r="J68" s="110">
        <v>789</v>
      </c>
      <c r="K68" s="113">
        <v>7.9299999999999995E-2</v>
      </c>
      <c r="L68" s="114">
        <v>10.63</v>
      </c>
      <c r="M68" s="114">
        <v>1.35</v>
      </c>
      <c r="N68" s="115">
        <f>L68+M68</f>
        <v>11.98</v>
      </c>
      <c r="O68" s="116">
        <v>3.27</v>
      </c>
      <c r="P68" s="116">
        <v>2.3199999999999998</v>
      </c>
      <c r="Q68" s="97"/>
      <c r="R68" s="106"/>
      <c r="S68" s="401"/>
      <c r="T68" s="401"/>
      <c r="U68" s="246"/>
      <c r="V68" s="247"/>
      <c r="W68" s="106"/>
      <c r="X68" s="253"/>
      <c r="Y68" s="254"/>
      <c r="Z68" s="255"/>
      <c r="AA68" s="255"/>
    </row>
    <row r="69" spans="1:27" ht="12.75">
      <c r="A69" s="97"/>
      <c r="B69" s="107" t="s">
        <v>251</v>
      </c>
      <c r="C69" s="107"/>
      <c r="D69" s="117">
        <v>0.16</v>
      </c>
      <c r="E69" s="117"/>
      <c r="F69" s="118"/>
      <c r="G69" s="119">
        <v>105</v>
      </c>
      <c r="H69" s="120">
        <v>9512</v>
      </c>
      <c r="I69" s="121">
        <f>G69*D69*8760</f>
        <v>147168</v>
      </c>
      <c r="J69" s="119">
        <v>207</v>
      </c>
      <c r="K69" s="113">
        <v>7.9299999999999995E-2</v>
      </c>
      <c r="L69" s="123">
        <v>2.93</v>
      </c>
      <c r="M69" s="123">
        <v>1.35</v>
      </c>
      <c r="N69" s="124">
        <f>L69+M69</f>
        <v>4.28</v>
      </c>
      <c r="O69" s="125">
        <v>0.1</v>
      </c>
      <c r="P69" s="125">
        <v>2.96</v>
      </c>
      <c r="Q69" s="97"/>
      <c r="R69" s="106"/>
      <c r="S69" s="401"/>
      <c r="T69" s="401"/>
      <c r="U69" s="246"/>
      <c r="V69" s="247"/>
      <c r="W69" s="106"/>
      <c r="X69" s="106"/>
      <c r="Y69" s="106"/>
      <c r="Z69" s="106"/>
      <c r="AA69" s="106"/>
    </row>
    <row r="70" spans="1:27" ht="12.75">
      <c r="A70" s="97"/>
      <c r="B70" s="421" t="s">
        <v>70</v>
      </c>
      <c r="C70" s="126"/>
      <c r="D70" s="127">
        <f>SUMPRODUCT(D68:D69,$G68:$G69)/SUM($G68:$G69)</f>
        <v>0.48000000000000004</v>
      </c>
      <c r="E70" s="118"/>
      <c r="F70" s="118"/>
      <c r="G70" s="128"/>
      <c r="H70" s="129">
        <f>SUMPRODUCT(H68:H69,$I68:$I69)/SUM($I68:$I69)</f>
        <v>7598.6666666666679</v>
      </c>
      <c r="I70" s="118"/>
      <c r="J70" s="130">
        <f>SUMPRODUCT(J68:J69,$G68:$G69)/SUM($G68:$G69)</f>
        <v>672.6</v>
      </c>
      <c r="K70" s="131"/>
      <c r="L70" s="124">
        <f>SUMPRODUCT(L68:L69,$G68:$G69)/SUM($G68:$G69)</f>
        <v>9.09</v>
      </c>
      <c r="M70" s="124">
        <f>SUMPRODUCT(M68:M69,$G68:$G69)/SUM($G68:$G69)</f>
        <v>1.35</v>
      </c>
      <c r="N70" s="124">
        <f>SUMPRODUCT(N68:N69,$G68:$G69)/SUM($G68:$G69)</f>
        <v>10.44</v>
      </c>
      <c r="O70" s="124">
        <f>SUMPRODUCT(O68:O69,$I68:$I69)/SUM($I68:$I69)</f>
        <v>3.0586666666666669</v>
      </c>
      <c r="P70" s="124">
        <f>SUMPRODUCT(P68:P69,$I68:$I69)/SUM($I68:$I69)</f>
        <v>2.3626666666666671</v>
      </c>
      <c r="Q70" s="97"/>
      <c r="R70" s="248"/>
      <c r="S70" s="248"/>
      <c r="T70" s="248"/>
      <c r="W70" s="106"/>
      <c r="X70" s="248"/>
      <c r="Y70" s="248"/>
      <c r="Z70" s="248"/>
      <c r="AA70" s="248"/>
    </row>
    <row r="71" spans="1:27" ht="12.75">
      <c r="A71" s="97"/>
      <c r="B71" s="126" t="s">
        <v>182</v>
      </c>
      <c r="C71" s="132"/>
      <c r="D71" s="108">
        <v>0.16</v>
      </c>
      <c r="E71" s="108"/>
      <c r="F71" s="109"/>
      <c r="G71" s="110">
        <v>281</v>
      </c>
      <c r="H71" s="111">
        <v>11052</v>
      </c>
      <c r="I71" s="112"/>
      <c r="J71" s="110">
        <v>408</v>
      </c>
      <c r="K71" s="113">
        <v>7.6700000000000004E-2</v>
      </c>
      <c r="L71" s="114">
        <v>10.97</v>
      </c>
      <c r="M71" s="114"/>
      <c r="N71" s="115">
        <f>L71+M71</f>
        <v>10.97</v>
      </c>
      <c r="O71" s="116">
        <v>5.35</v>
      </c>
      <c r="P71" s="116"/>
      <c r="Q71" s="97"/>
      <c r="W71" s="106"/>
      <c r="X71" s="248"/>
      <c r="Y71" s="248"/>
      <c r="Z71" s="256"/>
      <c r="AA71" s="248"/>
    </row>
    <row r="72" spans="1:27" ht="15" customHeight="1">
      <c r="A72" s="248"/>
      <c r="B72" s="96" t="s">
        <v>252</v>
      </c>
      <c r="G72" s="133"/>
    </row>
    <row r="73" spans="1:27">
      <c r="A73" s="248"/>
    </row>
  </sheetData>
  <pageMargins left="0.25" right="0.25" top="0.25" bottom="0.75" header="0.3" footer="0.3"/>
  <pageSetup scale="56" orientation="landscape" r:id="rId1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83"/>
  <sheetViews>
    <sheetView showGridLines="0" topLeftCell="AN10" zoomScaleNormal="100" workbookViewId="0">
      <selection activeCell="B1" sqref="B1"/>
    </sheetView>
  </sheetViews>
  <sheetFormatPr defaultRowHeight="11.25"/>
  <cols>
    <col min="1" max="1" width="2.83203125" style="4" customWidth="1"/>
    <col min="2" max="2" width="3" style="4" customWidth="1"/>
    <col min="3" max="6" width="15.1640625" style="4" customWidth="1"/>
    <col min="7" max="9" width="16" style="4" customWidth="1"/>
    <col min="10" max="10" width="10.1640625" style="4" customWidth="1"/>
    <col min="11" max="11" width="17.6640625" style="4" customWidth="1"/>
    <col min="12" max="12" width="15.1640625" style="4" customWidth="1"/>
    <col min="13" max="13" width="13.33203125" style="4" customWidth="1"/>
    <col min="14" max="14" width="2.6640625" style="4" customWidth="1"/>
    <col min="15" max="15" width="3" style="4" customWidth="1"/>
    <col min="16" max="17" width="15.1640625" style="4" customWidth="1"/>
    <col min="18" max="18" width="11.6640625" style="4" customWidth="1"/>
    <col min="19" max="19" width="12.1640625" style="4" customWidth="1"/>
    <col min="20" max="22" width="15.1640625" style="4" customWidth="1"/>
    <col min="23" max="23" width="8.83203125" style="4" customWidth="1"/>
    <col min="24" max="24" width="9.83203125" style="4" customWidth="1"/>
    <col min="25" max="25" width="1" style="4" customWidth="1"/>
    <col min="26" max="26" width="1.1640625" style="4" customWidth="1"/>
    <col min="27" max="27" width="2.33203125" style="4" customWidth="1"/>
    <col min="28" max="28" width="9.33203125" style="4"/>
    <col min="29" max="29" width="11.6640625" style="4" customWidth="1"/>
    <col min="30" max="30" width="16" style="4" customWidth="1"/>
    <col min="31" max="31" width="10.6640625" style="4" bestFit="1" customWidth="1"/>
    <col min="32" max="32" width="7.33203125" style="4" customWidth="1"/>
    <col min="33" max="33" width="9.33203125" style="4"/>
    <col min="34" max="34" width="15.1640625" style="4" customWidth="1"/>
    <col min="35" max="36" width="9.33203125" style="4"/>
    <col min="37" max="37" width="10.6640625" style="4" customWidth="1"/>
    <col min="38" max="38" width="4" style="4" customWidth="1"/>
    <col min="39" max="39" width="6.33203125" style="4" customWidth="1"/>
    <col min="40" max="41" width="11.1640625" style="4" customWidth="1"/>
    <col min="42" max="55" width="9.33203125" style="4"/>
    <col min="56" max="56" width="22" style="4" customWidth="1"/>
    <col min="57" max="16384" width="9.33203125" style="4"/>
  </cols>
  <sheetData>
    <row r="1" spans="1:59" s="292" customFormat="1">
      <c r="A1" s="292" t="s">
        <v>0</v>
      </c>
      <c r="AS1" s="292" t="s">
        <v>73</v>
      </c>
    </row>
    <row r="2" spans="1:59" s="292" customFormat="1">
      <c r="A2" s="292" t="s">
        <v>162</v>
      </c>
      <c r="AS2" s="292" t="s">
        <v>75</v>
      </c>
    </row>
    <row r="3" spans="1:59" s="292" customFormat="1">
      <c r="A3" s="292" t="s">
        <v>1</v>
      </c>
      <c r="AS3" s="292" t="s">
        <v>77</v>
      </c>
    </row>
    <row r="4" spans="1:59" s="292" customFormat="1">
      <c r="AS4" s="292" t="s">
        <v>78</v>
      </c>
    </row>
    <row r="5" spans="1:59" s="292" customFormat="1">
      <c r="A5" s="292" t="s">
        <v>155</v>
      </c>
      <c r="AS5" s="292" t="s">
        <v>79</v>
      </c>
    </row>
    <row r="6" spans="1:59">
      <c r="A6" s="7"/>
      <c r="B6" s="7"/>
      <c r="C6" s="7"/>
      <c r="AS6" s="292" t="s">
        <v>80</v>
      </c>
    </row>
    <row r="7" spans="1:59">
      <c r="AS7" s="4" t="s">
        <v>81</v>
      </c>
    </row>
    <row r="8" spans="1:59">
      <c r="B8" s="389" t="s">
        <v>82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O8" s="391" t="s">
        <v>83</v>
      </c>
      <c r="P8" s="391"/>
      <c r="Q8" s="391"/>
      <c r="R8" s="391"/>
      <c r="S8" s="391"/>
      <c r="T8" s="391"/>
      <c r="U8" s="391"/>
      <c r="V8" s="391"/>
      <c r="W8" s="391"/>
      <c r="X8" s="391"/>
      <c r="Y8" s="391"/>
      <c r="AD8" s="292" t="s">
        <v>74</v>
      </c>
      <c r="AS8" s="4" t="s">
        <v>84</v>
      </c>
    </row>
    <row r="9" spans="1:59">
      <c r="AD9" s="292" t="s">
        <v>76</v>
      </c>
      <c r="AE9" s="270"/>
      <c r="AI9" s="4" t="s">
        <v>210</v>
      </c>
      <c r="AN9" s="4" t="s">
        <v>209</v>
      </c>
      <c r="AS9" s="4" t="s">
        <v>85</v>
      </c>
    </row>
    <row r="10" spans="1:59" ht="32.25" customHeight="1">
      <c r="C10" s="308"/>
      <c r="D10" s="308" t="s">
        <v>86</v>
      </c>
      <c r="E10" s="308" t="s">
        <v>86</v>
      </c>
      <c r="F10" s="308" t="s">
        <v>86</v>
      </c>
      <c r="G10" s="392" t="s">
        <v>87</v>
      </c>
      <c r="H10" s="392" t="s">
        <v>194</v>
      </c>
      <c r="I10" s="392" t="s">
        <v>199</v>
      </c>
      <c r="J10" s="392" t="s">
        <v>207</v>
      </c>
      <c r="K10" s="308" t="s">
        <v>214</v>
      </c>
      <c r="L10" s="308" t="s">
        <v>207</v>
      </c>
      <c r="M10" s="392" t="s">
        <v>211</v>
      </c>
      <c r="P10" s="308"/>
      <c r="Q10" s="308"/>
      <c r="R10" s="308" t="s">
        <v>86</v>
      </c>
      <c r="S10" s="308" t="s">
        <v>86</v>
      </c>
      <c r="T10" s="308" t="s">
        <v>86</v>
      </c>
      <c r="U10" s="308"/>
      <c r="V10" s="308"/>
      <c r="W10" s="308"/>
      <c r="X10" s="308"/>
      <c r="AD10" s="292" t="s">
        <v>88</v>
      </c>
      <c r="AE10" s="270"/>
      <c r="AI10" s="270" t="s">
        <v>205</v>
      </c>
      <c r="AN10" s="270" t="s">
        <v>206</v>
      </c>
      <c r="AO10" s="270"/>
      <c r="AS10" s="4" t="s">
        <v>89</v>
      </c>
      <c r="BD10" s="4" t="s">
        <v>188</v>
      </c>
      <c r="BE10" s="4" t="s">
        <v>195</v>
      </c>
      <c r="BF10" s="4" t="s">
        <v>196</v>
      </c>
    </row>
    <row r="11" spans="1:59" ht="22.5">
      <c r="C11" s="308" t="s">
        <v>90</v>
      </c>
      <c r="D11" s="308" t="s">
        <v>91</v>
      </c>
      <c r="E11" s="308" t="s">
        <v>92</v>
      </c>
      <c r="F11" s="308" t="s">
        <v>93</v>
      </c>
      <c r="G11" s="392" t="s">
        <v>212</v>
      </c>
      <c r="H11" s="392" t="s">
        <v>212</v>
      </c>
      <c r="I11" s="392" t="s">
        <v>212</v>
      </c>
      <c r="J11" s="392" t="s">
        <v>212</v>
      </c>
      <c r="K11" s="308" t="s">
        <v>213</v>
      </c>
      <c r="L11" s="308" t="s">
        <v>213</v>
      </c>
      <c r="M11" s="308" t="s">
        <v>94</v>
      </c>
      <c r="P11" s="308" t="s">
        <v>90</v>
      </c>
      <c r="Q11" s="308" t="s">
        <v>95</v>
      </c>
      <c r="R11" s="308" t="s">
        <v>91</v>
      </c>
      <c r="S11" s="308" t="s">
        <v>92</v>
      </c>
      <c r="T11" s="308" t="s">
        <v>93</v>
      </c>
      <c r="U11" s="308" t="s">
        <v>96</v>
      </c>
      <c r="V11" s="308" t="s">
        <v>97</v>
      </c>
      <c r="W11" s="308" t="s">
        <v>98</v>
      </c>
      <c r="X11" s="308" t="s">
        <v>99</v>
      </c>
      <c r="AB11" s="4" t="s">
        <v>90</v>
      </c>
      <c r="AC11" s="4" t="s">
        <v>95</v>
      </c>
      <c r="AD11" s="270" t="s">
        <v>100</v>
      </c>
      <c r="AE11" s="270" t="s">
        <v>101</v>
      </c>
      <c r="AI11" s="270" t="s">
        <v>101</v>
      </c>
      <c r="AJ11" s="393" t="s">
        <v>197</v>
      </c>
      <c r="AK11" s="393" t="s">
        <v>198</v>
      </c>
      <c r="AM11" s="4" t="s">
        <v>90</v>
      </c>
      <c r="AN11" s="270" t="s">
        <v>101</v>
      </c>
      <c r="AO11" s="270" t="s">
        <v>101</v>
      </c>
      <c r="AP11" s="393" t="s">
        <v>197</v>
      </c>
      <c r="AQ11" s="393" t="s">
        <v>198</v>
      </c>
      <c r="AS11" s="4" t="s">
        <v>102</v>
      </c>
      <c r="BD11" s="4" t="s">
        <v>187</v>
      </c>
      <c r="BE11" s="4" t="s">
        <v>189</v>
      </c>
      <c r="BF11" s="4" t="s">
        <v>190</v>
      </c>
      <c r="BG11" s="4" t="s">
        <v>208</v>
      </c>
    </row>
    <row r="12" spans="1:59">
      <c r="C12" s="272">
        <v>2003</v>
      </c>
      <c r="D12" s="262">
        <f t="shared" ref="D12:G14" si="0">D13/(1+$K13)</f>
        <v>61.282160463674074</v>
      </c>
      <c r="E12" s="262">
        <f t="shared" si="0"/>
        <v>50.468002675669666</v>
      </c>
      <c r="F12" s="262">
        <f t="shared" si="0"/>
        <v>56.625700486208387</v>
      </c>
      <c r="G12" s="263">
        <f t="shared" si="0"/>
        <v>7.0306107786092609</v>
      </c>
      <c r="H12" s="263">
        <f>H13/(1+$BD$37)</f>
        <v>3.7170731707317075</v>
      </c>
      <c r="I12" s="257"/>
      <c r="J12" s="257"/>
      <c r="K12" s="192"/>
      <c r="L12" s="192"/>
      <c r="M12" s="192"/>
      <c r="P12" s="308"/>
      <c r="Q12" s="308"/>
      <c r="R12" s="308"/>
      <c r="S12" s="308"/>
      <c r="T12" s="308"/>
      <c r="U12" s="308"/>
      <c r="V12" s="308"/>
      <c r="W12" s="308"/>
      <c r="X12" s="308"/>
      <c r="AD12" s="270"/>
      <c r="AE12" s="270"/>
      <c r="AG12" s="4">
        <f>YEAR(AH12)</f>
        <v>2004</v>
      </c>
      <c r="AH12" s="394">
        <v>38230</v>
      </c>
      <c r="AI12" s="4">
        <f>AVERAGE(AJ12:AK12)</f>
        <v>5.2698228344999993</v>
      </c>
      <c r="AJ12" s="4">
        <v>5.394645669</v>
      </c>
      <c r="AK12" s="4">
        <v>5.1449999999999996</v>
      </c>
      <c r="AM12" s="4">
        <f>YEAR(AN12)</f>
        <v>2008</v>
      </c>
      <c r="AN12" s="337">
        <v>39630</v>
      </c>
      <c r="AO12" s="4">
        <f>AVERAGE(AP12:AQ12)</f>
        <v>11.8</v>
      </c>
      <c r="AP12" s="4">
        <v>11.85</v>
      </c>
      <c r="AQ12" s="4">
        <v>11.75</v>
      </c>
      <c r="BD12" s="4">
        <v>2004</v>
      </c>
      <c r="BE12" s="395">
        <v>3.81</v>
      </c>
      <c r="BF12" s="395">
        <v>3.63</v>
      </c>
    </row>
    <row r="13" spans="1:59">
      <c r="C13" s="272">
        <v>2004</v>
      </c>
      <c r="D13" s="262">
        <f t="shared" si="0"/>
        <v>61.282160463674074</v>
      </c>
      <c r="E13" s="262">
        <f t="shared" si="0"/>
        <v>50.468002675669666</v>
      </c>
      <c r="F13" s="262">
        <f t="shared" si="0"/>
        <v>56.625700486208387</v>
      </c>
      <c r="G13" s="263">
        <f t="shared" si="0"/>
        <v>7.0306107786092609</v>
      </c>
      <c r="H13" s="257">
        <f t="shared" ref="H13:H32" si="1">INDEX($BE$12:$BE$31,MATCH($C13,$BD$12:$BD$31,0),1)</f>
        <v>3.81</v>
      </c>
      <c r="I13" s="191">
        <f>AVERAGEIF($AG$12:$AG$383,$C13,$AI$12:$AI$383)</f>
        <v>5.5731220929000003</v>
      </c>
      <c r="J13" s="191"/>
      <c r="K13" s="192"/>
      <c r="L13" s="192"/>
      <c r="M13" s="192"/>
      <c r="P13" s="308"/>
      <c r="Q13" s="308"/>
      <c r="R13" s="308"/>
      <c r="S13" s="308"/>
      <c r="T13" s="308"/>
      <c r="U13" s="308"/>
      <c r="V13" s="308"/>
      <c r="W13" s="308"/>
      <c r="X13" s="308"/>
      <c r="AD13" s="270"/>
      <c r="AE13" s="270"/>
      <c r="AG13" s="4">
        <f t="shared" ref="AG13:AG76" si="2">YEAR(AH13)</f>
        <v>2004</v>
      </c>
      <c r="AH13" s="394">
        <v>38260</v>
      </c>
      <c r="AI13" s="4">
        <f t="shared" ref="AI13:AI76" si="3">AVERAGE(AJ13:AK13)</f>
        <v>5.3128441459999998</v>
      </c>
      <c r="AJ13" s="4">
        <v>5.4616882919999998</v>
      </c>
      <c r="AK13" s="4">
        <v>5.1639999999999997</v>
      </c>
      <c r="AM13" s="4">
        <f t="shared" ref="AM13:AM76" si="4">YEAR(AN13)</f>
        <v>2008</v>
      </c>
      <c r="AN13" s="337">
        <v>39661</v>
      </c>
      <c r="AO13" s="4">
        <f t="shared" ref="AO13:AO76" si="5">AVERAGE(AP13:AQ13)</f>
        <v>12.195499999999999</v>
      </c>
      <c r="AP13" s="4">
        <v>12.288</v>
      </c>
      <c r="AQ13" s="4">
        <v>12.103</v>
      </c>
      <c r="BD13" s="4">
        <v>2005</v>
      </c>
      <c r="BE13" s="395">
        <v>3.96</v>
      </c>
      <c r="BF13" s="395">
        <v>3.77</v>
      </c>
    </row>
    <row r="14" spans="1:59">
      <c r="C14" s="272">
        <v>2005</v>
      </c>
      <c r="D14" s="262">
        <f t="shared" si="0"/>
        <v>61.282160463674074</v>
      </c>
      <c r="E14" s="262">
        <f t="shared" si="0"/>
        <v>50.468002675669666</v>
      </c>
      <c r="F14" s="262">
        <f t="shared" si="0"/>
        <v>56.625700486208387</v>
      </c>
      <c r="G14" s="263">
        <f t="shared" si="0"/>
        <v>7.0306107786092609</v>
      </c>
      <c r="H14" s="257">
        <f t="shared" si="1"/>
        <v>3.96</v>
      </c>
      <c r="I14" s="191">
        <f t="shared" ref="I14:I43" si="6">AVERAGEIF($AG$12:$AG$383,$C14,$AI$12:$AI$383)</f>
        <v>5.5083917806249998</v>
      </c>
      <c r="J14" s="191"/>
      <c r="K14" s="192"/>
      <c r="L14" s="192"/>
      <c r="M14" s="192"/>
      <c r="P14" s="308"/>
      <c r="Q14" s="308"/>
      <c r="R14" s="308"/>
      <c r="S14" s="308"/>
      <c r="T14" s="308"/>
      <c r="U14" s="308"/>
      <c r="V14" s="308"/>
      <c r="W14" s="308"/>
      <c r="X14" s="308"/>
      <c r="AD14" s="270"/>
      <c r="AE14" s="270"/>
      <c r="AG14" s="4">
        <f t="shared" si="2"/>
        <v>2004</v>
      </c>
      <c r="AH14" s="394">
        <v>38291</v>
      </c>
      <c r="AI14" s="4">
        <f t="shared" si="3"/>
        <v>5.3528441459999998</v>
      </c>
      <c r="AJ14" s="4">
        <v>5.5016882919999999</v>
      </c>
      <c r="AK14" s="4">
        <v>5.2039999999999997</v>
      </c>
      <c r="AM14" s="4">
        <f t="shared" si="4"/>
        <v>2008</v>
      </c>
      <c r="AN14" s="337">
        <v>39692</v>
      </c>
      <c r="AO14" s="4">
        <f t="shared" si="5"/>
        <v>12.238</v>
      </c>
      <c r="AP14" s="4">
        <v>12.278</v>
      </c>
      <c r="AQ14" s="4">
        <v>12.198</v>
      </c>
      <c r="BD14" s="4">
        <v>2006</v>
      </c>
      <c r="BE14" s="395">
        <v>4</v>
      </c>
      <c r="BF14" s="395">
        <v>3.82</v>
      </c>
    </row>
    <row r="15" spans="1:59">
      <c r="C15" s="272">
        <v>2006</v>
      </c>
      <c r="D15" s="191">
        <f t="array" ref="D15">SUM((R$15:R$383)*(U$15:U$383)*($P$15:$P$383=$C15))/SUM((U$15:U$383)*($P$15:$P$383=$C15))</f>
        <v>63.181907438047965</v>
      </c>
      <c r="E15" s="191">
        <f t="array" ref="E15">SUM((S$15:S$383)*(V$15:V$383)*($P$15:$P$383=$C15))/SUM((V$15:V$383)*($P$15:$P$383=$C15))</f>
        <v>52.032510758615423</v>
      </c>
      <c r="F15" s="191">
        <f t="array" ref="F15">(SUM((T$15:T$383)*(U$15:U$383)*($P$15:$P$383=$C15))+SUM((T$15:T$383)*(V$15:V$383)*($P$15:$P$383=$C15)))/(SUM((U$15:U$383)*($P$15:$P$383=$C15))+SUM((V$15:V$383)*($P$15:$P$383=$C15)))</f>
        <v>58.381097201280845</v>
      </c>
      <c r="G15" s="191">
        <f t="array" ref="G15">(SUM((AD$15:AD$383)*(U$15:U$383)*($P$15:$P$383=$C15))+SUM((AD$15:AD$383)*(V$15:V$383)*($P$15:$P$383=$C15)))/(SUM((U$15:U$383)*($P$15:$P$383=$C15))+SUM((V$15:V$383)*($P$15:$P$383=$C15)))</f>
        <v>7.2485597127461476</v>
      </c>
      <c r="H15" s="257">
        <f t="shared" si="1"/>
        <v>4</v>
      </c>
      <c r="I15" s="191">
        <f t="shared" si="6"/>
        <v>5.0513097146666661</v>
      </c>
      <c r="J15" s="191"/>
      <c r="K15" s="192">
        <v>3.1E-2</v>
      </c>
      <c r="L15" s="192"/>
      <c r="M15" s="338">
        <f t="shared" ref="M15" si="7">M16/(1+K15)</f>
        <v>4.9466537342386037</v>
      </c>
      <c r="P15" s="4">
        <f>+YEAR(Q15)</f>
        <v>2006</v>
      </c>
      <c r="Q15" s="396">
        <v>38718</v>
      </c>
      <c r="R15" s="397">
        <f>R27/(1+$K$15)</f>
        <v>78.040737148399614</v>
      </c>
      <c r="S15" s="397">
        <f>S27/(1+$K$15)</f>
        <v>70.305528612997094</v>
      </c>
      <c r="T15" s="338">
        <f t="shared" ref="T15:T22" si="8">R15*0.57+S15*0.43</f>
        <v>74.714597478176529</v>
      </c>
      <c r="U15" s="324">
        <v>400</v>
      </c>
      <c r="V15" s="324">
        <v>344</v>
      </c>
      <c r="W15" s="324">
        <f>U15/(U15+V15)</f>
        <v>0.5376344086021505</v>
      </c>
      <c r="X15" s="324">
        <f>V15/(U15+V15)</f>
        <v>0.46236559139784944</v>
      </c>
      <c r="AB15" s="4">
        <f t="shared" ref="AB15:AB26" si="9">+YEAR(AC15)</f>
        <v>2006</v>
      </c>
      <c r="AC15" s="394">
        <v>38718</v>
      </c>
      <c r="AD15" s="135">
        <f>AE15</f>
        <v>8.9348112271618962</v>
      </c>
      <c r="AE15" s="136">
        <f>AE27/(1+$K$15)</f>
        <v>8.9348112271618962</v>
      </c>
      <c r="AG15" s="4">
        <f t="shared" si="2"/>
        <v>2004</v>
      </c>
      <c r="AH15" s="394">
        <v>38321</v>
      </c>
      <c r="AI15" s="4">
        <f t="shared" si="3"/>
        <v>5.8505496689999994</v>
      </c>
      <c r="AJ15" s="4">
        <v>5.8830993380000001</v>
      </c>
      <c r="AK15" s="4">
        <v>5.8179999999999996</v>
      </c>
      <c r="AM15" s="4">
        <f t="shared" si="4"/>
        <v>2008</v>
      </c>
      <c r="AN15" s="337">
        <v>39722</v>
      </c>
      <c r="AO15" s="4">
        <f t="shared" si="5"/>
        <v>12.463750000000001</v>
      </c>
      <c r="AP15" s="4">
        <v>12.28</v>
      </c>
      <c r="AQ15" s="4">
        <v>12.647500000000001</v>
      </c>
      <c r="AS15" s="4" t="s">
        <v>103</v>
      </c>
      <c r="BD15" s="4">
        <v>2007</v>
      </c>
      <c r="BE15" s="395">
        <v>4.22</v>
      </c>
      <c r="BF15" s="395">
        <v>4.04</v>
      </c>
    </row>
    <row r="16" spans="1:59">
      <c r="C16" s="4">
        <f>+C15+1</f>
        <v>2007</v>
      </c>
      <c r="D16" s="191">
        <f t="array" ref="D16">SUM((R$15:R$383)*(U$15:U$383)*($P$15:$P$383=$C16))/SUM((U$15:U$383)*($P$15:$P$383=$C16))</f>
        <v>69.601889250814324</v>
      </c>
      <c r="E16" s="191">
        <f t="array" ref="E16">SUM((S$15:S$383)*(V$15:V$383)*($P$15:$P$383=$C16))/SUM((V$15:V$383)*($P$15:$P$383=$C16))</f>
        <v>57.56770270270269</v>
      </c>
      <c r="F16" s="191">
        <f t="array" ref="F16">(SUM((T$15:T$383)*(U$15:U$383)*($P$15:$P$383=$C16))+SUM((T$15:T$383)*(V$15:V$383)*($P$15:$P$383=$C16)))/(SUM((U$15:U$383)*($P$15:$P$383=$C16))+SUM((V$15:V$383)*($P$15:$P$383=$C16)))</f>
        <v>64.461059246575331</v>
      </c>
      <c r="G16" s="191">
        <f t="array" ref="G16">(SUM((AD$15:AD$383)*(U$15:U$383)*($P$15:$P$383=$C16))+SUM((AD$15:AD$383)*(V$15:V$383)*($P$15:$P$383=$C16)))/(SUM((U$15:U$383)*($P$15:$P$383=$C16))+SUM((V$15:V$383)*($P$15:$P$383=$C16)))</f>
        <v>8.0291312655031408</v>
      </c>
      <c r="H16" s="257">
        <f t="shared" si="1"/>
        <v>4.22</v>
      </c>
      <c r="I16" s="191">
        <f t="shared" si="6"/>
        <v>4.6075531055833343</v>
      </c>
      <c r="J16" s="257"/>
      <c r="K16" s="192">
        <v>1.9E-2</v>
      </c>
      <c r="L16" s="192"/>
      <c r="M16" s="338">
        <v>5.0999999999999996</v>
      </c>
      <c r="P16" s="4">
        <f t="shared" ref="P16:P79" si="10">+YEAR(Q16)</f>
        <v>2006</v>
      </c>
      <c r="Q16" s="396">
        <f t="shared" ref="Q16:Q27" si="11">EOMONTH(Q15,0)+1</f>
        <v>38749</v>
      </c>
      <c r="R16" s="397">
        <f t="shared" ref="R16:S22" si="12">R28/(1+$K$15)</f>
        <v>73.705140640155193</v>
      </c>
      <c r="S16" s="397">
        <f t="shared" si="12"/>
        <v>66.435499515033953</v>
      </c>
      <c r="T16" s="338">
        <f t="shared" si="8"/>
        <v>70.579194956353049</v>
      </c>
      <c r="U16" s="324">
        <v>384</v>
      </c>
      <c r="V16" s="324">
        <v>288</v>
      </c>
      <c r="W16" s="324">
        <f t="shared" ref="W16:W79" si="13">U16/(U16+V16)</f>
        <v>0.5714285714285714</v>
      </c>
      <c r="X16" s="324">
        <f t="shared" ref="X16:X79" si="14">V16/(U16+V16)</f>
        <v>0.42857142857142855</v>
      </c>
      <c r="AB16" s="4">
        <f t="shared" si="9"/>
        <v>2006</v>
      </c>
      <c r="AC16" s="394">
        <v>38749</v>
      </c>
      <c r="AD16" s="135">
        <f t="shared" ref="AD16:AD79" si="15">AE16</f>
        <v>8.9760162003450414</v>
      </c>
      <c r="AE16" s="136">
        <f t="shared" ref="AE16:AE21" si="16">AE28/(1+$K$15)</f>
        <v>8.9760162003450414</v>
      </c>
      <c r="AG16" s="4">
        <f t="shared" si="2"/>
        <v>2004</v>
      </c>
      <c r="AH16" s="394">
        <v>38352</v>
      </c>
      <c r="AI16" s="4">
        <f t="shared" si="3"/>
        <v>6.0795496690000004</v>
      </c>
      <c r="AJ16" s="4">
        <v>6.1120993380000002</v>
      </c>
      <c r="AK16" s="4">
        <v>6.0469999999999997</v>
      </c>
      <c r="AM16" s="4">
        <f t="shared" si="4"/>
        <v>2008</v>
      </c>
      <c r="AN16" s="337">
        <v>39753</v>
      </c>
      <c r="AO16" s="4">
        <f t="shared" si="5"/>
        <v>12.91625</v>
      </c>
      <c r="AP16" s="4">
        <v>12.545</v>
      </c>
      <c r="AQ16" s="4">
        <v>13.2875</v>
      </c>
      <c r="AS16" s="4" t="s">
        <v>104</v>
      </c>
      <c r="BD16" s="4">
        <v>2008</v>
      </c>
      <c r="BE16" s="395">
        <v>4.42</v>
      </c>
      <c r="BF16" s="395">
        <v>4.26</v>
      </c>
    </row>
    <row r="17" spans="3:58">
      <c r="C17" s="4">
        <f>+C16+1</f>
        <v>2008</v>
      </c>
      <c r="D17" s="191">
        <f t="array" ref="D17">SUM((R$15:R$383)*(U$15:U$383)*($P$15:$P$383=$C17))/SUM((U$15:U$383)*($P$15:$P$383=$C17))</f>
        <v>69.778360389610398</v>
      </c>
      <c r="E17" s="191">
        <f t="array" ref="E17">SUM((S$15:S$383)*(V$15:V$383)*($P$15:$P$383=$C17))/SUM((V$15:V$383)*($P$15:$P$383=$C17))</f>
        <v>57.537904564315362</v>
      </c>
      <c r="F17" s="191">
        <f t="array" ref="F17">(SUM((T$15:T$383)*(U$15:U$383)*($P$15:$P$383=$C17))+SUM((T$15:T$383)*(V$15:V$383)*($P$15:$P$383=$C17)))/(SUM((U$15:U$383)*($P$15:$P$383=$C17))+SUM((V$15:V$383)*($P$15:$P$383=$C17)))</f>
        <v>64.5269524590164</v>
      </c>
      <c r="G17" s="191">
        <f t="array" ref="G17">(SUM((AD$15:AD$383)*(U$15:U$383)*($P$15:$P$383=$C17))+SUM((AD$15:AD$383)*(V$15:V$383)*($P$15:$P$383=$C17)))/(SUM((U$15:U$383)*($P$15:$P$383=$C17))+SUM((V$15:V$383)*($P$15:$P$383=$C17)))</f>
        <v>7.9707205782722266</v>
      </c>
      <c r="H17" s="257">
        <f t="shared" si="1"/>
        <v>4.42</v>
      </c>
      <c r="I17" s="191">
        <f t="shared" si="6"/>
        <v>4.278110837291667</v>
      </c>
      <c r="J17" s="257">
        <f>AVERAGEIF($AM$12:$AM$383,$C17,$AO$12:$AO$383)</f>
        <v>12.545583333333333</v>
      </c>
      <c r="K17" s="192">
        <v>1.7000000000000001E-2</v>
      </c>
      <c r="L17" s="192">
        <v>3.4000000000000002E-2</v>
      </c>
      <c r="M17" s="338">
        <f t="shared" ref="M17:M44" si="17">M16*(1+K17)</f>
        <v>5.1866999999999992</v>
      </c>
      <c r="P17" s="4">
        <f t="shared" si="10"/>
        <v>2006</v>
      </c>
      <c r="Q17" s="396">
        <f t="shared" si="11"/>
        <v>38777</v>
      </c>
      <c r="R17" s="397">
        <f t="shared" si="12"/>
        <v>65.03394762366635</v>
      </c>
      <c r="S17" s="397">
        <f t="shared" si="12"/>
        <v>56.760426770126102</v>
      </c>
      <c r="T17" s="338">
        <f t="shared" si="8"/>
        <v>61.476333656644037</v>
      </c>
      <c r="U17" s="324">
        <v>432</v>
      </c>
      <c r="V17" s="324">
        <v>312</v>
      </c>
      <c r="W17" s="324">
        <f t="shared" si="13"/>
        <v>0.58064516129032262</v>
      </c>
      <c r="X17" s="324">
        <f t="shared" si="14"/>
        <v>0.41935483870967744</v>
      </c>
      <c r="AB17" s="4">
        <f t="shared" si="9"/>
        <v>2006</v>
      </c>
      <c r="AC17" s="394">
        <v>38777</v>
      </c>
      <c r="AD17" s="135">
        <f t="shared" si="15"/>
        <v>8.8260300979583945</v>
      </c>
      <c r="AE17" s="136">
        <f t="shared" si="16"/>
        <v>8.8260300979583945</v>
      </c>
      <c r="AG17" s="4">
        <f t="shared" si="2"/>
        <v>2005</v>
      </c>
      <c r="AH17" s="394">
        <v>38383</v>
      </c>
      <c r="AI17" s="4">
        <f t="shared" si="3"/>
        <v>6.2105496690000006</v>
      </c>
      <c r="AJ17" s="4">
        <v>6.2430993380000004</v>
      </c>
      <c r="AK17" s="4">
        <v>6.1779999999999999</v>
      </c>
      <c r="AM17" s="4">
        <f t="shared" si="4"/>
        <v>2008</v>
      </c>
      <c r="AN17" s="337">
        <v>39783</v>
      </c>
      <c r="AO17" s="4">
        <f t="shared" si="5"/>
        <v>13.66</v>
      </c>
      <c r="AP17" s="4">
        <v>13.125</v>
      </c>
      <c r="AQ17" s="4">
        <v>14.195</v>
      </c>
      <c r="AS17" s="4" t="s">
        <v>105</v>
      </c>
      <c r="BD17" s="4">
        <v>2009</v>
      </c>
      <c r="BE17" s="395">
        <v>4.29</v>
      </c>
      <c r="BF17" s="395">
        <v>4.1399999999999997</v>
      </c>
    </row>
    <row r="18" spans="3:58">
      <c r="C18" s="4">
        <f t="shared" ref="C18:C48" si="18">+C17+1</f>
        <v>2009</v>
      </c>
      <c r="D18" s="191">
        <f t="array" ref="D18">SUM((R$15:R$383)*(U$15:U$383)*($P$15:$P$383=$C18))/SUM((U$15:U$383)*($P$15:$P$383=$C18))</f>
        <v>66.730374592833869</v>
      </c>
      <c r="E18" s="191">
        <f t="array" ref="E18">SUM((S$15:S$383)*(V$15:V$383)*($P$15:$P$383=$C18))/SUM((V$15:V$383)*($P$15:$P$383=$C18))</f>
        <v>54.76019750519751</v>
      </c>
      <c r="F18" s="191">
        <f t="array" ref="F18">(SUM((T$15:T$383)*(U$15:U$383)*($P$15:$P$383=$C18))+SUM((T$15:T$383)*(V$15:V$383)*($P$15:$P$383=$C18)))/(SUM((U$15:U$383)*($P$15:$P$383=$C18))+SUM((V$15:V$383)*($P$15:$P$383=$C18)))</f>
        <v>61.597048630136982</v>
      </c>
      <c r="G18" s="191">
        <f t="array" ref="G18">(SUM((AD$15:AD$383)*(U$15:U$383)*($P$15:$P$383=$C18))+SUM((AD$15:AD$383)*(V$15:V$383)*($P$15:$P$383=$C18)))/(SUM((U$15:U$383)*($P$15:$P$383=$C18))+SUM((V$15:V$383)*($P$15:$P$383=$C18)))</f>
        <v>7.7758276535043622</v>
      </c>
      <c r="H18" s="257">
        <f t="shared" si="1"/>
        <v>4.29</v>
      </c>
      <c r="I18" s="191">
        <f t="shared" si="6"/>
        <v>4.2066481892916672</v>
      </c>
      <c r="J18" s="257">
        <f t="shared" ref="J18:J47" si="19">AVERAGEIF($AM$12:$AM$383,$C18,$AO$12:$AO$383)</f>
        <v>11.848729166666667</v>
      </c>
      <c r="K18" s="192">
        <v>1.7000000000000001E-2</v>
      </c>
      <c r="L18" s="192">
        <v>2.1999999999999999E-2</v>
      </c>
      <c r="M18" s="338">
        <f t="shared" si="17"/>
        <v>5.2748738999999985</v>
      </c>
      <c r="P18" s="4">
        <f t="shared" si="10"/>
        <v>2006</v>
      </c>
      <c r="Q18" s="396">
        <f t="shared" si="11"/>
        <v>38808</v>
      </c>
      <c r="R18" s="397">
        <f t="shared" si="12"/>
        <v>56.74102812803104</v>
      </c>
      <c r="S18" s="397">
        <f t="shared" si="12"/>
        <v>41.610087293889428</v>
      </c>
      <c r="T18" s="338">
        <f t="shared" si="8"/>
        <v>50.234723569350152</v>
      </c>
      <c r="U18" s="324">
        <v>400</v>
      </c>
      <c r="V18" s="324">
        <v>320</v>
      </c>
      <c r="W18" s="324">
        <f t="shared" si="13"/>
        <v>0.55555555555555558</v>
      </c>
      <c r="X18" s="324">
        <f t="shared" si="14"/>
        <v>0.44444444444444442</v>
      </c>
      <c r="AB18" s="4">
        <f t="shared" si="9"/>
        <v>2006</v>
      </c>
      <c r="AC18" s="394">
        <v>38808</v>
      </c>
      <c r="AD18" s="135">
        <f t="shared" si="15"/>
        <v>6.9779046407480143</v>
      </c>
      <c r="AE18" s="136">
        <f t="shared" si="16"/>
        <v>6.9779046407480143</v>
      </c>
      <c r="AG18" s="4">
        <f t="shared" si="2"/>
        <v>2005</v>
      </c>
      <c r="AH18" s="394">
        <v>38411</v>
      </c>
      <c r="AI18" s="4">
        <f t="shared" si="3"/>
        <v>6.1605496689999999</v>
      </c>
      <c r="AJ18" s="4">
        <v>6.1930993379999997</v>
      </c>
      <c r="AK18" s="4">
        <v>6.1280000000000001</v>
      </c>
      <c r="AM18" s="4">
        <f t="shared" si="4"/>
        <v>2009</v>
      </c>
      <c r="AN18" s="337">
        <v>39814</v>
      </c>
      <c r="AO18" s="4">
        <f t="shared" si="5"/>
        <v>13.9175</v>
      </c>
      <c r="AP18" s="4">
        <v>13.315</v>
      </c>
      <c r="AQ18" s="4">
        <v>14.52</v>
      </c>
      <c r="AS18" s="4" t="s">
        <v>106</v>
      </c>
      <c r="BD18" s="4">
        <v>2010</v>
      </c>
      <c r="BE18" s="395">
        <v>3.77</v>
      </c>
      <c r="BF18" s="395">
        <v>3.65</v>
      </c>
    </row>
    <row r="19" spans="3:58">
      <c r="C19" s="4">
        <f t="shared" si="18"/>
        <v>2010</v>
      </c>
      <c r="D19" s="191">
        <f t="array" ref="D19">SUM((R$15:R$383)*(U$15:U$383)*($P$15:$P$383=$C19))/SUM((U$15:U$383)*($P$15:$P$383=$C19))</f>
        <v>62.227996742671003</v>
      </c>
      <c r="E19" s="191">
        <f t="array" ref="E19">SUM((S$15:S$383)*(V$15:V$383)*($P$15:$P$383=$C19))/SUM((V$15:V$383)*($P$15:$P$383=$C19))</f>
        <v>51.022224532224534</v>
      </c>
      <c r="F19" s="191">
        <f t="array" ref="F19">(SUM((T$15:T$383)*(U$15:U$383)*($P$15:$P$383=$C19))+SUM((T$15:T$383)*(V$15:V$383)*($P$15:$P$383=$C19)))/(SUM((U$15:U$383)*($P$15:$P$383=$C19))+SUM((V$15:V$383)*($P$15:$P$383=$C19)))</f>
        <v>57.41954863013698</v>
      </c>
      <c r="G19" s="191">
        <f t="array" ref="G19">(SUM((AD$15:AD$383)*(U$15:U$383)*($P$15:$P$383=$C19))+SUM((AD$15:AD$383)*(V$15:V$383)*($P$15:$P$383=$C19)))/(SUM((U$15:U$383)*($P$15:$P$383=$C19))+SUM((V$15:V$383)*($P$15:$P$383=$C19)))</f>
        <v>7.4774457529777205</v>
      </c>
      <c r="H19" s="257">
        <f t="shared" si="1"/>
        <v>3.77</v>
      </c>
      <c r="I19" s="191">
        <f t="shared" si="6"/>
        <v>4.3357920622499995</v>
      </c>
      <c r="J19" s="257">
        <f t="shared" si="19"/>
        <v>10.836874999999999</v>
      </c>
      <c r="K19" s="192">
        <v>1.9E-2</v>
      </c>
      <c r="L19" s="192">
        <v>1.7000000000000001E-2</v>
      </c>
      <c r="M19" s="338">
        <f t="shared" si="17"/>
        <v>5.3750965040999983</v>
      </c>
      <c r="P19" s="4">
        <f t="shared" si="10"/>
        <v>2006</v>
      </c>
      <c r="Q19" s="396">
        <f t="shared" si="11"/>
        <v>38838</v>
      </c>
      <c r="R19" s="397">
        <f t="shared" si="12"/>
        <v>46.556741028128037</v>
      </c>
      <c r="S19" s="397">
        <f t="shared" si="12"/>
        <v>31.901066925315231</v>
      </c>
      <c r="T19" s="338">
        <f t="shared" si="8"/>
        <v>40.254801163918529</v>
      </c>
      <c r="U19" s="324">
        <v>416</v>
      </c>
      <c r="V19" s="324">
        <v>328</v>
      </c>
      <c r="W19" s="324">
        <f t="shared" si="13"/>
        <v>0.55913978494623651</v>
      </c>
      <c r="X19" s="324">
        <f t="shared" si="14"/>
        <v>0.44086021505376344</v>
      </c>
      <c r="AB19" s="4">
        <f t="shared" si="9"/>
        <v>2006</v>
      </c>
      <c r="AC19" s="394">
        <v>38838</v>
      </c>
      <c r="AD19" s="135">
        <f t="shared" si="15"/>
        <v>6.8295667372886948</v>
      </c>
      <c r="AE19" s="136">
        <f t="shared" si="16"/>
        <v>6.8295667372886948</v>
      </c>
      <c r="AG19" s="4">
        <f t="shared" si="2"/>
        <v>2005</v>
      </c>
      <c r="AH19" s="394">
        <v>38442</v>
      </c>
      <c r="AI19" s="4">
        <f t="shared" si="3"/>
        <v>6.0055496690000005</v>
      </c>
      <c r="AJ19" s="4">
        <v>6.0380993380000003</v>
      </c>
      <c r="AK19" s="4">
        <v>5.9729999999999999</v>
      </c>
      <c r="AM19" s="4">
        <f t="shared" si="4"/>
        <v>2009</v>
      </c>
      <c r="AN19" s="337">
        <v>39845</v>
      </c>
      <c r="AO19" s="4">
        <f t="shared" si="5"/>
        <v>13.906749999999999</v>
      </c>
      <c r="AP19" s="4">
        <v>13.3255</v>
      </c>
      <c r="AQ19" s="4">
        <v>14.488</v>
      </c>
      <c r="BD19" s="4">
        <v>2011</v>
      </c>
      <c r="BE19" s="395">
        <v>3.91</v>
      </c>
      <c r="BF19" s="395">
        <v>4.01</v>
      </c>
    </row>
    <row r="20" spans="3:58">
      <c r="C20" s="4">
        <f t="shared" si="18"/>
        <v>2011</v>
      </c>
      <c r="D20" s="191">
        <f t="array" ref="D20">SUM((R$15:R$383)*(U$15:U$383)*($P$15:$P$383=$C20))/SUM((U$15:U$383)*($P$15:$P$383=$C20))</f>
        <v>58.269169381107488</v>
      </c>
      <c r="E20" s="191">
        <f t="array" ref="E20">SUM((S$15:S$383)*(V$15:V$383)*($P$15:$P$383=$C20))/SUM((V$15:V$383)*($P$15:$P$383=$C20))</f>
        <v>47.480977130977131</v>
      </c>
      <c r="F20" s="191">
        <f t="array" ref="F20">(SUM((T$15:T$383)*(U$15:U$383)*($P$15:$P$383=$C20))+SUM((T$15:T$383)*(V$15:V$383)*($P$15:$P$383=$C20)))/(SUM((U$15:U$383)*($P$15:$P$383=$C20))+SUM((V$15:V$383)*($P$15:$P$383=$C20)))</f>
        <v>53.634548630136983</v>
      </c>
      <c r="G20" s="191">
        <f t="array" ref="G20">(SUM((AD$15:AD$383)*(U$15:U$383)*($P$15:$P$383=$C20))+SUM((AD$15:AD$383)*(V$15:V$383)*($P$15:$P$383=$C20)))/(SUM((U$15:U$383)*($P$15:$P$383=$C20))+SUM((V$15:V$383)*($P$15:$P$383=$C20)))</f>
        <v>7.0821436233211914</v>
      </c>
      <c r="H20" s="257">
        <f t="shared" si="1"/>
        <v>3.91</v>
      </c>
      <c r="I20" s="191">
        <f t="shared" si="6"/>
        <v>4.395833333333333</v>
      </c>
      <c r="J20" s="257">
        <f t="shared" si="19"/>
        <v>10.419479166666667</v>
      </c>
      <c r="K20" s="192">
        <v>1.9E-2</v>
      </c>
      <c r="L20" s="192">
        <v>1.9E-2</v>
      </c>
      <c r="M20" s="338">
        <f t="shared" si="17"/>
        <v>5.4772233376778976</v>
      </c>
      <c r="P20" s="4">
        <f t="shared" si="10"/>
        <v>2006</v>
      </c>
      <c r="Q20" s="396">
        <f t="shared" si="11"/>
        <v>38869</v>
      </c>
      <c r="R20" s="397">
        <f t="shared" si="12"/>
        <v>43.161978661493698</v>
      </c>
      <c r="S20" s="397">
        <f t="shared" si="12"/>
        <v>30.514064015518915</v>
      </c>
      <c r="T20" s="338">
        <f t="shared" si="8"/>
        <v>37.723375363724536</v>
      </c>
      <c r="U20" s="324">
        <v>416</v>
      </c>
      <c r="V20" s="324">
        <v>304</v>
      </c>
      <c r="W20" s="324">
        <f t="shared" si="13"/>
        <v>0.57777777777777772</v>
      </c>
      <c r="X20" s="324">
        <f t="shared" si="14"/>
        <v>0.42222222222222222</v>
      </c>
      <c r="AB20" s="4">
        <f t="shared" si="9"/>
        <v>2006</v>
      </c>
      <c r="AC20" s="394">
        <v>38869</v>
      </c>
      <c r="AD20" s="135">
        <f t="shared" si="15"/>
        <v>6.9122733594619028</v>
      </c>
      <c r="AE20" s="136">
        <f t="shared" si="16"/>
        <v>6.9122733594619028</v>
      </c>
      <c r="AG20" s="4">
        <f t="shared" si="2"/>
        <v>2005</v>
      </c>
      <c r="AH20" s="394">
        <v>38472</v>
      </c>
      <c r="AI20" s="4">
        <f t="shared" si="3"/>
        <v>5.3331220135000006</v>
      </c>
      <c r="AJ20" s="4">
        <v>5.4254084110000003</v>
      </c>
      <c r="AK20" s="4">
        <v>5.240835616</v>
      </c>
      <c r="AM20" s="4">
        <f t="shared" si="4"/>
        <v>2009</v>
      </c>
      <c r="AN20" s="337">
        <v>39873</v>
      </c>
      <c r="AO20" s="4">
        <f t="shared" si="5"/>
        <v>13.205</v>
      </c>
      <c r="AP20" s="4">
        <v>13.01</v>
      </c>
      <c r="AQ20" s="4">
        <v>13.4</v>
      </c>
      <c r="BD20" s="4">
        <v>2012</v>
      </c>
      <c r="BE20" s="395">
        <v>4.4000000000000004</v>
      </c>
      <c r="BF20" s="395">
        <v>4.53</v>
      </c>
    </row>
    <row r="21" spans="3:58">
      <c r="C21" s="4">
        <f t="shared" si="18"/>
        <v>2012</v>
      </c>
      <c r="D21" s="191">
        <f t="array" ref="D21">SUM((R$15:R$383)*(U$15:U$383)*($P$15:$P$383=$C21))/SUM((U$15:U$383)*($P$15:$P$383=$C21))</f>
        <v>55.031872964169381</v>
      </c>
      <c r="E21" s="191">
        <f t="array" ref="E21">SUM((S$15:S$383)*(V$15:V$383)*($P$15:$P$383=$C21))/SUM((V$15:V$383)*($P$15:$P$383=$C21))</f>
        <v>45.94305268595042</v>
      </c>
      <c r="F21" s="191">
        <f t="array" ref="F21">(SUM((T$15:T$383)*(U$15:U$383)*($P$15:$P$383=$C21))+SUM((T$15:T$383)*(V$15:V$383)*($P$15:$P$383=$C21)))/(SUM((U$15:U$383)*($P$15:$P$383=$C21))+SUM((V$15:V$383)*($P$15:$P$383=$C21)))</f>
        <v>51.146028415300542</v>
      </c>
      <c r="G21" s="191">
        <f t="array" ref="G21">(SUM((AD$15:AD$383)*(U$15:U$383)*($P$15:$P$383=$C21))+SUM((AD$15:AD$383)*(V$15:V$383)*($P$15:$P$383=$C21)))/(SUM((U$15:U$383)*($P$15:$P$383=$C21))+SUM((V$15:V$383)*($P$15:$P$383=$C21)))</f>
        <v>6.7024699037828679</v>
      </c>
      <c r="H21" s="257">
        <f t="shared" si="1"/>
        <v>4.4000000000000004</v>
      </c>
      <c r="I21" s="191">
        <f t="shared" si="6"/>
        <v>4.4341666666666661</v>
      </c>
      <c r="J21" s="257">
        <f t="shared" si="19"/>
        <v>10.428681771666666</v>
      </c>
      <c r="K21" s="192">
        <v>0.02</v>
      </c>
      <c r="L21" s="192">
        <v>1.9E-2</v>
      </c>
      <c r="M21" s="338">
        <f t="shared" si="17"/>
        <v>5.5867678044314557</v>
      </c>
      <c r="P21" s="4">
        <f t="shared" si="10"/>
        <v>2006</v>
      </c>
      <c r="Q21" s="396">
        <f t="shared" si="11"/>
        <v>38899</v>
      </c>
      <c r="R21" s="397">
        <f t="shared" si="12"/>
        <v>69.398642095053347</v>
      </c>
      <c r="S21" s="397">
        <f t="shared" si="12"/>
        <v>54.122211445198836</v>
      </c>
      <c r="T21" s="338">
        <f t="shared" si="8"/>
        <v>62.829776915615909</v>
      </c>
      <c r="U21" s="324">
        <v>400</v>
      </c>
      <c r="V21" s="324">
        <v>344</v>
      </c>
      <c r="W21" s="324">
        <f t="shared" si="13"/>
        <v>0.5376344086021505</v>
      </c>
      <c r="X21" s="324">
        <f t="shared" si="14"/>
        <v>0.46236559139784944</v>
      </c>
      <c r="AB21" s="4">
        <f t="shared" si="9"/>
        <v>2006</v>
      </c>
      <c r="AC21" s="394">
        <v>38899</v>
      </c>
      <c r="AD21" s="135">
        <f t="shared" si="15"/>
        <v>7.0711927000346524</v>
      </c>
      <c r="AE21" s="136">
        <f t="shared" si="16"/>
        <v>7.0711927000346524</v>
      </c>
      <c r="AG21" s="4">
        <f t="shared" si="2"/>
        <v>2005</v>
      </c>
      <c r="AH21" s="394">
        <v>38503</v>
      </c>
      <c r="AI21" s="4">
        <f t="shared" si="3"/>
        <v>5.1861220135000003</v>
      </c>
      <c r="AJ21" s="4">
        <v>5.278408411</v>
      </c>
      <c r="AK21" s="4">
        <v>5.0938356159999998</v>
      </c>
      <c r="AM21" s="4">
        <f t="shared" si="4"/>
        <v>2009</v>
      </c>
      <c r="AN21" s="337">
        <v>39904</v>
      </c>
      <c r="AO21" s="4">
        <f t="shared" si="5"/>
        <v>10.885000000000002</v>
      </c>
      <c r="AP21" s="4">
        <v>11.005000000000001</v>
      </c>
      <c r="AQ21" s="4">
        <v>10.765000000000001</v>
      </c>
      <c r="BD21" s="4">
        <v>2013</v>
      </c>
      <c r="BE21" s="395">
        <v>4.6399999999999997</v>
      </c>
      <c r="BF21" s="395">
        <v>4.7699999999999996</v>
      </c>
    </row>
    <row r="22" spans="3:58">
      <c r="C22" s="4">
        <f t="shared" si="18"/>
        <v>2013</v>
      </c>
      <c r="D22" s="191">
        <f t="array" ref="D22">SUM((R$15:R$383)*(U$15:U$383)*($P$15:$P$383=$C22))/SUM((U$15:U$383)*($P$15:$P$383=$C22))</f>
        <v>54.365325732899016</v>
      </c>
      <c r="E22" s="191">
        <f t="array" ref="E22">SUM((S$15:S$383)*(V$15:V$383)*($P$15:$P$383=$C22))/SUM((V$15:V$383)*($P$15:$P$383=$C22))</f>
        <v>45.07450623700624</v>
      </c>
      <c r="F22" s="191">
        <f t="array" ref="F22">(SUM((T$15:T$383)*(U$15:U$383)*($P$15:$P$383=$C22))+SUM((T$15:T$383)*(V$15:V$383)*($P$15:$P$383=$C22)))/(SUM((U$15:U$383)*($P$15:$P$383=$C22))+SUM((V$15:V$383)*($P$15:$P$383=$C22)))</f>
        <v>50.379454999999993</v>
      </c>
      <c r="G22" s="191">
        <f t="array" ref="G22">(SUM((AD$15:AD$383)*(U$15:U$383)*($P$15:$P$383=$C22))+SUM((AD$15:AD$383)*(V$15:V$383)*($P$15:$P$383=$C22)))/(SUM((U$15:U$383)*($P$15:$P$383=$C22))+SUM((V$15:V$383)*($P$15:$P$383=$C22)))</f>
        <v>6.6994948806584134</v>
      </c>
      <c r="H22" s="257">
        <f t="shared" si="1"/>
        <v>4.6399999999999997</v>
      </c>
      <c r="I22" s="191">
        <f t="shared" si="6"/>
        <v>4.5629166666666672</v>
      </c>
      <c r="J22" s="257">
        <f t="shared" si="19"/>
        <v>10.632848438333333</v>
      </c>
      <c r="K22" s="192">
        <v>1.9E-2</v>
      </c>
      <c r="L22" s="192">
        <v>1.7999999999999999E-2</v>
      </c>
      <c r="M22" s="338">
        <f t="shared" si="17"/>
        <v>5.6929163927156532</v>
      </c>
      <c r="P22" s="4">
        <f t="shared" si="10"/>
        <v>2006</v>
      </c>
      <c r="Q22" s="396">
        <f t="shared" si="11"/>
        <v>38930</v>
      </c>
      <c r="R22" s="397">
        <f t="shared" si="12"/>
        <v>81.736178467507273</v>
      </c>
      <c r="S22" s="397">
        <f t="shared" si="12"/>
        <v>63.743937924345303</v>
      </c>
      <c r="T22" s="338">
        <f t="shared" si="8"/>
        <v>73.999515033947631</v>
      </c>
      <c r="U22" s="324">
        <v>432</v>
      </c>
      <c r="V22" s="324">
        <v>312</v>
      </c>
      <c r="W22" s="324">
        <f t="shared" si="13"/>
        <v>0.58064516129032262</v>
      </c>
      <c r="X22" s="324">
        <f t="shared" si="14"/>
        <v>0.41935483870967744</v>
      </c>
      <c r="AB22" s="4">
        <f t="shared" si="9"/>
        <v>2006</v>
      </c>
      <c r="AC22" s="394">
        <v>38930</v>
      </c>
      <c r="AD22" s="135">
        <f t="shared" si="15"/>
        <v>7.1601954421102452</v>
      </c>
      <c r="AE22" s="136">
        <f>AE34/(1+$K$15)</f>
        <v>7.1601954421102452</v>
      </c>
      <c r="AG22" s="4">
        <f t="shared" si="2"/>
        <v>2005</v>
      </c>
      <c r="AH22" s="394">
        <v>38533</v>
      </c>
      <c r="AI22" s="4">
        <f t="shared" si="3"/>
        <v>5.2011220135</v>
      </c>
      <c r="AJ22" s="4">
        <v>5.2934084109999997</v>
      </c>
      <c r="AK22" s="4">
        <v>5.1088356160000004</v>
      </c>
      <c r="AM22" s="4">
        <f t="shared" si="4"/>
        <v>2009</v>
      </c>
      <c r="AN22" s="337">
        <v>39934</v>
      </c>
      <c r="AO22" s="4">
        <f t="shared" si="5"/>
        <v>10.7325</v>
      </c>
      <c r="AP22" s="4">
        <v>10.8475</v>
      </c>
      <c r="AQ22" s="4">
        <v>10.6175</v>
      </c>
      <c r="BD22" s="4">
        <v>2014</v>
      </c>
      <c r="BE22" s="395">
        <v>4.45</v>
      </c>
      <c r="BF22" s="395">
        <v>4.53</v>
      </c>
    </row>
    <row r="23" spans="3:58">
      <c r="C23" s="4">
        <f t="shared" si="18"/>
        <v>2014</v>
      </c>
      <c r="D23" s="191">
        <f t="array" ref="D23">SUM((R$15:R$383)*(U$15:U$383)*($P$15:$P$383=$C23))/SUM((U$15:U$383)*($P$15:$P$383=$C23))</f>
        <v>55.048241042345268</v>
      </c>
      <c r="E23" s="191">
        <f t="array" ref="E23">SUM((S$15:S$383)*(V$15:V$383)*($P$15:$P$383=$C23))/SUM((V$15:V$383)*($P$15:$P$383=$C23))</f>
        <v>45.659729729729733</v>
      </c>
      <c r="F23" s="191">
        <f t="array" ref="F23">(SUM((T$15:T$383)*(U$15:U$383)*($P$15:$P$383=$C23))+SUM((T$15:T$383)*(V$15:V$383)*($P$15:$P$383=$C23)))/(SUM((U$15:U$383)*($P$15:$P$383=$C23))+SUM((V$15:V$383)*($P$15:$P$383=$C23)))</f>
        <v>51.016862739726022</v>
      </c>
      <c r="G23" s="191">
        <f t="array" ref="G23">(SUM((AD$15:AD$383)*(U$15:U$383)*($P$15:$P$383=$C23))+SUM((AD$15:AD$383)*(V$15:V$383)*($P$15:$P$383=$C23)))/(SUM((U$15:U$383)*($P$15:$P$383=$C23))+SUM((V$15:V$383)*($P$15:$P$383=$C23)))</f>
        <v>6.9140085811973453</v>
      </c>
      <c r="H23" s="257">
        <f t="shared" si="1"/>
        <v>4.45</v>
      </c>
      <c r="I23" s="191">
        <f t="shared" si="6"/>
        <v>4.7508333333333326</v>
      </c>
      <c r="J23" s="257">
        <f t="shared" si="19"/>
        <v>10.346954939583332</v>
      </c>
      <c r="K23" s="192">
        <v>1.7999999999999999E-2</v>
      </c>
      <c r="L23" s="192">
        <v>1.7999999999999999E-2</v>
      </c>
      <c r="M23" s="338">
        <f t="shared" si="17"/>
        <v>5.7953888877845348</v>
      </c>
      <c r="P23" s="4">
        <f t="shared" si="10"/>
        <v>2006</v>
      </c>
      <c r="Q23" s="396">
        <f t="shared" si="11"/>
        <v>38961</v>
      </c>
      <c r="R23" s="136">
        <v>56.25</v>
      </c>
      <c r="S23" s="136">
        <v>46</v>
      </c>
      <c r="T23" s="338">
        <f>R23*0.57+S23*0.43</f>
        <v>51.842500000000001</v>
      </c>
      <c r="U23" s="324">
        <v>400</v>
      </c>
      <c r="V23" s="324">
        <v>320</v>
      </c>
      <c r="W23" s="324">
        <f t="shared" si="13"/>
        <v>0.55555555555555558</v>
      </c>
      <c r="X23" s="324">
        <f t="shared" si="14"/>
        <v>0.44444444444444442</v>
      </c>
      <c r="AB23" s="4">
        <f t="shared" si="9"/>
        <v>2006</v>
      </c>
      <c r="AC23" s="394">
        <v>38961</v>
      </c>
      <c r="AD23" s="135">
        <f t="shared" si="15"/>
        <v>4.9205655247417077</v>
      </c>
      <c r="AE23" s="136">
        <v>4.9205655247417077</v>
      </c>
      <c r="AG23" s="4">
        <f t="shared" si="2"/>
        <v>2005</v>
      </c>
      <c r="AH23" s="394">
        <v>38564</v>
      </c>
      <c r="AI23" s="4">
        <f t="shared" si="3"/>
        <v>5.2411220135000001</v>
      </c>
      <c r="AJ23" s="4">
        <v>5.3334084109999997</v>
      </c>
      <c r="AK23" s="4">
        <v>5.1488356160000004</v>
      </c>
      <c r="AM23" s="4">
        <f t="shared" si="4"/>
        <v>2009</v>
      </c>
      <c r="AN23" s="337">
        <v>39965</v>
      </c>
      <c r="AO23" s="4">
        <f t="shared" si="5"/>
        <v>10.84</v>
      </c>
      <c r="AP23" s="4">
        <v>10.952500000000001</v>
      </c>
      <c r="AQ23" s="4">
        <v>10.727499999999999</v>
      </c>
      <c r="BD23" s="4">
        <v>2015</v>
      </c>
      <c r="BE23" s="395">
        <v>4.88</v>
      </c>
      <c r="BF23" s="395">
        <v>4.97</v>
      </c>
    </row>
    <row r="24" spans="3:58">
      <c r="C24" s="4">
        <f t="shared" si="18"/>
        <v>2015</v>
      </c>
      <c r="D24" s="191">
        <f t="array" ref="D24">SUM((R$15:R$383)*(U$15:U$383)*($P$15:$P$383=$C24))/SUM((U$15:U$383)*($P$15:$P$383=$C24))</f>
        <v>59.510325732899027</v>
      </c>
      <c r="E24" s="191">
        <f t="array" ref="E24">SUM((S$15:S$383)*(V$15:V$383)*($P$15:$P$383=$C24))/SUM((V$15:V$383)*($P$15:$P$383=$C24))</f>
        <v>49.937941787941796</v>
      </c>
      <c r="F24" s="191">
        <f t="array" ref="F24">(SUM((T$15:T$383)*(U$15:U$383)*($P$15:$P$383=$C24))+SUM((T$15:T$383)*(V$15:V$383)*($P$15:$P$383=$C24)))/(SUM((U$15:U$383)*($P$15:$P$383=$C24))+SUM((V$15:V$383)*($P$15:$P$383=$C24)))</f>
        <v>55.392994520547944</v>
      </c>
      <c r="G24" s="191">
        <f t="array" ref="G24">(SUM((AD$15:AD$383)*(U$15:U$383)*($P$15:$P$383=$C24))+SUM((AD$15:AD$383)*(V$15:V$383)*($P$15:$P$383=$C24)))/(SUM((U$15:U$383)*($P$15:$P$383=$C24))+SUM((V$15:V$383)*($P$15:$P$383=$C24)))</f>
        <v>7.3164011858738007</v>
      </c>
      <c r="H24" s="257">
        <f t="shared" si="1"/>
        <v>4.88</v>
      </c>
      <c r="I24" s="191">
        <f t="shared" si="6"/>
        <v>4.8512499999999994</v>
      </c>
      <c r="J24" s="257">
        <f t="shared" si="19"/>
        <v>9.3330180370833329</v>
      </c>
      <c r="K24" s="192">
        <v>1.7999999999999999E-2</v>
      </c>
      <c r="L24" s="192">
        <v>1.9E-2</v>
      </c>
      <c r="M24" s="338">
        <f t="shared" si="17"/>
        <v>5.8997058877646564</v>
      </c>
      <c r="P24" s="4">
        <f t="shared" si="10"/>
        <v>2006</v>
      </c>
      <c r="Q24" s="396">
        <f t="shared" si="11"/>
        <v>38991</v>
      </c>
      <c r="R24" s="136">
        <v>49.75</v>
      </c>
      <c r="S24" s="136">
        <v>42</v>
      </c>
      <c r="T24" s="338">
        <f t="shared" ref="T24:T87" si="20">R24*0.57+S24*0.43</f>
        <v>46.417499999999997</v>
      </c>
      <c r="U24" s="324">
        <v>416</v>
      </c>
      <c r="V24" s="324">
        <v>328</v>
      </c>
      <c r="W24" s="324">
        <f t="shared" si="13"/>
        <v>0.55913978494623651</v>
      </c>
      <c r="X24" s="324">
        <f t="shared" si="14"/>
        <v>0.44086021505376344</v>
      </c>
      <c r="AB24" s="4">
        <f t="shared" si="9"/>
        <v>2006</v>
      </c>
      <c r="AC24" s="394">
        <v>38991</v>
      </c>
      <c r="AD24" s="135">
        <f t="shared" si="15"/>
        <v>4.9712044589450795</v>
      </c>
      <c r="AE24" s="136">
        <v>4.9712044589450795</v>
      </c>
      <c r="AG24" s="4">
        <f t="shared" si="2"/>
        <v>2005</v>
      </c>
      <c r="AH24" s="394">
        <v>38595</v>
      </c>
      <c r="AI24" s="4">
        <f t="shared" si="3"/>
        <v>5.2561220135000006</v>
      </c>
      <c r="AJ24" s="4">
        <v>5.3484084110000003</v>
      </c>
      <c r="AK24" s="4">
        <v>5.1638356160000001</v>
      </c>
      <c r="AM24" s="4">
        <f t="shared" si="4"/>
        <v>2009</v>
      </c>
      <c r="AN24" s="337">
        <v>39995</v>
      </c>
      <c r="AO24" s="4">
        <f t="shared" si="5"/>
        <v>10.99925</v>
      </c>
      <c r="AP24" s="4">
        <v>11.0505</v>
      </c>
      <c r="AQ24" s="4">
        <v>10.948</v>
      </c>
      <c r="BD24" s="4">
        <v>2016</v>
      </c>
      <c r="BE24" s="395">
        <v>5.0999999999999996</v>
      </c>
      <c r="BF24" s="395">
        <v>5.2</v>
      </c>
    </row>
    <row r="25" spans="3:58">
      <c r="C25" s="4">
        <f t="shared" si="18"/>
        <v>2016</v>
      </c>
      <c r="D25" s="191">
        <f t="array" ref="D25">SUM((R$15:R$383)*(U$15:U$383)*($P$15:$P$383=$C25))/SUM((U$15:U$383)*($P$15:$P$383=$C25))</f>
        <v>65.509415584415578</v>
      </c>
      <c r="E25" s="191">
        <f t="array" ref="E25">SUM((S$15:S$383)*(V$15:V$383)*($P$15:$P$383=$C25))/SUM((V$15:V$383)*($P$15:$P$383=$C25))</f>
        <v>53.69304979253112</v>
      </c>
      <c r="F25" s="191">
        <f t="array" ref="F25">(SUM((T$15:T$383)*(U$15:U$383)*($P$15:$P$383=$C25))+SUM((T$15:T$383)*(V$15:V$383)*($P$15:$P$383=$C25)))/(SUM((U$15:U$383)*($P$15:$P$383=$C25))+SUM((V$15:V$383)*($P$15:$P$383=$C25)))</f>
        <v>60.441771311475406</v>
      </c>
      <c r="G25" s="191">
        <f t="array" ref="G25">(SUM((AD$15:AD$383)*(U$15:U$383)*($P$15:$P$383=$C25))+SUM((AD$15:AD$383)*(V$15:V$383)*($P$15:$P$383=$C25)))/(SUM((U$15:U$383)*($P$15:$P$383=$C25))+SUM((V$15:V$383)*($P$15:$P$383=$C25)))</f>
        <v>7.9211828417083421</v>
      </c>
      <c r="H25" s="257">
        <f t="shared" si="1"/>
        <v>5.0999999999999996</v>
      </c>
      <c r="I25" s="191">
        <f t="shared" si="6"/>
        <v>5.003333333333333</v>
      </c>
      <c r="J25" s="257">
        <f t="shared" si="19"/>
        <v>8.9541666666666657</v>
      </c>
      <c r="K25" s="192">
        <v>1.7999999999999999E-2</v>
      </c>
      <c r="L25" s="192">
        <v>0.02</v>
      </c>
      <c r="M25" s="338">
        <f t="shared" si="17"/>
        <v>6.0059005937444203</v>
      </c>
      <c r="P25" s="4">
        <f t="shared" si="10"/>
        <v>2006</v>
      </c>
      <c r="Q25" s="396">
        <f t="shared" si="11"/>
        <v>39022</v>
      </c>
      <c r="R25" s="136">
        <v>63</v>
      </c>
      <c r="S25" s="136">
        <v>52.92</v>
      </c>
      <c r="T25" s="338">
        <f t="shared" si="20"/>
        <v>58.665599999999998</v>
      </c>
      <c r="U25" s="324">
        <v>400</v>
      </c>
      <c r="V25" s="324">
        <v>320</v>
      </c>
      <c r="W25" s="324">
        <f t="shared" si="13"/>
        <v>0.55555555555555558</v>
      </c>
      <c r="X25" s="324">
        <f t="shared" si="14"/>
        <v>0.44444444444444442</v>
      </c>
      <c r="AB25" s="4">
        <f t="shared" si="9"/>
        <v>2006</v>
      </c>
      <c r="AC25" s="394">
        <v>39022</v>
      </c>
      <c r="AD25" s="135">
        <f t="shared" si="15"/>
        <v>6.8752623708537257</v>
      </c>
      <c r="AE25" s="136">
        <v>6.8752623708537257</v>
      </c>
      <c r="AG25" s="4">
        <f t="shared" si="2"/>
        <v>2005</v>
      </c>
      <c r="AH25" s="394">
        <v>38625</v>
      </c>
      <c r="AI25" s="4">
        <f t="shared" si="3"/>
        <v>5.2391220134999994</v>
      </c>
      <c r="AJ25" s="4">
        <v>5.331408411</v>
      </c>
      <c r="AK25" s="4">
        <v>5.1468356159999997</v>
      </c>
      <c r="AM25" s="4">
        <f t="shared" si="4"/>
        <v>2009</v>
      </c>
      <c r="AN25" s="337">
        <v>40026</v>
      </c>
      <c r="AO25" s="4">
        <f t="shared" si="5"/>
        <v>11.112500000000001</v>
      </c>
      <c r="AP25" s="4">
        <v>11.145</v>
      </c>
      <c r="AQ25" s="4">
        <v>11.08</v>
      </c>
      <c r="BD25" s="4">
        <v>2017</v>
      </c>
      <c r="BE25" s="395">
        <v>5.22</v>
      </c>
      <c r="BF25" s="395">
        <v>5.32</v>
      </c>
    </row>
    <row r="26" spans="3:58">
      <c r="C26" s="4">
        <f t="shared" si="18"/>
        <v>2017</v>
      </c>
      <c r="D26" s="191">
        <f t="array" ref="D26">SUM((R$15:R$383)*(U$15:U$383)*($P$15:$P$383=$C26))/SUM((U$15:U$383)*($P$15:$P$383=$C26))</f>
        <v>72.198039215686279</v>
      </c>
      <c r="E26" s="191">
        <f t="array" ref="E26">SUM((S$15:S$383)*(V$15:V$383)*($P$15:$P$383=$C26))/SUM((V$15:V$383)*($P$15:$P$383=$C26))</f>
        <v>60.206853002070403</v>
      </c>
      <c r="F26" s="191">
        <f t="array" ref="F26">(SUM((T$15:T$383)*(U$15:U$383)*($P$15:$P$383=$C26))+SUM((T$15:T$383)*(V$15:V$383)*($P$15:$P$383=$C26)))/(SUM((U$15:U$383)*($P$15:$P$383=$C26))+SUM((V$15:V$383)*($P$15:$P$383=$C26)))</f>
        <v>67.035628493150682</v>
      </c>
      <c r="G26" s="191">
        <f t="array" ref="G26">(SUM((AD$15:AD$383)*(U$15:U$383)*($P$15:$P$383=$C26))+SUM((AD$15:AD$383)*(V$15:V$383)*($P$15:$P$383=$C26)))/(SUM((U$15:U$383)*($P$15:$P$383=$C26))+SUM((V$15:V$383)*($P$15:$P$383=$C26)))</f>
        <v>8.5467545643478058</v>
      </c>
      <c r="H26" s="257">
        <f t="shared" si="1"/>
        <v>5.22</v>
      </c>
      <c r="I26" s="191">
        <f t="shared" si="6"/>
        <v>5.1620833333333334</v>
      </c>
      <c r="J26" s="257">
        <f t="shared" si="19"/>
        <v>9.6420833333333338</v>
      </c>
      <c r="K26" s="192">
        <v>1.7999999999999999E-2</v>
      </c>
      <c r="L26" s="192">
        <v>0.02</v>
      </c>
      <c r="M26" s="338">
        <f t="shared" si="17"/>
        <v>6.1140068044318197</v>
      </c>
      <c r="P26" s="4">
        <f t="shared" si="10"/>
        <v>2006</v>
      </c>
      <c r="Q26" s="396">
        <f t="shared" si="11"/>
        <v>39052</v>
      </c>
      <c r="R26" s="136">
        <v>75.599999999999994</v>
      </c>
      <c r="S26" s="136">
        <v>66.959999999999994</v>
      </c>
      <c r="T26" s="338">
        <f t="shared" si="20"/>
        <v>71.884799999999984</v>
      </c>
      <c r="U26" s="324">
        <v>400</v>
      </c>
      <c r="V26" s="324">
        <v>344</v>
      </c>
      <c r="W26" s="324">
        <f t="shared" si="13"/>
        <v>0.5376344086021505</v>
      </c>
      <c r="X26" s="324">
        <f t="shared" si="14"/>
        <v>0.46236559139784944</v>
      </c>
      <c r="AB26" s="4">
        <f t="shared" si="9"/>
        <v>2006</v>
      </c>
      <c r="AC26" s="394">
        <v>39052</v>
      </c>
      <c r="AD26" s="135">
        <f t="shared" si="15"/>
        <v>8.5881498096791731</v>
      </c>
      <c r="AE26" s="136">
        <v>8.5881498096791731</v>
      </c>
      <c r="AG26" s="4">
        <f t="shared" si="2"/>
        <v>2005</v>
      </c>
      <c r="AH26" s="394">
        <v>38656</v>
      </c>
      <c r="AI26" s="4">
        <f t="shared" si="3"/>
        <v>5.2591220135000007</v>
      </c>
      <c r="AJ26" s="4">
        <v>5.3514084110000004</v>
      </c>
      <c r="AK26" s="4">
        <v>5.1668356160000002</v>
      </c>
      <c r="AM26" s="4">
        <f t="shared" si="4"/>
        <v>2009</v>
      </c>
      <c r="AN26" s="337">
        <v>40057</v>
      </c>
      <c r="AO26" s="4">
        <f t="shared" si="5"/>
        <v>11.055</v>
      </c>
      <c r="AP26" s="4">
        <v>11.14</v>
      </c>
      <c r="AQ26" s="4">
        <v>10.97</v>
      </c>
      <c r="BD26" s="4">
        <v>2018</v>
      </c>
      <c r="BE26" s="395">
        <v>5.34</v>
      </c>
      <c r="BF26" s="395">
        <v>5.44</v>
      </c>
    </row>
    <row r="27" spans="3:58">
      <c r="C27" s="4">
        <f t="shared" si="18"/>
        <v>2018</v>
      </c>
      <c r="D27" s="191">
        <f t="array" ref="D27">SUM((R$15:R$383)*(U$15:U$383)*($P$15:$P$383=$C27))/SUM((U$15:U$383)*($P$15:$P$383=$C27))</f>
        <v>78.589869706840389</v>
      </c>
      <c r="E27" s="191">
        <f t="array" ref="E27">SUM((S$15:S$383)*(V$15:V$383)*($P$15:$P$383=$C27))/SUM((V$15:V$383)*($P$15:$P$383=$C27))</f>
        <v>64.369480249480247</v>
      </c>
      <c r="F27" s="191">
        <f t="array" ref="F27">(SUM((T$15:T$383)*(U$15:U$383)*($P$15:$P$383=$C27))+SUM((T$15:T$383)*(V$15:V$383)*($P$15:$P$383=$C27)))/(SUM((U$15:U$383)*($P$15:$P$383=$C27))+SUM((V$15:V$383)*($P$15:$P$383=$C27)))</f>
        <v>72.472873150684933</v>
      </c>
      <c r="G27" s="191">
        <f t="array" ref="G27">(SUM((AD$15:AD$383)*(U$15:U$383)*($P$15:$P$383=$C27))+SUM((AD$15:AD$383)*(V$15:V$383)*($P$15:$P$383=$C27)))/(SUM((U$15:U$383)*($P$15:$P$383=$C27))+SUM((V$15:V$383)*($P$15:$P$383=$C27)))</f>
        <v>9.1071488375904099</v>
      </c>
      <c r="H27" s="257">
        <f t="shared" si="1"/>
        <v>5.34</v>
      </c>
      <c r="I27" s="191">
        <f t="shared" si="6"/>
        <v>5.333333333333333</v>
      </c>
      <c r="J27" s="257">
        <f t="shared" si="19"/>
        <v>11.30625</v>
      </c>
      <c r="K27" s="192">
        <v>1.7999999999999999E-2</v>
      </c>
      <c r="L27" s="192">
        <v>0.02</v>
      </c>
      <c r="M27" s="338">
        <f t="shared" si="17"/>
        <v>6.2240589269115922</v>
      </c>
      <c r="P27" s="4">
        <f t="shared" si="10"/>
        <v>2007</v>
      </c>
      <c r="Q27" s="396">
        <f t="shared" si="11"/>
        <v>39083</v>
      </c>
      <c r="R27" s="136">
        <v>80.459999999999994</v>
      </c>
      <c r="S27" s="136">
        <v>72.484999999999999</v>
      </c>
      <c r="T27" s="338">
        <f t="shared" si="20"/>
        <v>77.030749999999998</v>
      </c>
      <c r="U27" s="324">
        <v>416</v>
      </c>
      <c r="V27" s="324">
        <v>328</v>
      </c>
      <c r="W27" s="324">
        <f t="shared" si="13"/>
        <v>0.55913978494623651</v>
      </c>
      <c r="X27" s="324">
        <f t="shared" si="14"/>
        <v>0.44086021505376344</v>
      </c>
      <c r="AB27" s="4">
        <f>+YEAR(AC27)</f>
        <v>2007</v>
      </c>
      <c r="AC27" s="394">
        <v>39083</v>
      </c>
      <c r="AD27" s="135">
        <f t="shared" si="15"/>
        <v>9.2117903752039147</v>
      </c>
      <c r="AE27" s="136">
        <v>9.2117903752039147</v>
      </c>
      <c r="AG27" s="4">
        <f t="shared" si="2"/>
        <v>2005</v>
      </c>
      <c r="AH27" s="394">
        <v>38686</v>
      </c>
      <c r="AI27" s="4">
        <f t="shared" si="3"/>
        <v>5.421599133</v>
      </c>
      <c r="AJ27" s="4">
        <v>5.5163626499999996</v>
      </c>
      <c r="AK27" s="4">
        <v>5.3268356160000003</v>
      </c>
      <c r="AM27" s="4">
        <f t="shared" si="4"/>
        <v>2009</v>
      </c>
      <c r="AN27" s="337">
        <v>40087</v>
      </c>
      <c r="AO27" s="4">
        <f t="shared" si="5"/>
        <v>11.12125</v>
      </c>
      <c r="AP27" s="4">
        <v>11.115</v>
      </c>
      <c r="AQ27" s="4">
        <v>11.1275</v>
      </c>
      <c r="BD27" s="4">
        <v>2019</v>
      </c>
      <c r="BE27" s="395">
        <v>5.46</v>
      </c>
      <c r="BF27" s="395">
        <v>5.57</v>
      </c>
    </row>
    <row r="28" spans="3:58">
      <c r="C28" s="4">
        <f t="shared" si="18"/>
        <v>2019</v>
      </c>
      <c r="D28" s="191">
        <f t="array" ref="D28">SUM((R$15:R$383)*(U$15:U$383)*($P$15:$P$383=$C28))/SUM((U$15:U$383)*($P$15:$P$383=$C28))</f>
        <v>84.90358306188925</v>
      </c>
      <c r="E28" s="191">
        <f t="array" ref="E28">SUM((S$15:S$383)*(V$15:V$383)*($P$15:$P$383=$C28))/SUM((V$15:V$383)*($P$15:$P$383=$C28))</f>
        <v>69.085634095634092</v>
      </c>
      <c r="F28" s="191">
        <f t="array" ref="F28">(SUM((T$15:T$383)*(U$15:U$383)*($P$15:$P$383=$C28))+SUM((T$15:T$383)*(V$15:V$383)*($P$15:$P$383=$C28)))/(SUM((U$15:U$383)*($P$15:$P$383=$C28))+SUM((V$15:V$383)*($P$15:$P$383=$C28)))</f>
        <v>78.125856164383563</v>
      </c>
      <c r="G28" s="191">
        <f t="array" ref="G28">(SUM((AD$15:AD$383)*(U$15:U$383)*($P$15:$P$383=$C28))+SUM((AD$15:AD$383)*(V$15:V$383)*($P$15:$P$383=$C28)))/(SUM((U$15:U$383)*($P$15:$P$383=$C28))+SUM((V$15:V$383)*($P$15:$P$383=$C28)))</f>
        <v>9.7289597532905745</v>
      </c>
      <c r="H28" s="257">
        <f t="shared" si="1"/>
        <v>5.46</v>
      </c>
      <c r="I28" s="191">
        <f t="shared" si="6"/>
        <v>5.5149999999999997</v>
      </c>
      <c r="J28" s="257">
        <f t="shared" si="19"/>
        <v>11.752083333333331</v>
      </c>
      <c r="K28" s="192">
        <v>1.7999999999999999E-2</v>
      </c>
      <c r="L28" s="192">
        <v>0.02</v>
      </c>
      <c r="M28" s="338">
        <f t="shared" si="17"/>
        <v>6.3360919875960011</v>
      </c>
      <c r="P28" s="4">
        <f t="shared" si="10"/>
        <v>2007</v>
      </c>
      <c r="Q28" s="396">
        <f>EOMONTH(Q27,0)+1</f>
        <v>39114</v>
      </c>
      <c r="R28" s="136">
        <v>75.989999999999995</v>
      </c>
      <c r="S28" s="136">
        <v>68.495000000000005</v>
      </c>
      <c r="T28" s="338">
        <f t="shared" si="20"/>
        <v>72.767150000000001</v>
      </c>
      <c r="U28" s="324">
        <v>384</v>
      </c>
      <c r="V28" s="324">
        <v>288</v>
      </c>
      <c r="W28" s="324">
        <f t="shared" si="13"/>
        <v>0.5714285714285714</v>
      </c>
      <c r="X28" s="324">
        <f t="shared" si="14"/>
        <v>0.42857142857142855</v>
      </c>
      <c r="AB28" s="4">
        <f t="shared" ref="AB28:AB91" si="21">+YEAR(AC28)</f>
        <v>2007</v>
      </c>
      <c r="AC28" s="394">
        <f>EOMONTH(AC27,0)+1</f>
        <v>39114</v>
      </c>
      <c r="AD28" s="135">
        <f t="shared" si="15"/>
        <v>9.2542727025557365</v>
      </c>
      <c r="AE28" s="136">
        <v>9.2542727025557365</v>
      </c>
      <c r="AG28" s="4">
        <f t="shared" si="2"/>
        <v>2005</v>
      </c>
      <c r="AH28" s="394">
        <v>38717</v>
      </c>
      <c r="AI28" s="4">
        <f t="shared" si="3"/>
        <v>5.586599133</v>
      </c>
      <c r="AJ28" s="4">
        <v>5.6813626499999996</v>
      </c>
      <c r="AK28" s="4">
        <v>5.4918356160000004</v>
      </c>
      <c r="AM28" s="4">
        <f t="shared" si="4"/>
        <v>2009</v>
      </c>
      <c r="AN28" s="337">
        <v>40118</v>
      </c>
      <c r="AO28" s="4">
        <f t="shared" si="5"/>
        <v>12.0275</v>
      </c>
      <c r="AP28" s="4">
        <v>11.585000000000001</v>
      </c>
      <c r="AQ28" s="4">
        <v>12.47</v>
      </c>
      <c r="BD28" s="4">
        <v>2020</v>
      </c>
      <c r="BE28" s="395">
        <v>5.59</v>
      </c>
      <c r="BF28" s="395">
        <v>5.7</v>
      </c>
    </row>
    <row r="29" spans="3:58">
      <c r="C29" s="4">
        <f t="shared" si="18"/>
        <v>2020</v>
      </c>
      <c r="D29" s="191">
        <f t="array" ref="D29">SUM((R$15:R$383)*(U$15:U$383)*($P$15:$P$383=$C29))/SUM((U$15:U$383)*($P$15:$P$383=$C29))</f>
        <v>85.778798701298697</v>
      </c>
      <c r="E29" s="191">
        <f t="array" ref="E29">SUM((S$15:S$383)*(V$15:V$383)*($P$15:$P$383=$C29))/SUM((V$15:V$383)*($P$15:$P$383=$C29))</f>
        <v>72.797489626556015</v>
      </c>
      <c r="F29" s="191">
        <f t="array" ref="F29">(SUM((T$15:T$383)*(U$15:U$383)*($P$15:$P$383=$C29))+SUM((T$15:T$383)*(V$15:V$383)*($P$15:$P$383=$C29)))/(SUM((U$15:U$383)*($P$15:$P$383=$C29))+SUM((V$15:V$383)*($P$15:$P$383=$C29)))</f>
        <v>80.228144808743139</v>
      </c>
      <c r="G29" s="191">
        <f t="array" ref="G29">(SUM((AD$15:AD$383)*(U$15:U$383)*($P$15:$P$383=$C29))+SUM((AD$15:AD$383)*(V$15:V$383)*($P$15:$P$383=$C29)))/(SUM((U$15:U$383)*($P$15:$P$383=$C29))+SUM((V$15:V$383)*($P$15:$P$383=$C29)))</f>
        <v>10.107309478601163</v>
      </c>
      <c r="H29" s="257">
        <f t="shared" si="1"/>
        <v>5.59</v>
      </c>
      <c r="I29" s="191">
        <f t="shared" si="6"/>
        <v>5.7024999999999997</v>
      </c>
      <c r="J29" s="257">
        <f t="shared" si="19"/>
        <v>11.473750000000003</v>
      </c>
      <c r="K29" s="192">
        <v>1.7999999999999999E-2</v>
      </c>
      <c r="L29" s="192">
        <v>0.02</v>
      </c>
      <c r="M29" s="338">
        <f t="shared" si="17"/>
        <v>6.4501416433727297</v>
      </c>
      <c r="P29" s="4">
        <f t="shared" si="10"/>
        <v>2007</v>
      </c>
      <c r="Q29" s="396">
        <f t="shared" ref="Q29:Q38" si="22">EOMONTH(Q28,0)+1</f>
        <v>39142</v>
      </c>
      <c r="R29" s="136">
        <v>67.05</v>
      </c>
      <c r="S29" s="136">
        <v>58.52</v>
      </c>
      <c r="T29" s="338">
        <f t="shared" si="20"/>
        <v>63.382099999999994</v>
      </c>
      <c r="U29" s="324">
        <v>432</v>
      </c>
      <c r="V29" s="324">
        <v>312</v>
      </c>
      <c r="W29" s="324">
        <f t="shared" si="13"/>
        <v>0.58064516129032262</v>
      </c>
      <c r="X29" s="324">
        <f t="shared" si="14"/>
        <v>0.41935483870967744</v>
      </c>
      <c r="AB29" s="4">
        <f t="shared" si="21"/>
        <v>2007</v>
      </c>
      <c r="AC29" s="394">
        <f t="shared" ref="AC29:AC92" si="23">EOMONTH(AC28,0)+1</f>
        <v>39142</v>
      </c>
      <c r="AD29" s="135">
        <f t="shared" si="15"/>
        <v>9.0996370309951047</v>
      </c>
      <c r="AE29" s="136">
        <v>9.0996370309951047</v>
      </c>
      <c r="AG29" s="4">
        <f t="shared" si="2"/>
        <v>2006</v>
      </c>
      <c r="AH29" s="394">
        <v>38748</v>
      </c>
      <c r="AI29" s="4">
        <f t="shared" si="3"/>
        <v>5.7839892920000002</v>
      </c>
      <c r="AJ29" s="4">
        <v>5.8454580360000001</v>
      </c>
      <c r="AK29" s="4">
        <v>5.7225205480000003</v>
      </c>
      <c r="AM29" s="4">
        <f t="shared" si="4"/>
        <v>2009</v>
      </c>
      <c r="AN29" s="337">
        <v>40148</v>
      </c>
      <c r="AO29" s="4">
        <f t="shared" si="5"/>
        <v>12.3825</v>
      </c>
      <c r="AP29" s="4">
        <v>11.94</v>
      </c>
      <c r="AQ29" s="4">
        <v>12.824999999999999</v>
      </c>
      <c r="BD29" s="4">
        <v>2021</v>
      </c>
      <c r="BE29" s="395">
        <v>5.68</v>
      </c>
      <c r="BF29" s="395">
        <v>5.79</v>
      </c>
    </row>
    <row r="30" spans="3:58">
      <c r="C30" s="4">
        <f t="shared" si="18"/>
        <v>2021</v>
      </c>
      <c r="D30" s="191">
        <f t="array" ref="D30">SUM((R$15:R$383)*(U$15:U$383)*($P$15:$P$383=$C30))/SUM((U$15:U$383)*($P$15:$P$383=$C30))</f>
        <v>85.96977198697067</v>
      </c>
      <c r="E30" s="191">
        <f t="array" ref="E30">SUM((S$15:S$383)*(V$15:V$383)*($P$15:$P$383=$C30))/SUM((V$15:V$383)*($P$15:$P$383=$C30))</f>
        <v>74.402765072765064</v>
      </c>
      <c r="F30" s="191">
        <f t="array" ref="F30">(SUM((T$15:T$383)*(U$15:U$383)*($P$15:$P$383=$C30))+SUM((T$15:T$383)*(V$15:V$383)*($P$15:$P$383=$C30)))/(SUM((U$15:U$383)*($P$15:$P$383=$C30))+SUM((V$15:V$383)*($P$15:$P$383=$C30)))</f>
        <v>81.014897260273969</v>
      </c>
      <c r="G30" s="191">
        <f t="array" ref="G30">(SUM((AD$15:AD$383)*(U$15:U$383)*($P$15:$P$383=$C30))+SUM((AD$15:AD$383)*(V$15:V$383)*($P$15:$P$383=$C30)))/(SUM((U$15:U$383)*($P$15:$P$383=$C30))+SUM((V$15:V$383)*($P$15:$P$383=$C30)))</f>
        <v>10.286225465001079</v>
      </c>
      <c r="H30" s="257">
        <f t="shared" si="1"/>
        <v>5.68</v>
      </c>
      <c r="I30" s="191">
        <f t="shared" si="6"/>
        <v>5.8954166666666659</v>
      </c>
      <c r="J30" s="257">
        <f t="shared" si="19"/>
        <v>11.692083333333334</v>
      </c>
      <c r="K30" s="192">
        <v>1.7999999999999999E-2</v>
      </c>
      <c r="L30" s="192">
        <v>1.9E-2</v>
      </c>
      <c r="M30" s="338">
        <f t="shared" si="17"/>
        <v>6.5662441929534392</v>
      </c>
      <c r="P30" s="4">
        <f t="shared" si="10"/>
        <v>2007</v>
      </c>
      <c r="Q30" s="396">
        <f t="shared" si="22"/>
        <v>39173</v>
      </c>
      <c r="R30" s="136">
        <v>58.5</v>
      </c>
      <c r="S30" s="136">
        <v>42.9</v>
      </c>
      <c r="T30" s="338">
        <f t="shared" si="20"/>
        <v>51.792000000000002</v>
      </c>
      <c r="U30" s="324">
        <v>400</v>
      </c>
      <c r="V30" s="324">
        <v>320</v>
      </c>
      <c r="W30" s="324">
        <f t="shared" si="13"/>
        <v>0.55555555555555558</v>
      </c>
      <c r="X30" s="324">
        <f t="shared" si="14"/>
        <v>0.44444444444444442</v>
      </c>
      <c r="AB30" s="4">
        <f t="shared" si="21"/>
        <v>2007</v>
      </c>
      <c r="AC30" s="394">
        <f t="shared" si="23"/>
        <v>39173</v>
      </c>
      <c r="AD30" s="135">
        <f t="shared" si="15"/>
        <v>7.1942196846112019</v>
      </c>
      <c r="AE30" s="136">
        <v>7.1942196846112019</v>
      </c>
      <c r="AG30" s="4">
        <f t="shared" si="2"/>
        <v>2006</v>
      </c>
      <c r="AH30" s="394">
        <v>38776</v>
      </c>
      <c r="AI30" s="4">
        <f t="shared" si="3"/>
        <v>5.7339892920000004</v>
      </c>
      <c r="AJ30" s="4">
        <v>5.7954580360000003</v>
      </c>
      <c r="AK30" s="4">
        <v>5.6725205479999996</v>
      </c>
      <c r="AM30" s="4">
        <f t="shared" si="4"/>
        <v>2010</v>
      </c>
      <c r="AN30" s="337">
        <v>40179</v>
      </c>
      <c r="AO30" s="4">
        <f t="shared" si="5"/>
        <v>12.602499999999999</v>
      </c>
      <c r="AP30" s="4">
        <v>12.16</v>
      </c>
      <c r="AQ30" s="4">
        <v>13.045</v>
      </c>
      <c r="BD30" s="4">
        <v>2022</v>
      </c>
      <c r="BE30" s="395">
        <v>5.72</v>
      </c>
      <c r="BF30" s="395">
        <v>5.83</v>
      </c>
    </row>
    <row r="31" spans="3:58">
      <c r="C31" s="4">
        <f t="shared" si="18"/>
        <v>2022</v>
      </c>
      <c r="D31" s="191">
        <f t="array" ref="D31">SUM((R$15:R$383)*(U$15:U$383)*($P$15:$P$383=$C31))/SUM((U$15:U$383)*($P$15:$P$383=$C31))</f>
        <v>85.168078175895758</v>
      </c>
      <c r="E31" s="191">
        <f t="array" ref="E31">SUM((S$15:S$383)*(V$15:V$383)*($P$15:$P$383=$C31))/SUM((V$15:V$383)*($P$15:$P$383=$C31))</f>
        <v>75.580145530145515</v>
      </c>
      <c r="F31" s="191">
        <f t="array" ref="F31">(SUM((T$15:T$383)*(U$15:U$383)*($P$15:$P$383=$C31))+SUM((T$15:T$383)*(V$15:V$383)*($P$15:$P$383=$C31)))/(SUM((U$15:U$383)*($P$15:$P$383=$C31))+SUM((V$15:V$383)*($P$15:$P$383=$C31)))</f>
        <v>81.061868493150669</v>
      </c>
      <c r="G31" s="191">
        <f t="array" ref="G31">(SUM((AD$15:AD$383)*(U$15:U$383)*($P$15:$P$383=$C31))+SUM((AD$15:AD$383)*(V$15:V$383)*($P$15:$P$383=$C31)))/(SUM((U$15:U$383)*($P$15:$P$383=$C31))+SUM((V$15:V$383)*($P$15:$P$383=$C31)))</f>
        <v>10.481890917487915</v>
      </c>
      <c r="H31" s="257">
        <f t="shared" si="1"/>
        <v>5.72</v>
      </c>
      <c r="I31" s="191">
        <f t="shared" si="6"/>
        <v>6.1033333333333344</v>
      </c>
      <c r="J31" s="257">
        <f t="shared" si="19"/>
        <v>11.912916666666668</v>
      </c>
      <c r="K31" s="192">
        <v>1.9E-2</v>
      </c>
      <c r="L31" s="192">
        <v>1.9E-2</v>
      </c>
      <c r="M31" s="338">
        <f t="shared" si="17"/>
        <v>6.6910028326195539</v>
      </c>
      <c r="P31" s="4">
        <f t="shared" si="10"/>
        <v>2007</v>
      </c>
      <c r="Q31" s="396">
        <f t="shared" si="22"/>
        <v>39203</v>
      </c>
      <c r="R31" s="136">
        <v>48</v>
      </c>
      <c r="S31" s="136">
        <v>32.89</v>
      </c>
      <c r="T31" s="338">
        <f t="shared" si="20"/>
        <v>41.502699999999997</v>
      </c>
      <c r="U31" s="324">
        <v>416</v>
      </c>
      <c r="V31" s="324">
        <v>328</v>
      </c>
      <c r="W31" s="324">
        <f t="shared" si="13"/>
        <v>0.55913978494623651</v>
      </c>
      <c r="X31" s="324">
        <f t="shared" si="14"/>
        <v>0.44086021505376344</v>
      </c>
      <c r="AB31" s="4">
        <f t="shared" si="21"/>
        <v>2007</v>
      </c>
      <c r="AC31" s="394">
        <f t="shared" si="23"/>
        <v>39203</v>
      </c>
      <c r="AD31" s="135">
        <f t="shared" si="15"/>
        <v>7.0412833061446438</v>
      </c>
      <c r="AE31" s="136">
        <v>7.0412833061446438</v>
      </c>
      <c r="AG31" s="4">
        <f t="shared" si="2"/>
        <v>2006</v>
      </c>
      <c r="AH31" s="394">
        <v>38807</v>
      </c>
      <c r="AI31" s="4">
        <f t="shared" si="3"/>
        <v>5.5589892919999997</v>
      </c>
      <c r="AJ31" s="4">
        <v>5.6204580359999996</v>
      </c>
      <c r="AK31" s="4">
        <v>5.4975205479999998</v>
      </c>
      <c r="AM31" s="4">
        <f t="shared" si="4"/>
        <v>2010</v>
      </c>
      <c r="AN31" s="337">
        <v>40210</v>
      </c>
      <c r="AO31" s="4">
        <f t="shared" si="5"/>
        <v>12.537500000000001</v>
      </c>
      <c r="AP31" s="4">
        <v>12.095000000000001</v>
      </c>
      <c r="AQ31" s="4">
        <v>12.98</v>
      </c>
      <c r="BD31" s="4">
        <v>2023</v>
      </c>
      <c r="BE31" s="395">
        <v>5.85</v>
      </c>
      <c r="BF31" s="395">
        <v>5.97</v>
      </c>
    </row>
    <row r="32" spans="3:58">
      <c r="C32" s="4">
        <f t="shared" si="18"/>
        <v>2023</v>
      </c>
      <c r="D32" s="191">
        <f t="array" ref="D32">SUM((R$15:R$383)*(U$15:U$383)*($P$15:$P$383=$C32))/SUM((U$15:U$383)*($P$15:$P$383=$C32))</f>
        <v>87.361633986928112</v>
      </c>
      <c r="E32" s="191">
        <f t="array" ref="E32">SUM((S$15:S$383)*(V$15:V$383)*($P$15:$P$383=$C32))/SUM((V$15:V$383)*($P$15:$P$383=$C32))</f>
        <v>77.669503105590053</v>
      </c>
      <c r="F32" s="191">
        <f t="array" ref="F32">(SUM((T$15:T$383)*(U$15:U$383)*($P$15:$P$383=$C32))+SUM((T$15:T$383)*(V$15:V$383)*($P$15:$P$383=$C32)))/(SUM((U$15:U$383)*($P$15:$P$383=$C32))+SUM((V$15:V$383)*($P$15:$P$383=$C32)))</f>
        <v>83.203268493150688</v>
      </c>
      <c r="G32" s="191">
        <f t="array" ref="G32">(SUM((AD$15:AD$383)*(U$15:U$383)*($P$15:$P$383=$C32))+SUM((AD$15:AD$383)*(V$15:V$383)*($P$15:$P$383=$C32)))/(SUM((U$15:U$383)*($P$15:$P$383=$C32))+SUM((V$15:V$383)*($P$15:$P$383=$C32)))</f>
        <v>10.679539654517416</v>
      </c>
      <c r="H32" s="257">
        <f t="shared" si="1"/>
        <v>5.85</v>
      </c>
      <c r="I32" s="191">
        <f t="shared" si="6"/>
        <v>6.3149999999999986</v>
      </c>
      <c r="J32" s="257">
        <f t="shared" si="19"/>
        <v>12.139166666666668</v>
      </c>
      <c r="K32" s="192">
        <v>1.9E-2</v>
      </c>
      <c r="L32" s="192">
        <v>1.9E-2</v>
      </c>
      <c r="M32" s="338">
        <f t="shared" si="17"/>
        <v>6.8181318864393248</v>
      </c>
      <c r="P32" s="4">
        <f t="shared" si="10"/>
        <v>2007</v>
      </c>
      <c r="Q32" s="396">
        <f t="shared" si="22"/>
        <v>39234</v>
      </c>
      <c r="R32" s="136">
        <v>44.5</v>
      </c>
      <c r="S32" s="136">
        <v>31.46</v>
      </c>
      <c r="T32" s="338">
        <f t="shared" si="20"/>
        <v>38.892800000000001</v>
      </c>
      <c r="U32" s="324">
        <v>416</v>
      </c>
      <c r="V32" s="324">
        <v>304</v>
      </c>
      <c r="W32" s="324">
        <f t="shared" si="13"/>
        <v>0.57777777777777772</v>
      </c>
      <c r="X32" s="324">
        <f t="shared" si="14"/>
        <v>0.42222222222222222</v>
      </c>
      <c r="AB32" s="4">
        <f t="shared" si="21"/>
        <v>2007</v>
      </c>
      <c r="AC32" s="394">
        <f t="shared" si="23"/>
        <v>39234</v>
      </c>
      <c r="AD32" s="135">
        <f t="shared" si="15"/>
        <v>7.1265538336052208</v>
      </c>
      <c r="AE32" s="136">
        <v>7.1265538336052208</v>
      </c>
      <c r="AG32" s="4">
        <f t="shared" si="2"/>
        <v>2006</v>
      </c>
      <c r="AH32" s="394">
        <v>38837</v>
      </c>
      <c r="AI32" s="4">
        <f t="shared" si="3"/>
        <v>4.8926438289999998</v>
      </c>
      <c r="AJ32" s="4">
        <v>4.9677671099999996</v>
      </c>
      <c r="AK32" s="4">
        <v>4.8175205480000001</v>
      </c>
      <c r="AM32" s="4">
        <f t="shared" si="4"/>
        <v>2010</v>
      </c>
      <c r="AN32" s="337">
        <v>40238</v>
      </c>
      <c r="AO32" s="4">
        <f t="shared" si="5"/>
        <v>12.287500000000001</v>
      </c>
      <c r="AP32" s="4">
        <v>11.845000000000001</v>
      </c>
      <c r="AQ32" s="4">
        <v>12.73</v>
      </c>
    </row>
    <row r="33" spans="3:57">
      <c r="C33" s="4">
        <f t="shared" si="18"/>
        <v>2024</v>
      </c>
      <c r="D33" s="191">
        <f t="array" ref="D33">SUM((R$15:R$383)*(U$15:U$383)*($P$15:$P$383=$C33))/SUM((U$15:U$383)*($P$15:$P$383=$C33))</f>
        <v>87.465941558441557</v>
      </c>
      <c r="E33" s="191">
        <f t="array" ref="E33">SUM((S$15:S$383)*(V$15:V$383)*($P$15:$P$383=$C33))/SUM((V$15:V$383)*($P$15:$P$383=$C33))</f>
        <v>78.932676348547716</v>
      </c>
      <c r="F33" s="191">
        <f t="array" ref="F33">(SUM((T$15:T$383)*(U$15:U$383)*($P$15:$P$383=$C33))+SUM((T$15:T$383)*(V$15:V$383)*($P$15:$P$383=$C33)))/(SUM((U$15:U$383)*($P$15:$P$383=$C33))+SUM((V$15:V$383)*($P$15:$P$383=$C33)))</f>
        <v>83.801019398907087</v>
      </c>
      <c r="G33" s="191">
        <f t="array" ref="G33">(SUM((AD$15:AD$383)*(U$15:U$383)*($P$15:$P$383=$C33))+SUM((AD$15:AD$383)*(V$15:V$383)*($P$15:$P$383=$C33)))/(SUM((U$15:U$383)*($P$15:$P$383=$C33))+SUM((V$15:V$383)*($P$15:$P$383=$C33)))</f>
        <v>10.883589278444866</v>
      </c>
      <c r="H33" s="263">
        <f>H32*(1+$BD$37)</f>
        <v>5.996249999999999</v>
      </c>
      <c r="I33" s="191">
        <f t="shared" si="6"/>
        <v>6.5370833333333325</v>
      </c>
      <c r="J33" s="257">
        <f t="shared" si="19"/>
        <v>12.371250000000002</v>
      </c>
      <c r="K33" s="192">
        <v>1.9E-2</v>
      </c>
      <c r="L33" s="192">
        <v>1.9E-2</v>
      </c>
      <c r="M33" s="338">
        <f t="shared" si="17"/>
        <v>6.9476763922816716</v>
      </c>
      <c r="P33" s="4">
        <f t="shared" si="10"/>
        <v>2007</v>
      </c>
      <c r="Q33" s="396">
        <f t="shared" si="22"/>
        <v>39264</v>
      </c>
      <c r="R33" s="136">
        <v>71.55</v>
      </c>
      <c r="S33" s="136">
        <v>55.8</v>
      </c>
      <c r="T33" s="338">
        <f t="shared" si="20"/>
        <v>64.777500000000003</v>
      </c>
      <c r="U33" s="324">
        <v>400</v>
      </c>
      <c r="V33" s="324">
        <v>344</v>
      </c>
      <c r="W33" s="324">
        <f t="shared" si="13"/>
        <v>0.5376344086021505</v>
      </c>
      <c r="X33" s="324">
        <f t="shared" si="14"/>
        <v>0.46236559139784944</v>
      </c>
      <c r="AB33" s="4">
        <f t="shared" si="21"/>
        <v>2007</v>
      </c>
      <c r="AC33" s="394">
        <f t="shared" si="23"/>
        <v>39264</v>
      </c>
      <c r="AD33" s="135">
        <f t="shared" si="15"/>
        <v>7.2903996737357257</v>
      </c>
      <c r="AE33" s="136">
        <v>7.2903996737357257</v>
      </c>
      <c r="AG33" s="4">
        <f t="shared" si="2"/>
        <v>2006</v>
      </c>
      <c r="AH33" s="394">
        <v>38868</v>
      </c>
      <c r="AI33" s="4">
        <f t="shared" si="3"/>
        <v>4.7426438290000004</v>
      </c>
      <c r="AJ33" s="4">
        <v>4.8177671100000001</v>
      </c>
      <c r="AK33" s="4">
        <v>4.6675205479999997</v>
      </c>
      <c r="AM33" s="4">
        <f t="shared" si="4"/>
        <v>2010</v>
      </c>
      <c r="AN33" s="337">
        <v>40269</v>
      </c>
      <c r="AO33" s="4">
        <f t="shared" si="5"/>
        <v>10.01</v>
      </c>
      <c r="AP33" s="4">
        <v>10.065</v>
      </c>
      <c r="AQ33" s="4">
        <v>9.9550000000000001</v>
      </c>
      <c r="AT33" s="398"/>
      <c r="BD33" s="4" t="s">
        <v>194</v>
      </c>
    </row>
    <row r="34" spans="3:57">
      <c r="C34" s="4">
        <f t="shared" si="18"/>
        <v>2025</v>
      </c>
      <c r="D34" s="191">
        <f t="array" ref="D34">SUM((R$15:R$383)*(U$15:U$383)*($P$15:$P$383=$C34))/SUM((U$15:U$383)*($P$15:$P$383=$C34))</f>
        <v>88.983257328990234</v>
      </c>
      <c r="E34" s="191">
        <f t="array" ref="E34">SUM((S$15:S$383)*(V$15:V$383)*($P$15:$P$383=$C34))/SUM((V$15:V$383)*($P$15:$P$383=$C34))</f>
        <v>81.403617463617465</v>
      </c>
      <c r="F34" s="191">
        <f t="array" ref="F34">(SUM((T$15:T$383)*(U$15:U$383)*($P$15:$P$383=$C34))+SUM((T$15:T$383)*(V$15:V$383)*($P$15:$P$383=$C34)))/(SUM((U$15:U$383)*($P$15:$P$383=$C34))+SUM((V$15:V$383)*($P$15:$P$383=$C34)))</f>
        <v>85.729098904109577</v>
      </c>
      <c r="G34" s="191">
        <f t="array" ref="G34">(SUM((AD$15:AD$383)*(U$15:U$383)*($P$15:$P$383=$C34))+SUM((AD$15:AD$383)*(V$15:V$383)*($P$15:$P$383=$C34)))/(SUM((U$15:U$383)*($P$15:$P$383=$C34))+SUM((V$15:V$383)*($P$15:$P$383=$C34)))</f>
        <v>11.090126110825569</v>
      </c>
      <c r="H34" s="263">
        <f t="shared" ref="H34:H48" si="24">H33*(1+$BD$37)</f>
        <v>6.146156249999998</v>
      </c>
      <c r="I34" s="191">
        <f t="shared" si="6"/>
        <v>6.765416666666666</v>
      </c>
      <c r="J34" s="257">
        <f t="shared" si="19"/>
        <v>12.592916666666667</v>
      </c>
      <c r="K34" s="192">
        <v>1.9E-2</v>
      </c>
      <c r="L34" s="192">
        <v>1.7999999999999999E-2</v>
      </c>
      <c r="M34" s="338">
        <f t="shared" si="17"/>
        <v>7.0796822437350224</v>
      </c>
      <c r="P34" s="4">
        <f t="shared" si="10"/>
        <v>2007</v>
      </c>
      <c r="Q34" s="396">
        <f t="shared" si="22"/>
        <v>39295</v>
      </c>
      <c r="R34" s="136">
        <v>84.27</v>
      </c>
      <c r="S34" s="136">
        <v>65.72</v>
      </c>
      <c r="T34" s="338">
        <f t="shared" si="20"/>
        <v>76.293499999999995</v>
      </c>
      <c r="U34" s="324">
        <v>432</v>
      </c>
      <c r="V34" s="324">
        <v>312</v>
      </c>
      <c r="W34" s="324">
        <f t="shared" si="13"/>
        <v>0.58064516129032262</v>
      </c>
      <c r="X34" s="324">
        <f t="shared" si="14"/>
        <v>0.41935483870967744</v>
      </c>
      <c r="AB34" s="4">
        <f t="shared" si="21"/>
        <v>2007</v>
      </c>
      <c r="AC34" s="394">
        <f t="shared" si="23"/>
        <v>39295</v>
      </c>
      <c r="AD34" s="135">
        <f t="shared" si="15"/>
        <v>7.3821615008156618</v>
      </c>
      <c r="AE34" s="136">
        <v>7.3821615008156618</v>
      </c>
      <c r="AG34" s="4">
        <f t="shared" si="2"/>
        <v>2006</v>
      </c>
      <c r="AH34" s="394">
        <v>38898</v>
      </c>
      <c r="AI34" s="4">
        <f t="shared" si="3"/>
        <v>4.7476438289999994</v>
      </c>
      <c r="AJ34" s="4">
        <v>4.82276711</v>
      </c>
      <c r="AK34" s="4">
        <v>4.6725205479999996</v>
      </c>
      <c r="AM34" s="4">
        <f t="shared" si="4"/>
        <v>2010</v>
      </c>
      <c r="AN34" s="337">
        <v>40299</v>
      </c>
      <c r="AO34" s="4">
        <f t="shared" si="5"/>
        <v>9.8449999999999989</v>
      </c>
      <c r="AP34" s="4">
        <v>9.9</v>
      </c>
      <c r="AQ34" s="4">
        <v>9.7899999999999991</v>
      </c>
      <c r="AT34" s="398"/>
      <c r="BD34" s="4" t="s">
        <v>191</v>
      </c>
    </row>
    <row r="35" spans="3:57">
      <c r="C35" s="4">
        <f t="shared" si="18"/>
        <v>2026</v>
      </c>
      <c r="D35" s="191">
        <f t="array" ref="D35">SUM((R$15:R$383)*(U$15:U$383)*($P$15:$P$383=$C35))/SUM((U$15:U$383)*($P$15:$P$383=$C35))</f>
        <v>90.695830618892501</v>
      </c>
      <c r="E35" s="191">
        <f t="array" ref="E35">SUM((S$15:S$383)*(V$15:V$383)*($P$15:$P$383=$C35))/SUM((V$15:V$383)*($P$15:$P$383=$C35))</f>
        <v>82.942245322245327</v>
      </c>
      <c r="F35" s="191">
        <f t="array" ref="F35">(SUM((T$15:T$383)*(U$15:U$383)*($P$15:$P$383=$C35))+SUM((T$15:T$383)*(V$15:V$383)*($P$15:$P$383=$C35)))/(SUM((U$15:U$383)*($P$15:$P$383=$C35))+SUM((V$15:V$383)*($P$15:$P$383=$C35)))</f>
        <v>87.357894794520547</v>
      </c>
      <c r="G35" s="191">
        <f t="array" ref="G35">(SUM((AD$15:AD$383)*(U$15:U$383)*($P$15:$P$383=$C35))+SUM((AD$15:AD$383)*(V$15:V$383)*($P$15:$P$383=$C35)))/(SUM((U$15:U$383)*($P$15:$P$383=$C35))+SUM((V$15:V$383)*($P$15:$P$383=$C35)))</f>
        <v>11.299115883408938</v>
      </c>
      <c r="H35" s="263">
        <f t="shared" si="24"/>
        <v>6.2998101562499977</v>
      </c>
      <c r="I35" s="191">
        <f t="shared" si="6"/>
        <v>7.0025000000000004</v>
      </c>
      <c r="J35" s="257">
        <f t="shared" si="19"/>
        <v>12.819166666666668</v>
      </c>
      <c r="K35" s="192">
        <v>1.9E-2</v>
      </c>
      <c r="L35" s="192">
        <v>1.7999999999999999E-2</v>
      </c>
      <c r="M35" s="338">
        <f t="shared" si="17"/>
        <v>7.2141962063659868</v>
      </c>
      <c r="P35" s="4">
        <f t="shared" si="10"/>
        <v>2007</v>
      </c>
      <c r="Q35" s="396">
        <f t="shared" si="22"/>
        <v>39326</v>
      </c>
      <c r="R35" s="136">
        <v>82.68</v>
      </c>
      <c r="S35" s="136">
        <v>64.48</v>
      </c>
      <c r="T35" s="338">
        <f t="shared" si="20"/>
        <v>74.853999999999999</v>
      </c>
      <c r="U35" s="324">
        <v>384</v>
      </c>
      <c r="V35" s="324">
        <v>336</v>
      </c>
      <c r="W35" s="324">
        <f t="shared" si="13"/>
        <v>0.53333333333333333</v>
      </c>
      <c r="X35" s="324">
        <f t="shared" si="14"/>
        <v>0.46666666666666667</v>
      </c>
      <c r="AB35" s="4">
        <f t="shared" si="21"/>
        <v>2007</v>
      </c>
      <c r="AC35" s="394">
        <f t="shared" si="23"/>
        <v>39326</v>
      </c>
      <c r="AD35" s="135">
        <f t="shared" si="15"/>
        <v>7.473923327895597</v>
      </c>
      <c r="AE35" s="136">
        <v>7.473923327895597</v>
      </c>
      <c r="AG35" s="4">
        <f t="shared" si="2"/>
        <v>2006</v>
      </c>
      <c r="AH35" s="394">
        <v>38929</v>
      </c>
      <c r="AI35" s="4">
        <f t="shared" si="3"/>
        <v>4.7676438289999998</v>
      </c>
      <c r="AJ35" s="4">
        <v>4.8427671099999996</v>
      </c>
      <c r="AK35" s="4">
        <v>4.6925205480000001</v>
      </c>
      <c r="AM35" s="4">
        <f t="shared" si="4"/>
        <v>2010</v>
      </c>
      <c r="AN35" s="337">
        <v>40330</v>
      </c>
      <c r="AO35" s="4">
        <f t="shared" si="5"/>
        <v>9.9250000000000007</v>
      </c>
      <c r="AP35" s="4">
        <v>9.98</v>
      </c>
      <c r="AQ35" s="4">
        <v>9.8699999999999992</v>
      </c>
      <c r="AT35" s="398"/>
      <c r="BD35" s="4" t="s">
        <v>192</v>
      </c>
    </row>
    <row r="36" spans="3:57">
      <c r="C36" s="4">
        <f t="shared" si="18"/>
        <v>2027</v>
      </c>
      <c r="D36" s="191">
        <f t="array" ref="D36">SUM((R$15:R$383)*(U$15:U$383)*($P$15:$P$383=$C36))/SUM((U$15:U$383)*($P$15:$P$383=$C36))</f>
        <v>92.386319218241056</v>
      </c>
      <c r="E36" s="191">
        <f t="array" ref="E36">SUM((S$15:S$383)*(V$15:V$383)*($P$15:$P$383=$C36))/SUM((V$15:V$383)*($P$15:$P$383=$C36))</f>
        <v>84.557920997920988</v>
      </c>
      <c r="F36" s="191">
        <f t="array" ref="F36">(SUM((T$15:T$383)*(U$15:U$383)*($P$15:$P$383=$C36))+SUM((T$15:T$383)*(V$15:V$383)*($P$15:$P$383=$C36)))/(SUM((U$15:U$383)*($P$15:$P$383=$C36))+SUM((V$15:V$383)*($P$15:$P$383=$C36)))</f>
        <v>89.017453424657518</v>
      </c>
      <c r="G36" s="191">
        <f t="array" ref="G36">(SUM((AD$15:AD$383)*(U$15:U$383)*($P$15:$P$383=$C36))+SUM((AD$15:AD$383)*(V$15:V$383)*($P$15:$P$383=$C36)))/(SUM((U$15:U$383)*($P$15:$P$383=$C36))+SUM((V$15:V$383)*($P$15:$P$383=$C36)))</f>
        <v>11.51262158558478</v>
      </c>
      <c r="H36" s="263">
        <f t="shared" si="24"/>
        <v>6.4573054101562475</v>
      </c>
      <c r="I36" s="191">
        <f t="shared" si="6"/>
        <v>7.2479166666666659</v>
      </c>
      <c r="J36" s="257">
        <f t="shared" si="19"/>
        <v>13.063749999999999</v>
      </c>
      <c r="K36" s="192">
        <v>1.9E-2</v>
      </c>
      <c r="L36" s="192">
        <v>1.9E-2</v>
      </c>
      <c r="M36" s="338">
        <f t="shared" si="17"/>
        <v>7.35126593428694</v>
      </c>
      <c r="P36" s="4">
        <f t="shared" si="10"/>
        <v>2007</v>
      </c>
      <c r="Q36" s="396">
        <f t="shared" si="22"/>
        <v>39356</v>
      </c>
      <c r="R36" s="136">
        <v>59.8</v>
      </c>
      <c r="S36" s="136">
        <v>54.365000000000002</v>
      </c>
      <c r="T36" s="338">
        <f t="shared" si="20"/>
        <v>57.462949999999999</v>
      </c>
      <c r="U36" s="324">
        <v>432</v>
      </c>
      <c r="V36" s="324">
        <v>312</v>
      </c>
      <c r="W36" s="324">
        <f t="shared" si="13"/>
        <v>0.58064516129032262</v>
      </c>
      <c r="X36" s="324">
        <f t="shared" si="14"/>
        <v>0.41935483870967744</v>
      </c>
      <c r="AB36" s="4">
        <f t="shared" si="21"/>
        <v>2007</v>
      </c>
      <c r="AC36" s="394">
        <f t="shared" si="23"/>
        <v>39356</v>
      </c>
      <c r="AD36" s="135">
        <f t="shared" si="15"/>
        <v>7.6119059271343117</v>
      </c>
      <c r="AE36" s="136">
        <v>7.6119059271343117</v>
      </c>
      <c r="AG36" s="4">
        <f t="shared" si="2"/>
        <v>2006</v>
      </c>
      <c r="AH36" s="394">
        <v>38960</v>
      </c>
      <c r="AI36" s="4">
        <f t="shared" si="3"/>
        <v>4.7856438289999996</v>
      </c>
      <c r="AJ36" s="4">
        <v>4.8607671100000003</v>
      </c>
      <c r="AK36" s="4">
        <v>4.7105205479999999</v>
      </c>
      <c r="AM36" s="4">
        <f t="shared" si="4"/>
        <v>2010</v>
      </c>
      <c r="AN36" s="337">
        <v>40360</v>
      </c>
      <c r="AO36" s="4">
        <f t="shared" si="5"/>
        <v>10.02</v>
      </c>
      <c r="AP36" s="4">
        <v>10.074999999999999</v>
      </c>
      <c r="AQ36" s="4">
        <v>9.9649999999999999</v>
      </c>
      <c r="BD36" s="4" t="s">
        <v>193</v>
      </c>
    </row>
    <row r="37" spans="3:57">
      <c r="C37" s="4">
        <f t="shared" si="18"/>
        <v>2028</v>
      </c>
      <c r="D37" s="191">
        <f t="array" ref="D37">SUM((R$15:R$383)*(U$15:U$383)*($P$15:$P$383=$C37))/SUM((U$15:U$383)*($P$15:$P$383=$C37))</f>
        <v>94.137035830618885</v>
      </c>
      <c r="E37" s="191">
        <f t="array" ref="E37">SUM((S$15:S$383)*(V$15:V$383)*($P$15:$P$383=$C37))/SUM((V$15:V$383)*($P$15:$P$383=$C37))</f>
        <v>86.209256198347092</v>
      </c>
      <c r="F37" s="191">
        <f t="array" ref="F37">(SUM((T$15:T$383)*(U$15:U$383)*($P$15:$P$383=$C37))+SUM((T$15:T$383)*(V$15:V$383)*($P$15:$P$383=$C37)))/(SUM((U$15:U$383)*($P$15:$P$383=$C37))+SUM((V$15:V$383)*($P$15:$P$383=$C37)))</f>
        <v>90.723929234972672</v>
      </c>
      <c r="G37" s="191">
        <f t="array" ref="G37">(SUM((AD$15:AD$383)*(U$15:U$383)*($P$15:$P$383=$C37))+SUM((AD$15:AD$383)*(V$15:V$383)*($P$15:$P$383=$C37)))/(SUM((U$15:U$383)*($P$15:$P$383=$C37))+SUM((V$15:V$383)*($P$15:$P$383=$C37)))</f>
        <v>11.7332358254813</v>
      </c>
      <c r="H37" s="263">
        <f t="shared" si="24"/>
        <v>6.6187380454101534</v>
      </c>
      <c r="I37" s="191">
        <f t="shared" si="6"/>
        <v>7.5008333333333326</v>
      </c>
      <c r="J37" s="257">
        <f t="shared" si="19"/>
        <v>13.311666666666667</v>
      </c>
      <c r="K37" s="192">
        <v>1.9E-2</v>
      </c>
      <c r="L37" s="192">
        <v>1.9E-2</v>
      </c>
      <c r="M37" s="338">
        <f t="shared" si="17"/>
        <v>7.4909399870383915</v>
      </c>
      <c r="P37" s="4">
        <f t="shared" si="10"/>
        <v>2007</v>
      </c>
      <c r="Q37" s="396">
        <f t="shared" si="22"/>
        <v>39387</v>
      </c>
      <c r="R37" s="136">
        <v>74.002499999999998</v>
      </c>
      <c r="S37" s="136">
        <v>64.19</v>
      </c>
      <c r="T37" s="338">
        <f t="shared" si="20"/>
        <v>69.783124999999998</v>
      </c>
      <c r="U37" s="324">
        <v>400</v>
      </c>
      <c r="V37" s="324">
        <v>320</v>
      </c>
      <c r="W37" s="324">
        <f t="shared" si="13"/>
        <v>0.55555555555555558</v>
      </c>
      <c r="X37" s="324">
        <f t="shared" si="14"/>
        <v>0.44444444444444442</v>
      </c>
      <c r="AB37" s="4">
        <f t="shared" si="21"/>
        <v>2007</v>
      </c>
      <c r="AC37" s="394">
        <f t="shared" si="23"/>
        <v>39387</v>
      </c>
      <c r="AD37" s="135">
        <f t="shared" si="15"/>
        <v>8.4234883088635115</v>
      </c>
      <c r="AE37" s="136">
        <v>8.4234883088635115</v>
      </c>
      <c r="AG37" s="4">
        <f t="shared" si="2"/>
        <v>2006</v>
      </c>
      <c r="AH37" s="394">
        <v>38990</v>
      </c>
      <c r="AI37" s="4">
        <f t="shared" si="3"/>
        <v>4.7606438290000002</v>
      </c>
      <c r="AJ37" s="4">
        <v>4.8357671099999999</v>
      </c>
      <c r="AK37" s="4">
        <v>4.6855205480000004</v>
      </c>
      <c r="AM37" s="4">
        <f t="shared" si="4"/>
        <v>2010</v>
      </c>
      <c r="AN37" s="337">
        <v>40391</v>
      </c>
      <c r="AO37" s="4">
        <f t="shared" si="5"/>
        <v>10.09</v>
      </c>
      <c r="AP37" s="4">
        <v>10.145</v>
      </c>
      <c r="AQ37" s="4">
        <v>10.035</v>
      </c>
      <c r="BD37" s="244">
        <v>2.5000000000000001E-2</v>
      </c>
    </row>
    <row r="38" spans="3:57">
      <c r="C38" s="4">
        <f t="shared" si="18"/>
        <v>2029</v>
      </c>
      <c r="D38" s="191">
        <f t="array" ref="D38">SUM((R$15:R$383)*(U$15:U$383)*($P$15:$P$383=$C38))/SUM((U$15:U$383)*($P$15:$P$383=$C38))</f>
        <v>95.943843648208457</v>
      </c>
      <c r="E38" s="191">
        <f t="array" ref="E38">SUM((S$15:S$383)*(V$15:V$383)*($P$15:$P$383=$C38))/SUM((V$15:V$383)*($P$15:$P$383=$C38))</f>
        <v>87.8204365904366</v>
      </c>
      <c r="F38" s="191">
        <f t="array" ref="F38">(SUM((T$15:T$383)*(U$15:U$383)*($P$15:$P$383=$C38))+SUM((T$15:T$383)*(V$15:V$383)*($P$15:$P$383=$C38)))/(SUM((U$15:U$383)*($P$15:$P$383=$C38))+SUM((V$15:V$383)*($P$15:$P$383=$C38)))</f>
        <v>92.43199589041096</v>
      </c>
      <c r="G38" s="191">
        <f t="array" ref="G38">(SUM((AD$15:AD$383)*(U$15:U$383)*($P$15:$P$383=$C38))+SUM((AD$15:AD$383)*(V$15:V$383)*($P$15:$P$383=$C38)))/(SUM((U$15:U$383)*($P$15:$P$383=$C38))+SUM((V$15:V$383)*($P$15:$P$383=$C38)))</f>
        <v>11.952938687642925</v>
      </c>
      <c r="H38" s="263">
        <f t="shared" si="24"/>
        <v>6.7842064965454068</v>
      </c>
      <c r="I38" s="191">
        <f t="shared" si="6"/>
        <v>7.7633333333333328</v>
      </c>
      <c r="J38" s="257">
        <f t="shared" si="19"/>
        <v>13.565833333333336</v>
      </c>
      <c r="K38" s="192">
        <v>1.9E-2</v>
      </c>
      <c r="L38" s="192">
        <v>1.9E-2</v>
      </c>
      <c r="M38" s="338">
        <f t="shared" si="17"/>
        <v>7.63326784679212</v>
      </c>
      <c r="P38" s="4">
        <f t="shared" si="10"/>
        <v>2007</v>
      </c>
      <c r="Q38" s="396">
        <f t="shared" si="22"/>
        <v>39417</v>
      </c>
      <c r="R38" s="136">
        <v>90.447500000000005</v>
      </c>
      <c r="S38" s="136">
        <v>77.944999999999993</v>
      </c>
      <c r="T38" s="338">
        <f t="shared" si="20"/>
        <v>85.071424999999991</v>
      </c>
      <c r="U38" s="324">
        <v>400</v>
      </c>
      <c r="V38" s="324">
        <v>344</v>
      </c>
      <c r="W38" s="324">
        <f t="shared" si="13"/>
        <v>0.5376344086021505</v>
      </c>
      <c r="X38" s="324">
        <f t="shared" si="14"/>
        <v>0.46236559139784944</v>
      </c>
      <c r="AB38" s="4">
        <f t="shared" si="21"/>
        <v>2007</v>
      </c>
      <c r="AC38" s="394">
        <f t="shared" si="23"/>
        <v>39417</v>
      </c>
      <c r="AD38" s="135">
        <f t="shared" si="15"/>
        <v>9.2972648178357797</v>
      </c>
      <c r="AE38" s="136">
        <v>9.2972648178357797</v>
      </c>
      <c r="AG38" s="4">
        <f t="shared" si="2"/>
        <v>2006</v>
      </c>
      <c r="AH38" s="394">
        <v>39021</v>
      </c>
      <c r="AI38" s="4">
        <f t="shared" si="3"/>
        <v>4.7806438290000006</v>
      </c>
      <c r="AJ38" s="4">
        <v>4.8557671100000004</v>
      </c>
      <c r="AK38" s="4">
        <v>4.705520548</v>
      </c>
      <c r="AM38" s="4">
        <f t="shared" si="4"/>
        <v>2010</v>
      </c>
      <c r="AN38" s="337">
        <v>40422</v>
      </c>
      <c r="AO38" s="4">
        <f t="shared" si="5"/>
        <v>10.115</v>
      </c>
      <c r="AP38" s="4">
        <v>10.17</v>
      </c>
      <c r="AQ38" s="4">
        <v>10.06</v>
      </c>
    </row>
    <row r="39" spans="3:57">
      <c r="C39" s="4">
        <f t="shared" si="18"/>
        <v>2030</v>
      </c>
      <c r="D39" s="191">
        <f t="array" ref="D39">SUM((R$15:R$383)*(U$15:U$383)*($P$15:$P$383=$C39))/SUM((U$15:U$383)*($P$15:$P$383=$C39))</f>
        <v>97.846775244299678</v>
      </c>
      <c r="E39" s="191">
        <f t="array" ref="E39">SUM((S$15:S$383)*(V$15:V$383)*($P$15:$P$383=$C39))/SUM((V$15:V$383)*($P$15:$P$383=$C39))</f>
        <v>89.549085239085244</v>
      </c>
      <c r="F39" s="191">
        <f t="array" ref="F39">(SUM((T$15:T$383)*(U$15:U$383)*($P$15:$P$383=$C39))+SUM((T$15:T$383)*(V$15:V$383)*($P$15:$P$383=$C39)))/(SUM((U$15:U$383)*($P$15:$P$383=$C39))+SUM((V$15:V$383)*($P$15:$P$383=$C39)))</f>
        <v>94.281371506849311</v>
      </c>
      <c r="G39" s="191">
        <f t="array" ref="G39">(SUM((AD$15:AD$383)*(U$15:U$383)*($P$15:$P$383=$C39))+SUM((AD$15:AD$383)*(V$15:V$383)*($P$15:$P$383=$C39)))/(SUM((U$15:U$383)*($P$15:$P$383=$C39))+SUM((V$15:V$383)*($P$15:$P$383=$C39)))</f>
        <v>12.192776449380618</v>
      </c>
      <c r="H39" s="263">
        <f t="shared" si="24"/>
        <v>6.9538116589590411</v>
      </c>
      <c r="I39" s="191">
        <f t="shared" si="6"/>
        <v>8.0354166666666647</v>
      </c>
      <c r="J39" s="257">
        <f t="shared" si="19"/>
        <v>13.822083333333332</v>
      </c>
      <c r="K39" s="192">
        <v>0.02</v>
      </c>
      <c r="L39" s="192">
        <v>1.9E-2</v>
      </c>
      <c r="M39" s="338">
        <f t="shared" si="17"/>
        <v>7.7859332037279625</v>
      </c>
      <c r="P39" s="4">
        <f t="shared" si="10"/>
        <v>2008</v>
      </c>
      <c r="Q39" s="396">
        <f>EOMONTH(Q38,0)+1</f>
        <v>39448</v>
      </c>
      <c r="R39" s="136">
        <v>86.4</v>
      </c>
      <c r="S39" s="136">
        <v>76.504999999999995</v>
      </c>
      <c r="T39" s="338">
        <f t="shared" si="20"/>
        <v>82.145150000000001</v>
      </c>
      <c r="U39" s="324">
        <v>416</v>
      </c>
      <c r="V39" s="324">
        <v>328</v>
      </c>
      <c r="W39" s="324">
        <f t="shared" si="13"/>
        <v>0.55913978494623651</v>
      </c>
      <c r="X39" s="324">
        <f t="shared" si="14"/>
        <v>0.44086021505376344</v>
      </c>
      <c r="AB39" s="4">
        <f t="shared" si="21"/>
        <v>2008</v>
      </c>
      <c r="AC39" s="394">
        <f t="shared" si="23"/>
        <v>39448</v>
      </c>
      <c r="AD39" s="135">
        <f t="shared" si="15"/>
        <v>9.8274442631865142</v>
      </c>
      <c r="AE39" s="136">
        <v>9.8274442631865142</v>
      </c>
      <c r="AG39" s="4">
        <f t="shared" si="2"/>
        <v>2006</v>
      </c>
      <c r="AH39" s="394">
        <v>39051</v>
      </c>
      <c r="AI39" s="4">
        <f t="shared" si="3"/>
        <v>4.9481209484999997</v>
      </c>
      <c r="AJ39" s="4">
        <v>5.0257213490000003</v>
      </c>
      <c r="AK39" s="4">
        <v>4.870520548</v>
      </c>
      <c r="AM39" s="4">
        <f t="shared" si="4"/>
        <v>2010</v>
      </c>
      <c r="AN39" s="337">
        <v>40452</v>
      </c>
      <c r="AO39" s="4">
        <f t="shared" si="5"/>
        <v>10.205</v>
      </c>
      <c r="AP39" s="4">
        <v>10.26</v>
      </c>
      <c r="AQ39" s="4">
        <v>10.15</v>
      </c>
    </row>
    <row r="40" spans="3:57">
      <c r="C40" s="4">
        <f t="shared" si="18"/>
        <v>2031</v>
      </c>
      <c r="D40" s="191">
        <f t="array" ref="D40">SUM((R$15:R$383)*(U$15:U$383)*($P$15:$P$383=$C40))/SUM((U$15:U$383)*($P$15:$P$383=$C40))</f>
        <v>99.815504885993491</v>
      </c>
      <c r="E40" s="191">
        <f t="array" ref="E40">SUM((S$15:S$383)*(V$15:V$383)*($P$15:$P$383=$C40))/SUM((V$15:V$383)*($P$15:$P$383=$C40))</f>
        <v>91.314677754677746</v>
      </c>
      <c r="F40" s="191">
        <f t="array" ref="F40">(SUM((T$15:T$383)*(U$15:U$383)*($P$15:$P$383=$C40))+SUM((T$15:T$383)*(V$15:V$383)*($P$15:$P$383=$C40)))/(SUM((U$15:U$383)*($P$15:$P$383=$C40))+SUM((V$15:V$383)*($P$15:$P$383=$C40)))</f>
        <v>96.165856438356158</v>
      </c>
      <c r="G40" s="191">
        <f t="array" ref="G40">(SUM((AD$15:AD$383)*(U$15:U$383)*($P$15:$P$383=$C40))+SUM((AD$15:AD$383)*(V$15:V$383)*($P$15:$P$383=$C40)))/(SUM((U$15:U$383)*($P$15:$P$383=$C40))+SUM((V$15:V$383)*($P$15:$P$383=$C40)))</f>
        <v>12.434327471004936</v>
      </c>
      <c r="H40" s="263">
        <f t="shared" si="24"/>
        <v>7.1276569504330167</v>
      </c>
      <c r="I40" s="191">
        <f t="shared" si="6"/>
        <v>8.3158333333333321</v>
      </c>
      <c r="J40" s="257">
        <f t="shared" si="19"/>
        <v>14.084999999999999</v>
      </c>
      <c r="K40" s="192">
        <v>0.02</v>
      </c>
      <c r="L40" s="192">
        <v>1.9E-2</v>
      </c>
      <c r="M40" s="338">
        <f t="shared" si="17"/>
        <v>7.9416518678025216</v>
      </c>
      <c r="P40" s="4">
        <f t="shared" si="10"/>
        <v>2008</v>
      </c>
      <c r="Q40" s="396">
        <f t="shared" ref="Q40:Q103" si="25">EOMONTH(Q39,0)+1</f>
        <v>39479</v>
      </c>
      <c r="R40" s="136">
        <v>81.599999999999994</v>
      </c>
      <c r="S40" s="136">
        <v>73.644999999999996</v>
      </c>
      <c r="T40" s="338">
        <f t="shared" si="20"/>
        <v>78.179349999999999</v>
      </c>
      <c r="U40" s="324">
        <v>400</v>
      </c>
      <c r="V40" s="324">
        <v>296</v>
      </c>
      <c r="W40" s="324">
        <f t="shared" si="13"/>
        <v>0.57471264367816088</v>
      </c>
      <c r="X40" s="324">
        <f t="shared" si="14"/>
        <v>0.42528735632183906</v>
      </c>
      <c r="AB40" s="4">
        <f t="shared" si="21"/>
        <v>2008</v>
      </c>
      <c r="AC40" s="394">
        <f t="shared" si="23"/>
        <v>39479</v>
      </c>
      <c r="AD40" s="135">
        <f t="shared" si="15"/>
        <v>9.832542142468732</v>
      </c>
      <c r="AE40" s="136">
        <v>9.832542142468732</v>
      </c>
      <c r="AG40" s="4">
        <f t="shared" si="2"/>
        <v>2006</v>
      </c>
      <c r="AH40" s="394">
        <v>39082</v>
      </c>
      <c r="AI40" s="4">
        <f t="shared" si="3"/>
        <v>5.1131209485000007</v>
      </c>
      <c r="AJ40" s="4">
        <v>5.1907213490000004</v>
      </c>
      <c r="AK40" s="4">
        <v>5.035520548</v>
      </c>
      <c r="AM40" s="4">
        <f t="shared" si="4"/>
        <v>2010</v>
      </c>
      <c r="AN40" s="337">
        <v>40483</v>
      </c>
      <c r="AO40" s="4">
        <f t="shared" si="5"/>
        <v>10.9925</v>
      </c>
      <c r="AP40" s="4">
        <v>10.535</v>
      </c>
      <c r="AQ40" s="4">
        <v>11.45</v>
      </c>
      <c r="BD40" s="4" t="s">
        <v>199</v>
      </c>
    </row>
    <row r="41" spans="3:57">
      <c r="C41" s="4">
        <f t="shared" si="18"/>
        <v>2032</v>
      </c>
      <c r="D41" s="191">
        <f t="array" ref="D41">SUM((R$15:R$383)*(U$15:U$383)*($P$15:$P$383=$C41))/SUM((U$15:U$383)*($P$15:$P$383=$C41))</f>
        <v>101.9521103896104</v>
      </c>
      <c r="E41" s="191">
        <f t="array" ref="E41">SUM((S$15:S$383)*(V$15:V$383)*($P$15:$P$383=$C41))/SUM((V$15:V$383)*($P$15:$P$383=$C41))</f>
        <v>93.232323651452305</v>
      </c>
      <c r="F41" s="191">
        <f t="array" ref="F41">(SUM((T$15:T$383)*(U$15:U$383)*($P$15:$P$383=$C41))+SUM((T$15:T$383)*(V$15:V$383)*($P$15:$P$383=$C41)))/(SUM((U$15:U$383)*($P$15:$P$383=$C41))+SUM((V$15:V$383)*($P$15:$P$383=$C41)))</f>
        <v>98.202721857923493</v>
      </c>
      <c r="G41" s="191">
        <f t="array" ref="G41">(SUM((AD$15:AD$383)*(U$15:U$383)*($P$15:$P$383=$C41))+SUM((AD$15:AD$383)*(V$15:V$383)*($P$15:$P$383=$C41)))/(SUM((U$15:U$383)*($P$15:$P$383=$C41))+SUM((V$15:V$383)*($P$15:$P$383=$C41)))</f>
        <v>12.698146444521699</v>
      </c>
      <c r="H41" s="263">
        <f t="shared" si="24"/>
        <v>7.3058483741938414</v>
      </c>
      <c r="I41" s="191">
        <f t="shared" si="6"/>
        <v>8.6074999999999999</v>
      </c>
      <c r="J41" s="257">
        <f t="shared" si="19"/>
        <v>14.351666666666667</v>
      </c>
      <c r="K41" s="192">
        <v>2.1000000000000001E-2</v>
      </c>
      <c r="L41" s="192">
        <v>1.9E-2</v>
      </c>
      <c r="M41" s="338">
        <f t="shared" si="17"/>
        <v>8.1084265570263732</v>
      </c>
      <c r="P41" s="4">
        <f t="shared" si="10"/>
        <v>2008</v>
      </c>
      <c r="Q41" s="396">
        <f t="shared" si="25"/>
        <v>39508</v>
      </c>
      <c r="R41" s="136">
        <v>72.8</v>
      </c>
      <c r="S41" s="136">
        <v>64.349999999999994</v>
      </c>
      <c r="T41" s="338">
        <f t="shared" si="20"/>
        <v>69.166499999999985</v>
      </c>
      <c r="U41" s="324">
        <v>416</v>
      </c>
      <c r="V41" s="324">
        <v>328</v>
      </c>
      <c r="W41" s="324">
        <f t="shared" si="13"/>
        <v>0.55913978494623651</v>
      </c>
      <c r="X41" s="324">
        <f t="shared" si="14"/>
        <v>0.44086021505376344</v>
      </c>
      <c r="AB41" s="4">
        <f t="shared" si="21"/>
        <v>2008</v>
      </c>
      <c r="AC41" s="394">
        <f t="shared" si="23"/>
        <v>39508</v>
      </c>
      <c r="AD41" s="135">
        <f t="shared" si="15"/>
        <v>9.5694915715062514</v>
      </c>
      <c r="AE41" s="136">
        <v>9.5694915715062514</v>
      </c>
      <c r="AG41" s="4">
        <f t="shared" si="2"/>
        <v>2007</v>
      </c>
      <c r="AH41" s="394">
        <v>39113</v>
      </c>
      <c r="AI41" s="4">
        <f t="shared" si="3"/>
        <v>5.2448921345000006</v>
      </c>
      <c r="AJ41" s="4">
        <v>5.3016472830000003</v>
      </c>
      <c r="AK41" s="4">
        <v>5.188136986</v>
      </c>
      <c r="AM41" s="4">
        <f t="shared" si="4"/>
        <v>2010</v>
      </c>
      <c r="AN41" s="337">
        <v>40513</v>
      </c>
      <c r="AO41" s="4">
        <f t="shared" si="5"/>
        <v>11.4125</v>
      </c>
      <c r="AP41" s="4">
        <v>10.955</v>
      </c>
      <c r="AQ41" s="4">
        <v>11.87</v>
      </c>
      <c r="BD41" s="4" t="s">
        <v>200</v>
      </c>
    </row>
    <row r="42" spans="3:57">
      <c r="C42" s="4">
        <f t="shared" si="18"/>
        <v>2033</v>
      </c>
      <c r="D42" s="191">
        <f t="array" ref="D42">SUM((R$15:R$383)*(U$15:U$383)*($P$15:$P$383=$C42))/SUM((U$15:U$383)*($P$15:$P$383=$C42))</f>
        <v>104.04475570032574</v>
      </c>
      <c r="E42" s="191">
        <f t="array" ref="E42">SUM((S$15:S$383)*(V$15:V$383)*($P$15:$P$383=$C42))/SUM((V$15:V$383)*($P$15:$P$383=$C42))</f>
        <v>95.224490644490658</v>
      </c>
      <c r="F42" s="191">
        <f t="array" ref="F42">(SUM((T$15:T$383)*(U$15:U$383)*($P$15:$P$383=$C42))+SUM((T$15:T$383)*(V$15:V$383)*($P$15:$P$383=$C42)))/(SUM((U$15:U$383)*($P$15:$P$383=$C42))+SUM((V$15:V$383)*($P$15:$P$383=$C42)))</f>
        <v>100.24910465753423</v>
      </c>
      <c r="G42" s="191">
        <f t="array" ref="G42">(SUM((AD$15:AD$383)*(U$15:U$383)*($P$15:$P$383=$C42))+SUM((AD$15:AD$383)*(V$15:V$383)*($P$15:$P$383=$C42)))/(SUM((U$15:U$383)*($P$15:$P$383=$C42))+SUM((V$15:V$383)*($P$15:$P$383=$C42)))</f>
        <v>12.962411897472569</v>
      </c>
      <c r="H42" s="263">
        <f t="shared" si="24"/>
        <v>7.4884945835486869</v>
      </c>
      <c r="I42" s="191">
        <f t="shared" si="6"/>
        <v>8.9100000000000019</v>
      </c>
      <c r="J42" s="257">
        <f t="shared" si="19"/>
        <v>14.610833333333332</v>
      </c>
      <c r="K42" s="192">
        <v>2.1000000000000001E-2</v>
      </c>
      <c r="L42" s="192">
        <v>1.7999999999999999E-2</v>
      </c>
      <c r="M42" s="338">
        <f t="shared" si="17"/>
        <v>8.2787035147239258</v>
      </c>
      <c r="P42" s="4">
        <f t="shared" si="10"/>
        <v>2008</v>
      </c>
      <c r="Q42" s="396">
        <f t="shared" si="25"/>
        <v>39539</v>
      </c>
      <c r="R42" s="136">
        <v>55.29</v>
      </c>
      <c r="S42" s="136">
        <v>41.7</v>
      </c>
      <c r="T42" s="338">
        <f t="shared" si="20"/>
        <v>49.446299999999994</v>
      </c>
      <c r="U42" s="324">
        <v>416</v>
      </c>
      <c r="V42" s="324">
        <v>304</v>
      </c>
      <c r="W42" s="324">
        <f t="shared" si="13"/>
        <v>0.57777777777777772</v>
      </c>
      <c r="X42" s="324">
        <f t="shared" si="14"/>
        <v>0.42222222222222222</v>
      </c>
      <c r="AB42" s="4">
        <f t="shared" si="21"/>
        <v>2008</v>
      </c>
      <c r="AC42" s="394">
        <f t="shared" si="23"/>
        <v>39539</v>
      </c>
      <c r="AD42" s="135">
        <f t="shared" si="15"/>
        <v>6.96467917346384</v>
      </c>
      <c r="AE42" s="136">
        <v>6.96467917346384</v>
      </c>
      <c r="AG42" s="4">
        <f t="shared" si="2"/>
        <v>2007</v>
      </c>
      <c r="AH42" s="394">
        <v>39141</v>
      </c>
      <c r="AI42" s="4">
        <f t="shared" si="3"/>
        <v>5.1958921344999993</v>
      </c>
      <c r="AJ42" s="4">
        <v>5.2526472829999999</v>
      </c>
      <c r="AK42" s="4">
        <v>5.1391369859999996</v>
      </c>
      <c r="AM42" s="4">
        <f t="shared" si="4"/>
        <v>2011</v>
      </c>
      <c r="AN42" s="337">
        <v>40544</v>
      </c>
      <c r="AO42" s="4">
        <f t="shared" si="5"/>
        <v>11.647500000000001</v>
      </c>
      <c r="AP42" s="4">
        <v>11.2</v>
      </c>
      <c r="AQ42" s="4">
        <v>12.095000000000001</v>
      </c>
      <c r="BD42" s="4" t="s">
        <v>201</v>
      </c>
    </row>
    <row r="43" spans="3:57">
      <c r="C43" s="4">
        <f t="shared" si="18"/>
        <v>2034</v>
      </c>
      <c r="D43" s="191">
        <f t="array" ref="D43">SUM((R$15:R$383)*(U$15:U$383)*($P$15:$P$383=$C43))/SUM((U$15:U$383)*($P$15:$P$383=$C43))</f>
        <v>106.19401960784313</v>
      </c>
      <c r="E43" s="191">
        <f t="array" ref="E43">SUM((S$15:S$383)*(V$15:V$383)*($P$15:$P$383=$C43))/SUM((V$15:V$383)*($P$15:$P$383=$C43))</f>
        <v>97.271739130434781</v>
      </c>
      <c r="F43" s="191">
        <f t="array" ref="F43">(SUM((T$15:T$383)*(U$15:U$383)*($P$15:$P$383=$C43))+SUM((T$15:T$383)*(V$15:V$383)*($P$15:$P$383=$C43)))/(SUM((U$15:U$383)*($P$15:$P$383=$C43))+SUM((V$15:V$383)*($P$15:$P$383=$C43)))</f>
        <v>102.3546008219178</v>
      </c>
      <c r="G43" s="191">
        <f t="array" ref="G43">(SUM((AD$15:AD$383)*(U$15:U$383)*($P$15:$P$383=$C43))+SUM((AD$15:AD$383)*(V$15:V$383)*($P$15:$P$383=$C43)))/(SUM((U$15:U$383)*($P$15:$P$383=$C43))+SUM((V$15:V$383)*($P$15:$P$383=$C43)))</f>
        <v>13.232278263201412</v>
      </c>
      <c r="H43" s="263">
        <f t="shared" si="24"/>
        <v>7.6757069481374032</v>
      </c>
      <c r="I43" s="191">
        <f t="shared" si="6"/>
        <v>9.2114285714285717</v>
      </c>
      <c r="J43" s="257">
        <f t="shared" si="19"/>
        <v>14.875000000000002</v>
      </c>
      <c r="K43" s="192">
        <v>2.1000000000000001E-2</v>
      </c>
      <c r="L43" s="192">
        <v>1.7999999999999999E-2</v>
      </c>
      <c r="M43" s="338">
        <f t="shared" si="17"/>
        <v>8.4525562885331276</v>
      </c>
      <c r="P43" s="4">
        <f t="shared" si="10"/>
        <v>2008</v>
      </c>
      <c r="Q43" s="396">
        <f t="shared" si="25"/>
        <v>39569</v>
      </c>
      <c r="R43" s="136">
        <v>46.56</v>
      </c>
      <c r="S43" s="136">
        <v>31.97</v>
      </c>
      <c r="T43" s="338">
        <f t="shared" si="20"/>
        <v>40.286299999999997</v>
      </c>
      <c r="U43" s="324">
        <v>416</v>
      </c>
      <c r="V43" s="324">
        <v>328</v>
      </c>
      <c r="W43" s="324">
        <f t="shared" si="13"/>
        <v>0.55913978494623651</v>
      </c>
      <c r="X43" s="324">
        <f t="shared" si="14"/>
        <v>0.44086021505376344</v>
      </c>
      <c r="AB43" s="4">
        <f t="shared" si="21"/>
        <v>2008</v>
      </c>
      <c r="AC43" s="394">
        <f t="shared" si="23"/>
        <v>39569</v>
      </c>
      <c r="AD43" s="135">
        <f t="shared" si="15"/>
        <v>6.7556661228928769</v>
      </c>
      <c r="AE43" s="136">
        <v>6.7556661228928769</v>
      </c>
      <c r="AG43" s="4">
        <f t="shared" si="2"/>
        <v>2007</v>
      </c>
      <c r="AH43" s="394">
        <v>39172</v>
      </c>
      <c r="AI43" s="4">
        <f t="shared" si="3"/>
        <v>5.0058921344999998</v>
      </c>
      <c r="AJ43" s="4">
        <v>5.0626472830000004</v>
      </c>
      <c r="AK43" s="4">
        <v>4.9491369860000001</v>
      </c>
      <c r="AM43" s="4">
        <f t="shared" si="4"/>
        <v>2011</v>
      </c>
      <c r="AN43" s="337">
        <v>40575</v>
      </c>
      <c r="AO43" s="4">
        <f t="shared" si="5"/>
        <v>11.637499999999999</v>
      </c>
      <c r="AP43" s="4">
        <v>11.19</v>
      </c>
      <c r="AQ43" s="4">
        <v>12.085000000000001</v>
      </c>
      <c r="BD43" s="4" t="s">
        <v>202</v>
      </c>
      <c r="BE43" s="192">
        <v>2.0199999999999999E-2</v>
      </c>
    </row>
    <row r="44" spans="3:57">
      <c r="C44" s="4">
        <f t="shared" si="18"/>
        <v>2035</v>
      </c>
      <c r="D44" s="191">
        <f t="array" ref="D44">SUM((R$15:R$383)*(U$15:U$383)*($P$15:$P$383=$C44))/SUM((U$15:U$383)*($P$15:$P$383=$C44))</f>
        <v>108.47397394136806</v>
      </c>
      <c r="E44" s="191">
        <f t="array" ref="E44">SUM((S$15:S$383)*(V$15:V$383)*($P$15:$P$383=$C44))/SUM((V$15:V$383)*($P$15:$P$383=$C44))</f>
        <v>99.289002079002088</v>
      </c>
      <c r="F44" s="191">
        <f t="array" ref="F44">(SUM((T$15:T$383)*(U$15:U$383)*($P$15:$P$383=$C44))+SUM((T$15:T$383)*(V$15:V$383)*($P$15:$P$383=$C44)))/(SUM((U$15:U$383)*($P$15:$P$383=$C44))+SUM((V$15:V$383)*($P$15:$P$383=$C44)))</f>
        <v>104.5032106849315</v>
      </c>
      <c r="G44" s="191">
        <f t="array" ref="G44">(SUM((AD$15:AD$383)*(U$15:U$383)*($P$15:$P$383=$C44))+SUM((AD$15:AD$383)*(V$15:V$383)*($P$15:$P$383=$C44)))/(SUM((U$15:U$383)*($P$15:$P$383=$C44))+SUM((V$15:V$383)*($P$15:$P$383=$C44)))</f>
        <v>13.511483757551378</v>
      </c>
      <c r="H44" s="263">
        <f t="shared" si="24"/>
        <v>7.8675996218408377</v>
      </c>
      <c r="I44" s="263">
        <f>I43*(1+$BE$45)</f>
        <v>9.5319862857142859</v>
      </c>
      <c r="J44" s="257">
        <f t="shared" si="19"/>
        <v>15.140833333333333</v>
      </c>
      <c r="K44" s="192">
        <v>2.1000000000000001E-2</v>
      </c>
      <c r="L44" s="192">
        <v>1.7999999999999999E-2</v>
      </c>
      <c r="M44" s="338">
        <f t="shared" si="17"/>
        <v>8.6300599705923222</v>
      </c>
      <c r="P44" s="4">
        <f t="shared" si="10"/>
        <v>2008</v>
      </c>
      <c r="Q44" s="396">
        <f t="shared" si="25"/>
        <v>39600</v>
      </c>
      <c r="R44" s="136">
        <v>43.65</v>
      </c>
      <c r="S44" s="136">
        <v>30.58</v>
      </c>
      <c r="T44" s="338">
        <f t="shared" si="20"/>
        <v>38.029899999999998</v>
      </c>
      <c r="U44" s="324">
        <v>400</v>
      </c>
      <c r="V44" s="324">
        <v>320</v>
      </c>
      <c r="W44" s="324">
        <f t="shared" si="13"/>
        <v>0.55555555555555558</v>
      </c>
      <c r="X44" s="324">
        <f t="shared" si="14"/>
        <v>0.44444444444444442</v>
      </c>
      <c r="AB44" s="4">
        <f t="shared" si="21"/>
        <v>2008</v>
      </c>
      <c r="AC44" s="394">
        <f t="shared" si="23"/>
        <v>39600</v>
      </c>
      <c r="AD44" s="135">
        <f t="shared" si="15"/>
        <v>6.8423300706905925</v>
      </c>
      <c r="AE44" s="136">
        <v>6.8423300706905925</v>
      </c>
      <c r="AG44" s="4">
        <f t="shared" si="2"/>
        <v>2007</v>
      </c>
      <c r="AH44" s="394">
        <v>39202</v>
      </c>
      <c r="AI44" s="4">
        <f t="shared" si="3"/>
        <v>4.4895466709999994</v>
      </c>
      <c r="AJ44" s="4">
        <v>4.5599563559999998</v>
      </c>
      <c r="AK44" s="4">
        <v>4.4191369859999998</v>
      </c>
      <c r="AM44" s="4">
        <f t="shared" si="4"/>
        <v>2011</v>
      </c>
      <c r="AN44" s="337">
        <v>40603</v>
      </c>
      <c r="AO44" s="4">
        <f t="shared" si="5"/>
        <v>11.4025</v>
      </c>
      <c r="AP44" s="4">
        <v>10.955</v>
      </c>
      <c r="AQ44" s="4">
        <v>11.85</v>
      </c>
      <c r="BD44" s="4" t="s">
        <v>203</v>
      </c>
      <c r="BE44" s="192">
        <v>2.9399999999999999E-2</v>
      </c>
    </row>
    <row r="45" spans="3:57">
      <c r="C45" s="4">
        <f t="shared" si="18"/>
        <v>2036</v>
      </c>
      <c r="D45" s="191">
        <f t="array" ref="D45">SUM((R$15:R$383)*(U$15:U$383)*($P$15:$P$383=$C45))/SUM((U$15:U$383)*($P$15:$P$383=$C45))</f>
        <v>109.17189826839827</v>
      </c>
      <c r="E45" s="191">
        <f t="array" ref="E45">SUM((S$15:S$383)*(V$15:V$383)*($P$15:$P$383=$C45))/SUM((V$15:V$383)*($P$15:$P$383=$C45))</f>
        <v>100.65990444444445</v>
      </c>
      <c r="F45" s="191">
        <f t="array" ref="F45">(SUM((T$15:T$383)*(U$15:U$383)*($P$15:$P$383=$C45))+SUM((T$15:T$383)*(V$15:V$383)*($P$15:$P$383=$C45)))/(SUM((U$15:U$383)*($P$15:$P$383=$C45))+SUM((V$15:V$383)*($P$15:$P$383=$C45)))</f>
        <v>105.50826129562043</v>
      </c>
      <c r="G45" s="191">
        <f t="array" ref="G45">(SUM((AD$15:AD$383)*(U$15:U$383)*($P$15:$P$383=$C45))+SUM((AD$15:AD$383)*(V$15:V$383)*($P$15:$P$383=$C45)))/(SUM((U$15:U$383)*($P$15:$P$383=$C45))+SUM((V$15:V$383)*($P$15:$P$383=$C45)))</f>
        <v>13.676210774857804</v>
      </c>
      <c r="H45" s="263">
        <f t="shared" si="24"/>
        <v>8.0642896123868582</v>
      </c>
      <c r="I45" s="263">
        <f t="shared" ref="I45:I48" si="26">I44*(1+$BE$45)</f>
        <v>9.8636994084571423</v>
      </c>
      <c r="J45" s="257">
        <f t="shared" si="19"/>
        <v>15.413750000000002</v>
      </c>
      <c r="K45" s="192">
        <v>2.1000000000000001E-2</v>
      </c>
      <c r="L45" s="192">
        <v>1.7999999999999999E-2</v>
      </c>
      <c r="M45" s="338"/>
      <c r="P45" s="4">
        <f t="shared" si="10"/>
        <v>2008</v>
      </c>
      <c r="Q45" s="396">
        <f t="shared" si="25"/>
        <v>39630</v>
      </c>
      <c r="R45" s="136">
        <v>71.099999999999994</v>
      </c>
      <c r="S45" s="136">
        <v>55.8</v>
      </c>
      <c r="T45" s="338">
        <f t="shared" si="20"/>
        <v>64.520999999999987</v>
      </c>
      <c r="U45" s="324">
        <v>416</v>
      </c>
      <c r="V45" s="324">
        <v>328</v>
      </c>
      <c r="W45" s="324">
        <f t="shared" si="13"/>
        <v>0.55913978494623651</v>
      </c>
      <c r="X45" s="324">
        <f t="shared" si="14"/>
        <v>0.44086021505376344</v>
      </c>
      <c r="AB45" s="4">
        <f t="shared" si="21"/>
        <v>2008</v>
      </c>
      <c r="AC45" s="394">
        <f t="shared" si="23"/>
        <v>39630</v>
      </c>
      <c r="AD45" s="135">
        <f t="shared" si="15"/>
        <v>7.0220473083197392</v>
      </c>
      <c r="AE45" s="136">
        <v>7.0220473083197392</v>
      </c>
      <c r="AG45" s="4">
        <f t="shared" si="2"/>
        <v>2007</v>
      </c>
      <c r="AH45" s="394">
        <v>39233</v>
      </c>
      <c r="AI45" s="4">
        <f t="shared" si="3"/>
        <v>4.3295466709999992</v>
      </c>
      <c r="AJ45" s="4">
        <v>4.3999563559999997</v>
      </c>
      <c r="AK45" s="4">
        <v>4.2591369859999997</v>
      </c>
      <c r="AM45" s="4">
        <f t="shared" si="4"/>
        <v>2011</v>
      </c>
      <c r="AN45" s="337">
        <v>40634</v>
      </c>
      <c r="AO45" s="4">
        <f t="shared" si="5"/>
        <v>9.6462500000000002</v>
      </c>
      <c r="AP45" s="4">
        <v>9.6974999999999998</v>
      </c>
      <c r="AQ45" s="4">
        <v>9.5950000000000006</v>
      </c>
      <c r="BD45" s="4" t="s">
        <v>204</v>
      </c>
      <c r="BE45" s="192">
        <v>3.4799999999999998E-2</v>
      </c>
    </row>
    <row r="46" spans="3:57">
      <c r="C46" s="4">
        <f t="shared" si="18"/>
        <v>2037</v>
      </c>
      <c r="D46" s="191">
        <f>D45*(1+$K46)</f>
        <v>111.46450813203462</v>
      </c>
      <c r="E46" s="191">
        <f>E45*(1+$K46)</f>
        <v>102.77376243777778</v>
      </c>
      <c r="F46" s="191">
        <f>F45*(1+$K46)</f>
        <v>107.72393478282845</v>
      </c>
      <c r="G46" s="191">
        <f>G45*(1+$K46)</f>
        <v>13.963411201129816</v>
      </c>
      <c r="H46" s="263">
        <f t="shared" si="24"/>
        <v>8.2658968526965282</v>
      </c>
      <c r="I46" s="263">
        <f t="shared" si="26"/>
        <v>10.20695614787145</v>
      </c>
      <c r="J46" s="257">
        <f t="shared" si="19"/>
        <v>15.707083333333335</v>
      </c>
      <c r="K46" s="192">
        <f>K45</f>
        <v>2.1000000000000001E-2</v>
      </c>
      <c r="L46" s="192">
        <v>1.9E-2</v>
      </c>
      <c r="M46" s="338"/>
      <c r="P46" s="4">
        <f t="shared" si="10"/>
        <v>2008</v>
      </c>
      <c r="Q46" s="396">
        <f t="shared" si="25"/>
        <v>39661</v>
      </c>
      <c r="R46" s="136">
        <v>83.74</v>
      </c>
      <c r="S46" s="136">
        <v>65.72</v>
      </c>
      <c r="T46" s="338">
        <f t="shared" si="20"/>
        <v>75.991399999999999</v>
      </c>
      <c r="U46" s="324">
        <v>416</v>
      </c>
      <c r="V46" s="324">
        <v>328</v>
      </c>
      <c r="W46" s="324">
        <f t="shared" si="13"/>
        <v>0.55913978494623651</v>
      </c>
      <c r="X46" s="324">
        <f t="shared" si="14"/>
        <v>0.44086021505376344</v>
      </c>
      <c r="AB46" s="4">
        <f t="shared" si="21"/>
        <v>2008</v>
      </c>
      <c r="AC46" s="394">
        <f t="shared" si="23"/>
        <v>39661</v>
      </c>
      <c r="AD46" s="135">
        <f t="shared" si="15"/>
        <v>7.1036133768352361</v>
      </c>
      <c r="AE46" s="136">
        <v>7.1036133768352361</v>
      </c>
      <c r="AG46" s="4">
        <f t="shared" si="2"/>
        <v>2007</v>
      </c>
      <c r="AH46" s="394">
        <v>39263</v>
      </c>
      <c r="AI46" s="4">
        <f t="shared" si="3"/>
        <v>4.3315466709999999</v>
      </c>
      <c r="AJ46" s="4">
        <v>4.4019563560000003</v>
      </c>
      <c r="AK46" s="4">
        <v>4.2611369860000003</v>
      </c>
      <c r="AM46" s="4">
        <f t="shared" si="4"/>
        <v>2011</v>
      </c>
      <c r="AN46" s="337">
        <v>40664</v>
      </c>
      <c r="AO46" s="4">
        <f t="shared" si="5"/>
        <v>9.5862499999999997</v>
      </c>
      <c r="AP46" s="4">
        <v>9.6374999999999993</v>
      </c>
      <c r="AQ46" s="4">
        <v>9.5350000000000001</v>
      </c>
    </row>
    <row r="47" spans="3:57">
      <c r="C47" s="4">
        <f t="shared" si="18"/>
        <v>2038</v>
      </c>
      <c r="D47" s="191">
        <f t="shared" ref="D47:D48" si="27">D46*(1+$K47)</f>
        <v>113.80526280280733</v>
      </c>
      <c r="E47" s="191">
        <f t="shared" ref="E47:G48" si="28">E46*(1+$K47)</f>
        <v>104.9320114489711</v>
      </c>
      <c r="F47" s="191">
        <f t="shared" si="28"/>
        <v>109.98613741326784</v>
      </c>
      <c r="G47" s="191">
        <f t="shared" si="28"/>
        <v>14.25664283635354</v>
      </c>
      <c r="H47" s="263">
        <f t="shared" si="24"/>
        <v>8.4725442740139414</v>
      </c>
      <c r="I47" s="263">
        <f t="shared" si="26"/>
        <v>10.562158221817375</v>
      </c>
      <c r="J47" s="257">
        <f t="shared" si="19"/>
        <v>15.973571428571429</v>
      </c>
      <c r="K47" s="192">
        <f t="shared" ref="K47:K48" si="29">K46</f>
        <v>2.1000000000000001E-2</v>
      </c>
      <c r="L47" s="192">
        <v>1.7999999999999999E-2</v>
      </c>
      <c r="M47" s="338"/>
      <c r="P47" s="4">
        <f t="shared" si="10"/>
        <v>2008</v>
      </c>
      <c r="Q47" s="396">
        <f t="shared" si="25"/>
        <v>39692</v>
      </c>
      <c r="R47" s="136">
        <v>82.16</v>
      </c>
      <c r="S47" s="136">
        <v>64.48</v>
      </c>
      <c r="T47" s="338">
        <f t="shared" si="20"/>
        <v>74.557599999999994</v>
      </c>
      <c r="U47" s="324">
        <v>400</v>
      </c>
      <c r="V47" s="324">
        <v>320</v>
      </c>
      <c r="W47" s="324">
        <f t="shared" si="13"/>
        <v>0.55555555555555558</v>
      </c>
      <c r="X47" s="324">
        <f t="shared" si="14"/>
        <v>0.44444444444444442</v>
      </c>
      <c r="AB47" s="4">
        <f t="shared" si="21"/>
        <v>2008</v>
      </c>
      <c r="AC47" s="394">
        <f t="shared" si="23"/>
        <v>39692</v>
      </c>
      <c r="AD47" s="135">
        <f t="shared" si="15"/>
        <v>7.2004730831973891</v>
      </c>
      <c r="AE47" s="136">
        <v>7.2004730831973891</v>
      </c>
      <c r="AG47" s="4">
        <f t="shared" si="2"/>
        <v>2007</v>
      </c>
      <c r="AH47" s="394">
        <v>39294</v>
      </c>
      <c r="AI47" s="4">
        <f t="shared" si="3"/>
        <v>4.3415466709999997</v>
      </c>
      <c r="AJ47" s="4">
        <v>4.4119563560000001</v>
      </c>
      <c r="AK47" s="4">
        <v>4.2711369860000001</v>
      </c>
      <c r="AM47" s="4">
        <f t="shared" si="4"/>
        <v>2011</v>
      </c>
      <c r="AN47" s="337">
        <v>40695</v>
      </c>
      <c r="AO47" s="4">
        <f t="shared" si="5"/>
        <v>9.6712500000000006</v>
      </c>
      <c r="AP47" s="4">
        <v>9.7225000000000001</v>
      </c>
      <c r="AQ47" s="4">
        <v>9.6199999999999992</v>
      </c>
      <c r="BD47" s="4">
        <v>2004</v>
      </c>
      <c r="BE47" s="192">
        <f>BE43</f>
        <v>2.0199999999999999E-2</v>
      </c>
    </row>
    <row r="48" spans="3:57">
      <c r="C48" s="4">
        <f t="shared" si="18"/>
        <v>2039</v>
      </c>
      <c r="D48" s="191">
        <f t="shared" si="27"/>
        <v>116.19517332166627</v>
      </c>
      <c r="E48" s="191">
        <f t="shared" si="28"/>
        <v>107.13558368939948</v>
      </c>
      <c r="F48" s="191">
        <f t="shared" si="28"/>
        <v>112.29584629894646</v>
      </c>
      <c r="G48" s="191">
        <f t="shared" si="28"/>
        <v>14.556032335916964</v>
      </c>
      <c r="H48" s="263">
        <f t="shared" si="24"/>
        <v>8.6843578808642885</v>
      </c>
      <c r="I48" s="263">
        <f t="shared" si="26"/>
        <v>10.929721327936619</v>
      </c>
      <c r="J48" s="257"/>
      <c r="K48" s="192">
        <f t="shared" si="29"/>
        <v>2.1000000000000001E-2</v>
      </c>
      <c r="L48" s="192">
        <v>1.7999999999999999E-2</v>
      </c>
      <c r="M48" s="338"/>
      <c r="P48" s="4">
        <f t="shared" si="10"/>
        <v>2008</v>
      </c>
      <c r="Q48" s="396">
        <f t="shared" si="25"/>
        <v>39722</v>
      </c>
      <c r="R48" s="136">
        <v>57.914999999999999</v>
      </c>
      <c r="S48" s="136">
        <v>51.252499999999998</v>
      </c>
      <c r="T48" s="338">
        <f t="shared" si="20"/>
        <v>55.050124999999994</v>
      </c>
      <c r="U48" s="324">
        <v>432</v>
      </c>
      <c r="V48" s="324">
        <v>312</v>
      </c>
      <c r="W48" s="324">
        <f t="shared" si="13"/>
        <v>0.58064516129032262</v>
      </c>
      <c r="X48" s="324">
        <f t="shared" si="14"/>
        <v>0.41935483870967744</v>
      </c>
      <c r="AB48" s="4">
        <f t="shared" si="21"/>
        <v>2008</v>
      </c>
      <c r="AC48" s="394">
        <f t="shared" si="23"/>
        <v>39722</v>
      </c>
      <c r="AD48" s="135">
        <f t="shared" si="15"/>
        <v>7.3196275149537806</v>
      </c>
      <c r="AE48" s="136">
        <v>7.3196275149537806</v>
      </c>
      <c r="AG48" s="4">
        <f t="shared" si="2"/>
        <v>2007</v>
      </c>
      <c r="AH48" s="394">
        <v>39325</v>
      </c>
      <c r="AI48" s="4">
        <f t="shared" si="3"/>
        <v>4.3644602705000004</v>
      </c>
      <c r="AJ48" s="4">
        <v>4.435607665</v>
      </c>
      <c r="AK48" s="4">
        <v>4.2933128759999999</v>
      </c>
      <c r="AM48" s="4">
        <f t="shared" si="4"/>
        <v>2011</v>
      </c>
      <c r="AN48" s="337">
        <v>40725</v>
      </c>
      <c r="AO48" s="4">
        <f t="shared" si="5"/>
        <v>9.7712500000000002</v>
      </c>
      <c r="AP48" s="4">
        <v>9.8224999999999998</v>
      </c>
      <c r="AQ48" s="4">
        <v>9.7200000000000006</v>
      </c>
    </row>
    <row r="49" spans="3:43">
      <c r="D49" s="191"/>
      <c r="E49" s="191"/>
      <c r="F49" s="191"/>
      <c r="G49" s="191"/>
      <c r="H49" s="191"/>
      <c r="I49" s="191"/>
      <c r="J49" s="191"/>
      <c r="K49" s="192"/>
      <c r="L49" s="192"/>
      <c r="M49" s="338"/>
      <c r="P49" s="4">
        <f t="shared" si="10"/>
        <v>2008</v>
      </c>
      <c r="Q49" s="396">
        <f t="shared" si="25"/>
        <v>39753</v>
      </c>
      <c r="R49" s="136">
        <v>70.784999999999997</v>
      </c>
      <c r="S49" s="136">
        <v>60.515000000000001</v>
      </c>
      <c r="T49" s="338">
        <f t="shared" si="20"/>
        <v>66.368899999999996</v>
      </c>
      <c r="U49" s="324">
        <v>384</v>
      </c>
      <c r="V49" s="324">
        <v>336</v>
      </c>
      <c r="W49" s="324">
        <f t="shared" si="13"/>
        <v>0.53333333333333333</v>
      </c>
      <c r="X49" s="324">
        <f t="shared" si="14"/>
        <v>0.46666666666666667</v>
      </c>
      <c r="AB49" s="4">
        <f t="shared" si="21"/>
        <v>2008</v>
      </c>
      <c r="AC49" s="394">
        <f t="shared" si="23"/>
        <v>39753</v>
      </c>
      <c r="AD49" s="135">
        <f t="shared" si="15"/>
        <v>8.2083238172920048</v>
      </c>
      <c r="AE49" s="136">
        <v>8.2083238172920048</v>
      </c>
      <c r="AG49" s="4">
        <f t="shared" si="2"/>
        <v>2007</v>
      </c>
      <c r="AH49" s="394">
        <v>39355</v>
      </c>
      <c r="AI49" s="4">
        <f t="shared" si="3"/>
        <v>4.3359193375</v>
      </c>
      <c r="AJ49" s="4">
        <v>4.407558538</v>
      </c>
      <c r="AK49" s="4">
        <v>4.2642801370000001</v>
      </c>
      <c r="AM49" s="4">
        <f t="shared" si="4"/>
        <v>2011</v>
      </c>
      <c r="AN49" s="337">
        <v>40756</v>
      </c>
      <c r="AO49" s="4">
        <f t="shared" si="5"/>
        <v>9.8462500000000013</v>
      </c>
      <c r="AP49" s="4">
        <v>9.8975000000000009</v>
      </c>
      <c r="AQ49" s="4">
        <v>9.7949999999999999</v>
      </c>
    </row>
    <row r="50" spans="3:43">
      <c r="P50" s="4">
        <f t="shared" si="10"/>
        <v>2008</v>
      </c>
      <c r="Q50" s="396">
        <f t="shared" si="25"/>
        <v>39783</v>
      </c>
      <c r="R50" s="136">
        <v>85.8</v>
      </c>
      <c r="S50" s="136">
        <v>73.482500000000002</v>
      </c>
      <c r="T50" s="338">
        <f t="shared" si="20"/>
        <v>80.503474999999995</v>
      </c>
      <c r="U50" s="324">
        <v>416</v>
      </c>
      <c r="V50" s="324">
        <v>328</v>
      </c>
      <c r="W50" s="324">
        <f t="shared" si="13"/>
        <v>0.55913978494623651</v>
      </c>
      <c r="X50" s="324">
        <f t="shared" si="14"/>
        <v>0.44086021505376344</v>
      </c>
      <c r="AB50" s="4">
        <f t="shared" si="21"/>
        <v>2008</v>
      </c>
      <c r="AC50" s="394">
        <f t="shared" si="23"/>
        <v>39783</v>
      </c>
      <c r="AD50" s="135">
        <f t="shared" si="15"/>
        <v>9.0364912996193567</v>
      </c>
      <c r="AE50" s="136">
        <v>9.0364912996193567</v>
      </c>
      <c r="AG50" s="4">
        <f t="shared" si="2"/>
        <v>2007</v>
      </c>
      <c r="AH50" s="394">
        <v>39386</v>
      </c>
      <c r="AI50" s="4">
        <f t="shared" si="3"/>
        <v>4.3729029374999993</v>
      </c>
      <c r="AJ50" s="4">
        <v>4.4424798479999996</v>
      </c>
      <c r="AK50" s="4">
        <v>4.3033260269999998</v>
      </c>
      <c r="AM50" s="4">
        <f t="shared" si="4"/>
        <v>2011</v>
      </c>
      <c r="AN50" s="337">
        <v>40787</v>
      </c>
      <c r="AO50" s="4">
        <f t="shared" si="5"/>
        <v>9.8712499999999999</v>
      </c>
      <c r="AP50" s="4">
        <v>9.9224999999999994</v>
      </c>
      <c r="AQ50" s="4">
        <v>9.82</v>
      </c>
    </row>
    <row r="51" spans="3:43">
      <c r="P51" s="4">
        <f t="shared" si="10"/>
        <v>2009</v>
      </c>
      <c r="Q51" s="396">
        <f t="shared" si="25"/>
        <v>39814</v>
      </c>
      <c r="R51" s="136">
        <v>83.4</v>
      </c>
      <c r="S51" s="136">
        <v>73.754999999999995</v>
      </c>
      <c r="T51" s="338">
        <f t="shared" si="20"/>
        <v>79.252649999999988</v>
      </c>
      <c r="U51" s="324">
        <v>416</v>
      </c>
      <c r="V51" s="324">
        <v>328</v>
      </c>
      <c r="W51" s="324">
        <f t="shared" si="13"/>
        <v>0.55913978494623651</v>
      </c>
      <c r="X51" s="324">
        <f t="shared" si="14"/>
        <v>0.44086021505376344</v>
      </c>
      <c r="AB51" s="4">
        <f t="shared" si="21"/>
        <v>2009</v>
      </c>
      <c r="AC51" s="394">
        <f t="shared" si="23"/>
        <v>39814</v>
      </c>
      <c r="AD51" s="135">
        <f t="shared" si="15"/>
        <v>9.5853629690048958</v>
      </c>
      <c r="AE51" s="136">
        <v>9.5853629690048958</v>
      </c>
      <c r="AG51" s="4">
        <f t="shared" si="2"/>
        <v>2007</v>
      </c>
      <c r="AH51" s="394">
        <v>39416</v>
      </c>
      <c r="AI51" s="4">
        <f t="shared" si="3"/>
        <v>4.5446511740000002</v>
      </c>
      <c r="AJ51" s="4">
        <v>4.6161204299999996</v>
      </c>
      <c r="AK51" s="4">
        <v>4.4731819179999999</v>
      </c>
      <c r="AM51" s="4">
        <f t="shared" si="4"/>
        <v>2011</v>
      </c>
      <c r="AN51" s="337">
        <v>40817</v>
      </c>
      <c r="AO51" s="4">
        <f t="shared" si="5"/>
        <v>9.9662499999999987</v>
      </c>
      <c r="AP51" s="4">
        <v>10.0175</v>
      </c>
      <c r="AQ51" s="4">
        <v>9.9149999999999991</v>
      </c>
    </row>
    <row r="52" spans="3:43">
      <c r="C52" s="399" t="s">
        <v>107</v>
      </c>
      <c r="P52" s="4">
        <f t="shared" si="10"/>
        <v>2009</v>
      </c>
      <c r="Q52" s="396">
        <f t="shared" si="25"/>
        <v>39845</v>
      </c>
      <c r="R52" s="136">
        <v>78.599999999999994</v>
      </c>
      <c r="S52" s="136">
        <v>70.894999999999996</v>
      </c>
      <c r="T52" s="338">
        <f t="shared" si="20"/>
        <v>75.286849999999987</v>
      </c>
      <c r="U52" s="324">
        <v>384</v>
      </c>
      <c r="V52" s="324">
        <v>288</v>
      </c>
      <c r="W52" s="324">
        <f t="shared" si="13"/>
        <v>0.5714285714285714</v>
      </c>
      <c r="X52" s="324">
        <f t="shared" si="14"/>
        <v>0.42857142857142855</v>
      </c>
      <c r="AB52" s="4">
        <f t="shared" si="21"/>
        <v>2009</v>
      </c>
      <c r="AC52" s="394">
        <f t="shared" si="23"/>
        <v>39845</v>
      </c>
      <c r="AD52" s="135">
        <f t="shared" si="15"/>
        <v>9.5853629690048958</v>
      </c>
      <c r="AE52" s="136">
        <v>9.5853629690048958</v>
      </c>
      <c r="AG52" s="4">
        <f t="shared" si="2"/>
        <v>2007</v>
      </c>
      <c r="AH52" s="394">
        <v>39447</v>
      </c>
      <c r="AI52" s="4">
        <f t="shared" si="3"/>
        <v>4.7338404599999997</v>
      </c>
      <c r="AJ52" s="4">
        <v>4.8000231119999999</v>
      </c>
      <c r="AK52" s="4">
        <v>4.6676578080000004</v>
      </c>
      <c r="AM52" s="4">
        <f t="shared" si="4"/>
        <v>2011</v>
      </c>
      <c r="AN52" s="337">
        <v>40848</v>
      </c>
      <c r="AO52" s="4">
        <f t="shared" si="5"/>
        <v>10.78125</v>
      </c>
      <c r="AP52" s="4">
        <v>10.3325</v>
      </c>
      <c r="AQ52" s="4">
        <v>11.23</v>
      </c>
    </row>
    <row r="53" spans="3:43">
      <c r="C53" s="4" t="s">
        <v>108</v>
      </c>
      <c r="P53" s="4">
        <f t="shared" si="10"/>
        <v>2009</v>
      </c>
      <c r="Q53" s="396">
        <f t="shared" si="25"/>
        <v>39873</v>
      </c>
      <c r="R53" s="136">
        <v>69.8</v>
      </c>
      <c r="S53" s="136">
        <v>61.6</v>
      </c>
      <c r="T53" s="338">
        <f t="shared" si="20"/>
        <v>66.274000000000001</v>
      </c>
      <c r="U53" s="324">
        <v>416</v>
      </c>
      <c r="V53" s="324">
        <v>328</v>
      </c>
      <c r="W53" s="324">
        <f t="shared" si="13"/>
        <v>0.55913978494623651</v>
      </c>
      <c r="X53" s="324">
        <f t="shared" si="14"/>
        <v>0.44086021505376344</v>
      </c>
      <c r="AB53" s="4">
        <f t="shared" si="21"/>
        <v>2009</v>
      </c>
      <c r="AC53" s="394">
        <f t="shared" si="23"/>
        <v>39873</v>
      </c>
      <c r="AD53" s="135">
        <f t="shared" si="15"/>
        <v>9.3044018488308868</v>
      </c>
      <c r="AE53" s="136">
        <v>9.3044018488308868</v>
      </c>
      <c r="AG53" s="4">
        <f t="shared" si="2"/>
        <v>2008</v>
      </c>
      <c r="AH53" s="394">
        <v>39478</v>
      </c>
      <c r="AI53" s="4">
        <f t="shared" si="3"/>
        <v>4.7721493929999994</v>
      </c>
      <c r="AJ53" s="4">
        <v>4.8182237179999996</v>
      </c>
      <c r="AK53" s="4">
        <v>4.7260750680000001</v>
      </c>
      <c r="AM53" s="4">
        <f t="shared" si="4"/>
        <v>2011</v>
      </c>
      <c r="AN53" s="337">
        <v>40878</v>
      </c>
      <c r="AO53" s="4">
        <f t="shared" si="5"/>
        <v>11.206250000000001</v>
      </c>
      <c r="AP53" s="4">
        <v>10.7575</v>
      </c>
      <c r="AQ53" s="4">
        <v>11.654999999999999</v>
      </c>
    </row>
    <row r="54" spans="3:43">
      <c r="P54" s="4">
        <f t="shared" si="10"/>
        <v>2009</v>
      </c>
      <c r="Q54" s="396">
        <f t="shared" si="25"/>
        <v>39904</v>
      </c>
      <c r="R54" s="136">
        <v>52.29</v>
      </c>
      <c r="S54" s="136">
        <v>38.950000000000003</v>
      </c>
      <c r="T54" s="338">
        <f t="shared" si="20"/>
        <v>46.553799999999995</v>
      </c>
      <c r="U54" s="324">
        <v>416</v>
      </c>
      <c r="V54" s="324">
        <v>304</v>
      </c>
      <c r="W54" s="324">
        <f t="shared" si="13"/>
        <v>0.57777777777777772</v>
      </c>
      <c r="X54" s="324">
        <f t="shared" si="14"/>
        <v>0.42222222222222222</v>
      </c>
      <c r="AB54" s="4">
        <f t="shared" si="21"/>
        <v>2009</v>
      </c>
      <c r="AC54" s="394">
        <f t="shared" si="23"/>
        <v>39904</v>
      </c>
      <c r="AD54" s="135">
        <f t="shared" si="15"/>
        <v>6.837707993474714</v>
      </c>
      <c r="AE54" s="136">
        <v>6.837707993474714</v>
      </c>
      <c r="AG54" s="4">
        <f t="shared" si="2"/>
        <v>2008</v>
      </c>
      <c r="AH54" s="394">
        <v>39507</v>
      </c>
      <c r="AI54" s="4">
        <f t="shared" si="3"/>
        <v>4.6831726289999995</v>
      </c>
      <c r="AJ54" s="4">
        <v>4.7338942990000001</v>
      </c>
      <c r="AK54" s="4">
        <v>4.6324509589999998</v>
      </c>
      <c r="AM54" s="4">
        <f t="shared" si="4"/>
        <v>2012</v>
      </c>
      <c r="AN54" s="337">
        <v>40909</v>
      </c>
      <c r="AO54" s="4">
        <f t="shared" si="5"/>
        <v>11.445452605</v>
      </c>
      <c r="AP54" s="4">
        <v>11.025905209999999</v>
      </c>
      <c r="AQ54" s="4">
        <v>11.865</v>
      </c>
    </row>
    <row r="55" spans="3:43">
      <c r="P55" s="4">
        <f t="shared" si="10"/>
        <v>2009</v>
      </c>
      <c r="Q55" s="396">
        <f t="shared" si="25"/>
        <v>39934</v>
      </c>
      <c r="R55" s="136">
        <v>43.56</v>
      </c>
      <c r="S55" s="136">
        <v>29.22</v>
      </c>
      <c r="T55" s="338">
        <f t="shared" si="20"/>
        <v>37.393799999999999</v>
      </c>
      <c r="U55" s="324">
        <v>400</v>
      </c>
      <c r="V55" s="324">
        <v>344</v>
      </c>
      <c r="W55" s="324">
        <f t="shared" si="13"/>
        <v>0.5376344086021505</v>
      </c>
      <c r="X55" s="324">
        <f t="shared" si="14"/>
        <v>0.46236559139784944</v>
      </c>
      <c r="AB55" s="4">
        <f t="shared" si="21"/>
        <v>2009</v>
      </c>
      <c r="AC55" s="394">
        <f t="shared" si="23"/>
        <v>39934</v>
      </c>
      <c r="AD55" s="135">
        <f t="shared" si="15"/>
        <v>6.6337928221859714</v>
      </c>
      <c r="AE55" s="136">
        <v>6.6337928221859714</v>
      </c>
      <c r="AG55" s="4">
        <f t="shared" si="2"/>
        <v>2008</v>
      </c>
      <c r="AH55" s="394">
        <v>39538</v>
      </c>
      <c r="AI55" s="4">
        <f t="shared" si="3"/>
        <v>4.4767958649999997</v>
      </c>
      <c r="AJ55" s="4">
        <v>4.5331648810000003</v>
      </c>
      <c r="AK55" s="4">
        <v>4.420426849</v>
      </c>
      <c r="AM55" s="4">
        <f t="shared" si="4"/>
        <v>2012</v>
      </c>
      <c r="AN55" s="337">
        <v>40940</v>
      </c>
      <c r="AO55" s="4">
        <f t="shared" si="5"/>
        <v>11.435452605</v>
      </c>
      <c r="AP55" s="4">
        <v>11.01590521</v>
      </c>
      <c r="AQ55" s="4">
        <v>11.855</v>
      </c>
    </row>
    <row r="56" spans="3:43">
      <c r="P56" s="4">
        <f t="shared" si="10"/>
        <v>2009</v>
      </c>
      <c r="Q56" s="396">
        <f t="shared" si="25"/>
        <v>39965</v>
      </c>
      <c r="R56" s="136">
        <v>40.65</v>
      </c>
      <c r="S56" s="136">
        <v>27.83</v>
      </c>
      <c r="T56" s="338">
        <f t="shared" si="20"/>
        <v>35.1374</v>
      </c>
      <c r="U56" s="324">
        <v>416</v>
      </c>
      <c r="V56" s="324">
        <v>304</v>
      </c>
      <c r="W56" s="324">
        <f t="shared" si="13"/>
        <v>0.57777777777777772</v>
      </c>
      <c r="X56" s="324">
        <f t="shared" si="14"/>
        <v>0.42222222222222222</v>
      </c>
      <c r="AB56" s="4">
        <f t="shared" si="21"/>
        <v>2009</v>
      </c>
      <c r="AC56" s="394">
        <f t="shared" si="23"/>
        <v>39965</v>
      </c>
      <c r="AD56" s="135">
        <f t="shared" si="15"/>
        <v>6.7153588907014683</v>
      </c>
      <c r="AE56" s="136">
        <v>6.7153588907014683</v>
      </c>
      <c r="AG56" s="4">
        <f t="shared" si="2"/>
        <v>2008</v>
      </c>
      <c r="AH56" s="394">
        <v>39568</v>
      </c>
      <c r="AI56" s="4">
        <f t="shared" si="3"/>
        <v>4.08065547</v>
      </c>
      <c r="AJ56" s="4">
        <v>4.1545668310000003</v>
      </c>
      <c r="AK56" s="4">
        <v>4.0067441090000004</v>
      </c>
      <c r="AM56" s="4">
        <f t="shared" si="4"/>
        <v>2012</v>
      </c>
      <c r="AN56" s="337">
        <v>40969</v>
      </c>
      <c r="AO56" s="4">
        <f t="shared" si="5"/>
        <v>11.205452605</v>
      </c>
      <c r="AP56" s="4">
        <v>10.785905209999999</v>
      </c>
      <c r="AQ56" s="4">
        <v>11.625</v>
      </c>
    </row>
    <row r="57" spans="3:43">
      <c r="P57" s="4">
        <f t="shared" si="10"/>
        <v>2009</v>
      </c>
      <c r="Q57" s="396">
        <f t="shared" si="25"/>
        <v>39995</v>
      </c>
      <c r="R57" s="136">
        <v>68.099999999999994</v>
      </c>
      <c r="S57" s="136">
        <v>53.05</v>
      </c>
      <c r="T57" s="338">
        <f t="shared" si="20"/>
        <v>61.628499999999988</v>
      </c>
      <c r="U57" s="324">
        <v>416</v>
      </c>
      <c r="V57" s="324">
        <v>328</v>
      </c>
      <c r="W57" s="324">
        <f t="shared" si="13"/>
        <v>0.55913978494623651</v>
      </c>
      <c r="X57" s="324">
        <f t="shared" si="14"/>
        <v>0.44086021505376344</v>
      </c>
      <c r="AB57" s="4">
        <f t="shared" si="21"/>
        <v>2009</v>
      </c>
      <c r="AC57" s="394">
        <f t="shared" si="23"/>
        <v>39995</v>
      </c>
      <c r="AD57" s="135">
        <f t="shared" si="15"/>
        <v>6.8193556280587275</v>
      </c>
      <c r="AE57" s="136">
        <v>6.8193556280587275</v>
      </c>
      <c r="AG57" s="4">
        <f t="shared" si="2"/>
        <v>2008</v>
      </c>
      <c r="AH57" s="394">
        <v>39599</v>
      </c>
      <c r="AI57" s="4">
        <f t="shared" si="3"/>
        <v>4.0389790699999999</v>
      </c>
      <c r="AJ57" s="4">
        <v>4.1133281400000001</v>
      </c>
      <c r="AK57" s="4">
        <v>3.9646300000000001</v>
      </c>
      <c r="AM57" s="4">
        <f t="shared" si="4"/>
        <v>2012</v>
      </c>
      <c r="AN57" s="337">
        <v>41000</v>
      </c>
      <c r="AO57" s="4">
        <f t="shared" si="5"/>
        <v>9.7192026049999996</v>
      </c>
      <c r="AP57" s="4">
        <v>9.7984052100000003</v>
      </c>
      <c r="AQ57" s="4">
        <v>9.64</v>
      </c>
    </row>
    <row r="58" spans="3:43">
      <c r="P58" s="4">
        <f t="shared" si="10"/>
        <v>2009</v>
      </c>
      <c r="Q58" s="396">
        <f t="shared" si="25"/>
        <v>40026</v>
      </c>
      <c r="R58" s="136">
        <v>80.739999999999995</v>
      </c>
      <c r="S58" s="136">
        <v>62.97</v>
      </c>
      <c r="T58" s="338">
        <f t="shared" si="20"/>
        <v>73.098899999999986</v>
      </c>
      <c r="U58" s="324">
        <v>416</v>
      </c>
      <c r="V58" s="324">
        <v>328</v>
      </c>
      <c r="W58" s="324">
        <f t="shared" si="13"/>
        <v>0.55913978494623651</v>
      </c>
      <c r="X58" s="324">
        <f t="shared" si="14"/>
        <v>0.44086021505376344</v>
      </c>
      <c r="AB58" s="4">
        <f t="shared" si="21"/>
        <v>2009</v>
      </c>
      <c r="AC58" s="394">
        <f t="shared" si="23"/>
        <v>40026</v>
      </c>
      <c r="AD58" s="135">
        <f t="shared" si="15"/>
        <v>6.9111174551386618</v>
      </c>
      <c r="AE58" s="136">
        <v>6.9111174551386618</v>
      </c>
      <c r="AG58" s="4">
        <f t="shared" si="2"/>
        <v>2008</v>
      </c>
      <c r="AH58" s="394">
        <v>39629</v>
      </c>
      <c r="AI58" s="4">
        <f t="shared" si="3"/>
        <v>4.0555826694999997</v>
      </c>
      <c r="AJ58" s="4">
        <v>4.1303694489999998</v>
      </c>
      <c r="AK58" s="4">
        <v>3.98079589</v>
      </c>
      <c r="AM58" s="4">
        <f t="shared" si="4"/>
        <v>2012</v>
      </c>
      <c r="AN58" s="337">
        <v>41030</v>
      </c>
      <c r="AO58" s="4">
        <f t="shared" si="5"/>
        <v>9.6742026050000014</v>
      </c>
      <c r="AP58" s="4">
        <v>9.7534052100000004</v>
      </c>
      <c r="AQ58" s="4">
        <v>9.5950000000000006</v>
      </c>
    </row>
    <row r="59" spans="3:43">
      <c r="P59" s="4">
        <f t="shared" si="10"/>
        <v>2009</v>
      </c>
      <c r="Q59" s="396">
        <f t="shared" si="25"/>
        <v>40057</v>
      </c>
      <c r="R59" s="136">
        <v>79.16</v>
      </c>
      <c r="S59" s="136">
        <v>61.73</v>
      </c>
      <c r="T59" s="338">
        <f t="shared" si="20"/>
        <v>71.665099999999995</v>
      </c>
      <c r="U59" s="324">
        <v>400</v>
      </c>
      <c r="V59" s="324">
        <v>320</v>
      </c>
      <c r="W59" s="324">
        <f t="shared" si="13"/>
        <v>0.55555555555555558</v>
      </c>
      <c r="X59" s="324">
        <f t="shared" si="14"/>
        <v>0.44444444444444442</v>
      </c>
      <c r="AB59" s="4">
        <f t="shared" si="21"/>
        <v>2009</v>
      </c>
      <c r="AC59" s="394">
        <f t="shared" si="23"/>
        <v>40057</v>
      </c>
      <c r="AD59" s="135">
        <f t="shared" si="15"/>
        <v>7.0283686786296897</v>
      </c>
      <c r="AE59" s="136">
        <v>7.0283686786296897</v>
      </c>
      <c r="AG59" s="4">
        <f t="shared" si="2"/>
        <v>2008</v>
      </c>
      <c r="AH59" s="394">
        <v>39660</v>
      </c>
      <c r="AI59" s="4">
        <f t="shared" si="3"/>
        <v>4.0952517359999998</v>
      </c>
      <c r="AJ59" s="4">
        <v>4.1703303219999999</v>
      </c>
      <c r="AK59" s="4">
        <v>4.0201731499999998</v>
      </c>
      <c r="AM59" s="4">
        <f t="shared" si="4"/>
        <v>2012</v>
      </c>
      <c r="AN59" s="337">
        <v>41061</v>
      </c>
      <c r="AO59" s="4">
        <f t="shared" si="5"/>
        <v>9.7542026049999997</v>
      </c>
      <c r="AP59" s="4">
        <v>9.8334052100000005</v>
      </c>
      <c r="AQ59" s="4">
        <v>9.6750000000000007</v>
      </c>
    </row>
    <row r="60" spans="3:43">
      <c r="P60" s="4">
        <f t="shared" si="10"/>
        <v>2009</v>
      </c>
      <c r="Q60" s="396">
        <f t="shared" si="25"/>
        <v>40087</v>
      </c>
      <c r="R60" s="136">
        <v>54.914999999999999</v>
      </c>
      <c r="S60" s="136">
        <v>48.502499999999998</v>
      </c>
      <c r="T60" s="338">
        <f t="shared" si="20"/>
        <v>52.157624999999996</v>
      </c>
      <c r="U60" s="324">
        <v>432</v>
      </c>
      <c r="V60" s="324">
        <v>312</v>
      </c>
      <c r="W60" s="324">
        <f t="shared" si="13"/>
        <v>0.58064516129032262</v>
      </c>
      <c r="X60" s="324">
        <f t="shared" si="14"/>
        <v>0.41935483870967744</v>
      </c>
      <c r="AB60" s="4">
        <f t="shared" si="21"/>
        <v>2009</v>
      </c>
      <c r="AC60" s="394">
        <f t="shared" si="23"/>
        <v>40087</v>
      </c>
      <c r="AD60" s="135">
        <f t="shared" si="15"/>
        <v>7.1802854812398049</v>
      </c>
      <c r="AE60" s="136">
        <v>7.1802854812398049</v>
      </c>
      <c r="AG60" s="4">
        <f t="shared" si="2"/>
        <v>2008</v>
      </c>
      <c r="AH60" s="394">
        <v>39691</v>
      </c>
      <c r="AI60" s="4">
        <f t="shared" si="3"/>
        <v>4.1132553359999999</v>
      </c>
      <c r="AJ60" s="4">
        <v>4.1887716309999998</v>
      </c>
      <c r="AK60" s="4">
        <v>4.037739041</v>
      </c>
      <c r="AM60" s="4">
        <f t="shared" si="4"/>
        <v>2012</v>
      </c>
      <c r="AN60" s="337">
        <v>41091</v>
      </c>
      <c r="AO60" s="4">
        <f t="shared" si="5"/>
        <v>9.8542026050000011</v>
      </c>
      <c r="AP60" s="4">
        <v>9.9334052100000001</v>
      </c>
      <c r="AQ60" s="4">
        <v>9.7750000000000004</v>
      </c>
    </row>
    <row r="61" spans="3:43">
      <c r="P61" s="4">
        <f t="shared" si="10"/>
        <v>2009</v>
      </c>
      <c r="Q61" s="396">
        <f>EOMONTH(Q60,0)+1</f>
        <v>40118</v>
      </c>
      <c r="R61" s="136">
        <v>67.784999999999997</v>
      </c>
      <c r="S61" s="136">
        <v>57.765000000000001</v>
      </c>
      <c r="T61" s="338">
        <f t="shared" si="20"/>
        <v>63.476399999999998</v>
      </c>
      <c r="U61" s="324">
        <v>384</v>
      </c>
      <c r="V61" s="324">
        <v>336</v>
      </c>
      <c r="W61" s="324">
        <f t="shared" si="13"/>
        <v>0.53333333333333333</v>
      </c>
      <c r="X61" s="324">
        <f t="shared" si="14"/>
        <v>0.46666666666666667</v>
      </c>
      <c r="AB61" s="4">
        <f t="shared" si="21"/>
        <v>2009</v>
      </c>
      <c r="AC61" s="394">
        <f t="shared" si="23"/>
        <v>40118</v>
      </c>
      <c r="AD61" s="135">
        <f t="shared" si="15"/>
        <v>8.0129051114736267</v>
      </c>
      <c r="AE61" s="136">
        <v>8.0129051114736267</v>
      </c>
      <c r="AG61" s="4">
        <f t="shared" si="2"/>
        <v>2008</v>
      </c>
      <c r="AH61" s="394">
        <v>39721</v>
      </c>
      <c r="AI61" s="4">
        <f t="shared" si="3"/>
        <v>4.1018589360000002</v>
      </c>
      <c r="AJ61" s="4">
        <v>4.177812941</v>
      </c>
      <c r="AK61" s="4">
        <v>4.0259049310000004</v>
      </c>
      <c r="AM61" s="4">
        <f t="shared" si="4"/>
        <v>2012</v>
      </c>
      <c r="AN61" s="337">
        <v>41122</v>
      </c>
      <c r="AO61" s="4">
        <f t="shared" si="5"/>
        <v>9.9292026050000004</v>
      </c>
      <c r="AP61" s="4">
        <v>10.008405209999999</v>
      </c>
      <c r="AQ61" s="4">
        <v>9.85</v>
      </c>
    </row>
    <row r="62" spans="3:43">
      <c r="P62" s="4">
        <f t="shared" si="10"/>
        <v>2009</v>
      </c>
      <c r="Q62" s="396">
        <f t="shared" si="25"/>
        <v>40148</v>
      </c>
      <c r="R62" s="136">
        <v>82.8</v>
      </c>
      <c r="S62" s="136">
        <v>70.732500000000002</v>
      </c>
      <c r="T62" s="338">
        <f t="shared" si="20"/>
        <v>77.610974999999996</v>
      </c>
      <c r="U62" s="324">
        <v>416</v>
      </c>
      <c r="V62" s="324">
        <v>328</v>
      </c>
      <c r="W62" s="324">
        <f t="shared" si="13"/>
        <v>0.55913978494623651</v>
      </c>
      <c r="X62" s="324">
        <f t="shared" si="14"/>
        <v>0.44086021505376344</v>
      </c>
      <c r="AB62" s="4">
        <f t="shared" si="21"/>
        <v>2009</v>
      </c>
      <c r="AC62" s="394">
        <f t="shared" si="23"/>
        <v>40148</v>
      </c>
      <c r="AD62" s="135">
        <f t="shared" si="15"/>
        <v>8.7900938009787932</v>
      </c>
      <c r="AE62" s="136">
        <v>8.7900938009787932</v>
      </c>
      <c r="AG62" s="4">
        <f t="shared" si="2"/>
        <v>2008</v>
      </c>
      <c r="AH62" s="394">
        <v>39752</v>
      </c>
      <c r="AI62" s="4">
        <f t="shared" si="3"/>
        <v>4.1679125360000002</v>
      </c>
      <c r="AJ62" s="4">
        <v>4.2320042500000001</v>
      </c>
      <c r="AK62" s="4">
        <v>4.1038208220000003</v>
      </c>
      <c r="AM62" s="4">
        <f t="shared" si="4"/>
        <v>2012</v>
      </c>
      <c r="AN62" s="337">
        <v>41153</v>
      </c>
      <c r="AO62" s="4">
        <f t="shared" si="5"/>
        <v>9.949202605</v>
      </c>
      <c r="AP62" s="4">
        <v>10.028405210000001</v>
      </c>
      <c r="AQ62" s="4">
        <v>9.8699999999999992</v>
      </c>
    </row>
    <row r="63" spans="3:43">
      <c r="P63" s="4">
        <f t="shared" si="10"/>
        <v>2010</v>
      </c>
      <c r="Q63" s="396">
        <f t="shared" si="25"/>
        <v>40179</v>
      </c>
      <c r="R63" s="136">
        <v>78.900000000000006</v>
      </c>
      <c r="S63" s="136">
        <v>70.004999999999995</v>
      </c>
      <c r="T63" s="338">
        <f t="shared" si="20"/>
        <v>75.075149999999994</v>
      </c>
      <c r="U63" s="324">
        <v>400</v>
      </c>
      <c r="V63" s="324">
        <v>344</v>
      </c>
      <c r="W63" s="324">
        <f t="shared" si="13"/>
        <v>0.5376344086021505</v>
      </c>
      <c r="X63" s="324">
        <f t="shared" si="14"/>
        <v>0.46236559139784944</v>
      </c>
      <c r="AB63" s="4">
        <f t="shared" si="21"/>
        <v>2010</v>
      </c>
      <c r="AC63" s="394">
        <f t="shared" si="23"/>
        <v>40179</v>
      </c>
      <c r="AD63" s="135">
        <f t="shared" si="15"/>
        <v>9.3525598151169103</v>
      </c>
      <c r="AE63" s="136">
        <v>9.3525598151169103</v>
      </c>
      <c r="AG63" s="4">
        <f t="shared" si="2"/>
        <v>2008</v>
      </c>
      <c r="AH63" s="394">
        <v>39782</v>
      </c>
      <c r="AI63" s="4">
        <f t="shared" si="3"/>
        <v>4.2817435604999998</v>
      </c>
      <c r="AJ63" s="4">
        <v>4.3469390389999996</v>
      </c>
      <c r="AK63" s="4">
        <v>4.2165480820000001</v>
      </c>
      <c r="AM63" s="4">
        <f t="shared" si="4"/>
        <v>2012</v>
      </c>
      <c r="AN63" s="337">
        <v>41183</v>
      </c>
      <c r="AO63" s="4">
        <f t="shared" si="5"/>
        <v>10.039202605</v>
      </c>
      <c r="AP63" s="4">
        <v>10.118405210000001</v>
      </c>
      <c r="AQ63" s="4">
        <v>9.9600000000000009</v>
      </c>
    </row>
    <row r="64" spans="3:43">
      <c r="P64" s="4">
        <f t="shared" si="10"/>
        <v>2010</v>
      </c>
      <c r="Q64" s="396">
        <f t="shared" si="25"/>
        <v>40210</v>
      </c>
      <c r="R64" s="136">
        <v>74.099999999999994</v>
      </c>
      <c r="S64" s="136">
        <v>67.144999999999996</v>
      </c>
      <c r="T64" s="338">
        <f t="shared" si="20"/>
        <v>71.109349999999992</v>
      </c>
      <c r="U64" s="324">
        <v>384</v>
      </c>
      <c r="V64" s="324">
        <v>288</v>
      </c>
      <c r="W64" s="324">
        <f t="shared" si="13"/>
        <v>0.5714285714285714</v>
      </c>
      <c r="X64" s="324">
        <f t="shared" si="14"/>
        <v>0.42857142857142855</v>
      </c>
      <c r="AB64" s="4">
        <f t="shared" si="21"/>
        <v>2010</v>
      </c>
      <c r="AC64" s="394">
        <f t="shared" si="23"/>
        <v>40210</v>
      </c>
      <c r="AD64" s="135">
        <f t="shared" si="15"/>
        <v>9.3474619358346906</v>
      </c>
      <c r="AE64" s="136">
        <v>9.3474619358346906</v>
      </c>
      <c r="AG64" s="4">
        <f t="shared" si="2"/>
        <v>2008</v>
      </c>
      <c r="AH64" s="394">
        <v>39813</v>
      </c>
      <c r="AI64" s="4">
        <f t="shared" si="3"/>
        <v>4.4699728465000002</v>
      </c>
      <c r="AJ64" s="4">
        <v>4.5208317210000004</v>
      </c>
      <c r="AK64" s="4">
        <v>4.4191139719999999</v>
      </c>
      <c r="AM64" s="4">
        <f t="shared" si="4"/>
        <v>2012</v>
      </c>
      <c r="AN64" s="337">
        <v>41214</v>
      </c>
      <c r="AO64" s="4">
        <f t="shared" si="5"/>
        <v>10.859202605</v>
      </c>
      <c r="AP64" s="4">
        <v>10.438405210000001</v>
      </c>
      <c r="AQ64" s="4">
        <v>11.28</v>
      </c>
    </row>
    <row r="65" spans="16:43">
      <c r="P65" s="4">
        <f t="shared" si="10"/>
        <v>2010</v>
      </c>
      <c r="Q65" s="396">
        <f t="shared" si="25"/>
        <v>40238</v>
      </c>
      <c r="R65" s="136">
        <v>65.3</v>
      </c>
      <c r="S65" s="136">
        <v>57.85</v>
      </c>
      <c r="T65" s="338">
        <f t="shared" si="20"/>
        <v>62.096499999999992</v>
      </c>
      <c r="U65" s="324">
        <v>432</v>
      </c>
      <c r="V65" s="324">
        <v>312</v>
      </c>
      <c r="W65" s="324">
        <f t="shared" si="13"/>
        <v>0.58064516129032262</v>
      </c>
      <c r="X65" s="324">
        <f t="shared" si="14"/>
        <v>0.41935483870967744</v>
      </c>
      <c r="AB65" s="4">
        <f t="shared" si="21"/>
        <v>2010</v>
      </c>
      <c r="AC65" s="394">
        <f t="shared" si="23"/>
        <v>40238</v>
      </c>
      <c r="AD65" s="135">
        <f t="shared" si="15"/>
        <v>9.0868923327895601</v>
      </c>
      <c r="AE65" s="136">
        <v>9.0868923327895601</v>
      </c>
      <c r="AG65" s="4">
        <f t="shared" si="2"/>
        <v>2009</v>
      </c>
      <c r="AH65" s="394">
        <v>39844</v>
      </c>
      <c r="AI65" s="4">
        <f t="shared" si="3"/>
        <v>4.6798249885000001</v>
      </c>
      <c r="AJ65" s="4">
        <v>4.7038701139999999</v>
      </c>
      <c r="AK65" s="4">
        <v>4.6557798630000002</v>
      </c>
      <c r="AM65" s="4">
        <f t="shared" si="4"/>
        <v>2012</v>
      </c>
      <c r="AN65" s="337">
        <v>41244</v>
      </c>
      <c r="AO65" s="4">
        <f t="shared" si="5"/>
        <v>11.279202605</v>
      </c>
      <c r="AP65" s="4">
        <v>10.858405210000001</v>
      </c>
      <c r="AQ65" s="4">
        <v>11.7</v>
      </c>
    </row>
    <row r="66" spans="16:43">
      <c r="P66" s="4">
        <f t="shared" si="10"/>
        <v>2010</v>
      </c>
      <c r="Q66" s="396">
        <f t="shared" si="25"/>
        <v>40269</v>
      </c>
      <c r="R66" s="136">
        <v>47.79</v>
      </c>
      <c r="S66" s="136">
        <v>35.200000000000003</v>
      </c>
      <c r="T66" s="338">
        <f t="shared" si="20"/>
        <v>42.376300000000001</v>
      </c>
      <c r="U66" s="324">
        <v>416</v>
      </c>
      <c r="V66" s="324">
        <v>304</v>
      </c>
      <c r="W66" s="324">
        <f t="shared" si="13"/>
        <v>0.57777777777777772</v>
      </c>
      <c r="X66" s="324">
        <f t="shared" si="14"/>
        <v>0.42222222222222222</v>
      </c>
      <c r="AB66" s="4">
        <f t="shared" si="21"/>
        <v>2010</v>
      </c>
      <c r="AC66" s="394">
        <f t="shared" si="23"/>
        <v>40269</v>
      </c>
      <c r="AD66" s="135">
        <f t="shared" si="15"/>
        <v>6.5046465470364323</v>
      </c>
      <c r="AE66" s="136">
        <v>6.5046465470364323</v>
      </c>
      <c r="AG66" s="4">
        <f t="shared" si="2"/>
        <v>2009</v>
      </c>
      <c r="AH66" s="394">
        <v>39872</v>
      </c>
      <c r="AI66" s="4">
        <f t="shared" si="3"/>
        <v>4.492517146</v>
      </c>
      <c r="AJ66" s="4">
        <v>4.5330771690000002</v>
      </c>
      <c r="AK66" s="4">
        <v>4.4519571229999997</v>
      </c>
      <c r="AM66" s="4">
        <f t="shared" si="4"/>
        <v>2013</v>
      </c>
      <c r="AN66" s="337">
        <v>41275</v>
      </c>
      <c r="AO66" s="4">
        <f t="shared" si="5"/>
        <v>11.530452605000001</v>
      </c>
      <c r="AP66" s="4">
        <v>11.11090521</v>
      </c>
      <c r="AQ66" s="4">
        <v>11.95</v>
      </c>
    </row>
    <row r="67" spans="16:43">
      <c r="P67" s="4">
        <f t="shared" si="10"/>
        <v>2010</v>
      </c>
      <c r="Q67" s="396">
        <f t="shared" si="25"/>
        <v>40299</v>
      </c>
      <c r="R67" s="136">
        <v>39.06</v>
      </c>
      <c r="S67" s="136">
        <v>25.47</v>
      </c>
      <c r="T67" s="338">
        <f t="shared" si="20"/>
        <v>33.216299999999997</v>
      </c>
      <c r="U67" s="324">
        <v>400</v>
      </c>
      <c r="V67" s="324">
        <v>344</v>
      </c>
      <c r="W67" s="324">
        <f t="shared" si="13"/>
        <v>0.5376344086021505</v>
      </c>
      <c r="X67" s="324">
        <f t="shared" si="14"/>
        <v>0.46236559139784944</v>
      </c>
      <c r="AB67" s="4">
        <f t="shared" si="21"/>
        <v>2010</v>
      </c>
      <c r="AC67" s="394">
        <f t="shared" si="23"/>
        <v>40299</v>
      </c>
      <c r="AD67" s="135">
        <f t="shared" si="15"/>
        <v>6.3007313757476888</v>
      </c>
      <c r="AE67" s="136">
        <v>6.3007313757476888</v>
      </c>
      <c r="AG67" s="4">
        <f t="shared" si="2"/>
        <v>2009</v>
      </c>
      <c r="AH67" s="394">
        <v>39903</v>
      </c>
      <c r="AI67" s="4">
        <f t="shared" si="3"/>
        <v>4.2755303820000004</v>
      </c>
      <c r="AJ67" s="4">
        <v>4.3313377500000003</v>
      </c>
      <c r="AK67" s="4">
        <v>4.2197230140000004</v>
      </c>
      <c r="AM67" s="4">
        <f t="shared" si="4"/>
        <v>2013</v>
      </c>
      <c r="AN67" s="337">
        <v>41306</v>
      </c>
      <c r="AO67" s="4">
        <f t="shared" si="5"/>
        <v>11.520452604999999</v>
      </c>
      <c r="AP67" s="4">
        <v>11.100905210000001</v>
      </c>
      <c r="AQ67" s="4">
        <v>11.94</v>
      </c>
    </row>
    <row r="68" spans="16:43">
      <c r="P68" s="4">
        <f t="shared" si="10"/>
        <v>2010</v>
      </c>
      <c r="Q68" s="396">
        <f t="shared" si="25"/>
        <v>40330</v>
      </c>
      <c r="R68" s="136">
        <v>36.15</v>
      </c>
      <c r="S68" s="136">
        <v>24.08</v>
      </c>
      <c r="T68" s="338">
        <f t="shared" si="20"/>
        <v>30.959899999999994</v>
      </c>
      <c r="U68" s="324">
        <v>416</v>
      </c>
      <c r="V68" s="324">
        <v>304</v>
      </c>
      <c r="W68" s="324">
        <f t="shared" si="13"/>
        <v>0.57777777777777772</v>
      </c>
      <c r="X68" s="324">
        <f t="shared" si="14"/>
        <v>0.42222222222222222</v>
      </c>
      <c r="AB68" s="4">
        <f t="shared" si="21"/>
        <v>2010</v>
      </c>
      <c r="AC68" s="394">
        <f t="shared" si="23"/>
        <v>40330</v>
      </c>
      <c r="AD68" s="135">
        <f t="shared" si="15"/>
        <v>6.4026889613920606</v>
      </c>
      <c r="AE68" s="136">
        <v>6.4026889613920606</v>
      </c>
      <c r="AG68" s="4">
        <f t="shared" si="2"/>
        <v>2009</v>
      </c>
      <c r="AH68" s="394">
        <v>39933</v>
      </c>
      <c r="AI68" s="4">
        <f t="shared" si="3"/>
        <v>3.9749150684999996</v>
      </c>
      <c r="AJ68" s="4">
        <v>4.0536412329999996</v>
      </c>
      <c r="AK68" s="4">
        <v>3.8961889040000002</v>
      </c>
      <c r="AM68" s="4">
        <f t="shared" si="4"/>
        <v>2013</v>
      </c>
      <c r="AN68" s="337">
        <v>41334</v>
      </c>
      <c r="AO68" s="4">
        <f t="shared" si="5"/>
        <v>11.290452605</v>
      </c>
      <c r="AP68" s="4">
        <v>10.87090521</v>
      </c>
      <c r="AQ68" s="4">
        <v>11.71</v>
      </c>
    </row>
    <row r="69" spans="16:43">
      <c r="P69" s="4">
        <f t="shared" si="10"/>
        <v>2010</v>
      </c>
      <c r="Q69" s="396">
        <f t="shared" si="25"/>
        <v>40360</v>
      </c>
      <c r="R69" s="136">
        <v>63.6</v>
      </c>
      <c r="S69" s="136">
        <v>49.3</v>
      </c>
      <c r="T69" s="338">
        <f t="shared" si="20"/>
        <v>57.450999999999993</v>
      </c>
      <c r="U69" s="324">
        <v>416</v>
      </c>
      <c r="V69" s="324">
        <v>328</v>
      </c>
      <c r="W69" s="324">
        <f t="shared" si="13"/>
        <v>0.55913978494623651</v>
      </c>
      <c r="X69" s="324">
        <f t="shared" si="14"/>
        <v>0.44086021505376344</v>
      </c>
      <c r="AB69" s="4">
        <f t="shared" si="21"/>
        <v>2010</v>
      </c>
      <c r="AC69" s="394">
        <f t="shared" si="23"/>
        <v>40360</v>
      </c>
      <c r="AD69" s="135">
        <f t="shared" si="15"/>
        <v>6.5270772158781947</v>
      </c>
      <c r="AE69" s="136">
        <v>6.5270772158781947</v>
      </c>
      <c r="AG69" s="4">
        <f t="shared" si="2"/>
        <v>2009</v>
      </c>
      <c r="AH69" s="394">
        <v>39964</v>
      </c>
      <c r="AI69" s="4">
        <f t="shared" si="3"/>
        <v>3.956934135</v>
      </c>
      <c r="AJ69" s="4">
        <v>4.0359521059999999</v>
      </c>
      <c r="AK69" s="4">
        <v>3.8779161640000002</v>
      </c>
      <c r="AM69" s="4">
        <f t="shared" si="4"/>
        <v>2013</v>
      </c>
      <c r="AN69" s="337">
        <v>41365</v>
      </c>
      <c r="AO69" s="4">
        <f t="shared" si="5"/>
        <v>9.954202604999999</v>
      </c>
      <c r="AP69" s="4">
        <v>10.03340521</v>
      </c>
      <c r="AQ69" s="4">
        <v>9.875</v>
      </c>
    </row>
    <row r="70" spans="16:43">
      <c r="P70" s="4">
        <f t="shared" si="10"/>
        <v>2010</v>
      </c>
      <c r="Q70" s="396">
        <f t="shared" si="25"/>
        <v>40391</v>
      </c>
      <c r="R70" s="136">
        <v>76.239999999999995</v>
      </c>
      <c r="S70" s="136">
        <v>59.22</v>
      </c>
      <c r="T70" s="338">
        <f t="shared" si="20"/>
        <v>68.921399999999991</v>
      </c>
      <c r="U70" s="324">
        <v>416</v>
      </c>
      <c r="V70" s="324">
        <v>328</v>
      </c>
      <c r="W70" s="324">
        <f t="shared" si="13"/>
        <v>0.55913978494623651</v>
      </c>
      <c r="X70" s="324">
        <f t="shared" si="14"/>
        <v>0.44086021505376344</v>
      </c>
      <c r="AB70" s="4">
        <f t="shared" si="21"/>
        <v>2010</v>
      </c>
      <c r="AC70" s="394">
        <f t="shared" si="23"/>
        <v>40391</v>
      </c>
      <c r="AD70" s="135">
        <f t="shared" si="15"/>
        <v>6.6188390429581299</v>
      </c>
      <c r="AE70" s="136">
        <v>6.6188390429581299</v>
      </c>
      <c r="AG70" s="4">
        <f t="shared" si="2"/>
        <v>2009</v>
      </c>
      <c r="AH70" s="394">
        <v>39994</v>
      </c>
      <c r="AI70" s="4">
        <f t="shared" si="3"/>
        <v>4.0061877350000001</v>
      </c>
      <c r="AJ70" s="4">
        <v>4.0856434149999998</v>
      </c>
      <c r="AK70" s="4">
        <v>3.926732055</v>
      </c>
      <c r="AM70" s="4">
        <f t="shared" si="4"/>
        <v>2013</v>
      </c>
      <c r="AN70" s="337">
        <v>41395</v>
      </c>
      <c r="AO70" s="4">
        <f t="shared" si="5"/>
        <v>9.9242026050000014</v>
      </c>
      <c r="AP70" s="4">
        <v>10.00340521</v>
      </c>
      <c r="AQ70" s="4">
        <v>9.8450000000000006</v>
      </c>
    </row>
    <row r="71" spans="16:43">
      <c r="P71" s="4">
        <f t="shared" si="10"/>
        <v>2010</v>
      </c>
      <c r="Q71" s="396">
        <f t="shared" si="25"/>
        <v>40422</v>
      </c>
      <c r="R71" s="136">
        <v>74.66</v>
      </c>
      <c r="S71" s="136">
        <v>57.98</v>
      </c>
      <c r="T71" s="338">
        <f t="shared" si="20"/>
        <v>67.4876</v>
      </c>
      <c r="U71" s="324">
        <v>400</v>
      </c>
      <c r="V71" s="324">
        <v>320</v>
      </c>
      <c r="W71" s="324">
        <f t="shared" si="13"/>
        <v>0.55555555555555558</v>
      </c>
      <c r="X71" s="324">
        <f t="shared" si="14"/>
        <v>0.44444444444444442</v>
      </c>
      <c r="AB71" s="4">
        <f t="shared" si="21"/>
        <v>2010</v>
      </c>
      <c r="AC71" s="394">
        <f t="shared" si="23"/>
        <v>40422</v>
      </c>
      <c r="AD71" s="135">
        <f t="shared" si="15"/>
        <v>6.7106008700380642</v>
      </c>
      <c r="AE71" s="136">
        <v>6.7106008700380642</v>
      </c>
      <c r="AG71" s="4">
        <f t="shared" si="2"/>
        <v>2009</v>
      </c>
      <c r="AH71" s="394">
        <v>40025</v>
      </c>
      <c r="AI71" s="4">
        <f t="shared" si="3"/>
        <v>4.0525413349999999</v>
      </c>
      <c r="AJ71" s="4">
        <v>4.1324347250000004</v>
      </c>
      <c r="AK71" s="4">
        <v>3.9726479449999998</v>
      </c>
      <c r="AM71" s="4">
        <f t="shared" si="4"/>
        <v>2013</v>
      </c>
      <c r="AN71" s="337">
        <v>41426</v>
      </c>
      <c r="AO71" s="4">
        <f t="shared" si="5"/>
        <v>10.004202605</v>
      </c>
      <c r="AP71" s="4">
        <v>10.08340521</v>
      </c>
      <c r="AQ71" s="4">
        <v>9.9250000000000007</v>
      </c>
    </row>
    <row r="72" spans="16:43">
      <c r="P72" s="4">
        <f t="shared" si="10"/>
        <v>2010</v>
      </c>
      <c r="Q72" s="396">
        <f t="shared" si="25"/>
        <v>40452</v>
      </c>
      <c r="R72" s="136">
        <v>50.414999999999999</v>
      </c>
      <c r="S72" s="136">
        <v>44.752499999999998</v>
      </c>
      <c r="T72" s="338">
        <f t="shared" si="20"/>
        <v>47.980125000000001</v>
      </c>
      <c r="U72" s="324">
        <v>416</v>
      </c>
      <c r="V72" s="324">
        <v>328</v>
      </c>
      <c r="W72" s="324">
        <f t="shared" si="13"/>
        <v>0.55913978494623651</v>
      </c>
      <c r="X72" s="324">
        <f t="shared" si="14"/>
        <v>0.44086021505376344</v>
      </c>
      <c r="AB72" s="4">
        <f t="shared" si="21"/>
        <v>2010</v>
      </c>
      <c r="AC72" s="394">
        <f t="shared" si="23"/>
        <v>40452</v>
      </c>
      <c r="AD72" s="135">
        <f t="shared" si="15"/>
        <v>6.8574197933659589</v>
      </c>
      <c r="AE72" s="136">
        <v>6.8574197933659589</v>
      </c>
      <c r="AG72" s="4">
        <f t="shared" si="2"/>
        <v>2009</v>
      </c>
      <c r="AH72" s="394">
        <v>40056</v>
      </c>
      <c r="AI72" s="4">
        <f t="shared" si="3"/>
        <v>4.0610949349999999</v>
      </c>
      <c r="AJ72" s="4">
        <v>4.1414260340000002</v>
      </c>
      <c r="AK72" s="4">
        <v>3.9807638359999999</v>
      </c>
      <c r="AM72" s="4">
        <f t="shared" si="4"/>
        <v>2013</v>
      </c>
      <c r="AN72" s="337">
        <v>41456</v>
      </c>
      <c r="AO72" s="4">
        <f t="shared" si="5"/>
        <v>10.104202605000001</v>
      </c>
      <c r="AP72" s="4">
        <v>10.18340521</v>
      </c>
      <c r="AQ72" s="4">
        <v>10.025</v>
      </c>
    </row>
    <row r="73" spans="16:43">
      <c r="P73" s="4">
        <f t="shared" si="10"/>
        <v>2010</v>
      </c>
      <c r="Q73" s="396">
        <f t="shared" si="25"/>
        <v>40483</v>
      </c>
      <c r="R73" s="136">
        <v>63.284999999999997</v>
      </c>
      <c r="S73" s="136">
        <v>54.015000000000001</v>
      </c>
      <c r="T73" s="338">
        <f t="shared" si="20"/>
        <v>59.298899999999996</v>
      </c>
      <c r="U73" s="324">
        <v>400</v>
      </c>
      <c r="V73" s="324">
        <v>320</v>
      </c>
      <c r="W73" s="324">
        <f t="shared" si="13"/>
        <v>0.55555555555555558</v>
      </c>
      <c r="X73" s="324">
        <f t="shared" si="14"/>
        <v>0.44444444444444442</v>
      </c>
      <c r="AB73" s="4">
        <f t="shared" si="21"/>
        <v>2010</v>
      </c>
      <c r="AC73" s="394">
        <f t="shared" si="23"/>
        <v>40483</v>
      </c>
      <c r="AD73" s="135">
        <f t="shared" si="15"/>
        <v>7.6594521479064719</v>
      </c>
      <c r="AE73" s="136">
        <v>7.6594521479064719</v>
      </c>
      <c r="AG73" s="4">
        <f t="shared" si="2"/>
        <v>2009</v>
      </c>
      <c r="AH73" s="394">
        <v>40086</v>
      </c>
      <c r="AI73" s="4">
        <f t="shared" si="3"/>
        <v>4.0644640014999993</v>
      </c>
      <c r="AJ73" s="4">
        <v>4.1450869069999996</v>
      </c>
      <c r="AK73" s="4">
        <v>3.9838410959999999</v>
      </c>
      <c r="AM73" s="4">
        <f t="shared" si="4"/>
        <v>2013</v>
      </c>
      <c r="AN73" s="337">
        <v>41487</v>
      </c>
      <c r="AO73" s="4">
        <f t="shared" si="5"/>
        <v>10.179202605</v>
      </c>
      <c r="AP73" s="4">
        <v>10.258405209999999</v>
      </c>
      <c r="AQ73" s="4">
        <v>10.1</v>
      </c>
    </row>
    <row r="74" spans="16:43">
      <c r="P74" s="4">
        <f t="shared" si="10"/>
        <v>2010</v>
      </c>
      <c r="Q74" s="396">
        <f t="shared" si="25"/>
        <v>40513</v>
      </c>
      <c r="R74" s="136">
        <v>78.3</v>
      </c>
      <c r="S74" s="136">
        <v>66.982500000000002</v>
      </c>
      <c r="T74" s="338">
        <f t="shared" si="20"/>
        <v>73.433474999999987</v>
      </c>
      <c r="U74" s="324">
        <v>416</v>
      </c>
      <c r="V74" s="324">
        <v>328</v>
      </c>
      <c r="W74" s="324">
        <f t="shared" si="13"/>
        <v>0.55913978494623651</v>
      </c>
      <c r="X74" s="324">
        <f t="shared" si="14"/>
        <v>0.44086021505376344</v>
      </c>
      <c r="AB74" s="4">
        <f t="shared" si="21"/>
        <v>2010</v>
      </c>
      <c r="AC74" s="394">
        <f t="shared" si="23"/>
        <v>40513</v>
      </c>
      <c r="AD74" s="135">
        <f t="shared" si="15"/>
        <v>8.4570323545405106</v>
      </c>
      <c r="AE74" s="136">
        <v>8.4570323545405106</v>
      </c>
      <c r="AG74" s="4">
        <f t="shared" si="2"/>
        <v>2009</v>
      </c>
      <c r="AH74" s="394">
        <v>40117</v>
      </c>
      <c r="AI74" s="4">
        <f t="shared" si="3"/>
        <v>4.1817176009999999</v>
      </c>
      <c r="AJ74" s="4">
        <v>4.2408782159999996</v>
      </c>
      <c r="AK74" s="4">
        <v>4.1225569860000002</v>
      </c>
      <c r="AM74" s="4">
        <f t="shared" si="4"/>
        <v>2013</v>
      </c>
      <c r="AN74" s="337">
        <v>41518</v>
      </c>
      <c r="AO74" s="4">
        <f t="shared" si="5"/>
        <v>10.199202605</v>
      </c>
      <c r="AP74" s="4">
        <v>10.278405210000001</v>
      </c>
      <c r="AQ74" s="4">
        <v>10.119999999999999</v>
      </c>
    </row>
    <row r="75" spans="16:43">
      <c r="P75" s="4">
        <f t="shared" si="10"/>
        <v>2011</v>
      </c>
      <c r="Q75" s="396">
        <f t="shared" si="25"/>
        <v>40544</v>
      </c>
      <c r="R75" s="136">
        <v>74.900000000000006</v>
      </c>
      <c r="S75" s="136">
        <v>66.504999999999995</v>
      </c>
      <c r="T75" s="338">
        <f t="shared" si="20"/>
        <v>71.290149999999997</v>
      </c>
      <c r="U75" s="324">
        <v>400</v>
      </c>
      <c r="V75" s="324">
        <v>344</v>
      </c>
      <c r="W75" s="324">
        <f t="shared" si="13"/>
        <v>0.5376344086021505</v>
      </c>
      <c r="X75" s="324">
        <f t="shared" si="14"/>
        <v>0.46236559139784944</v>
      </c>
      <c r="AB75" s="4">
        <f t="shared" si="21"/>
        <v>2011</v>
      </c>
      <c r="AC75" s="394">
        <f t="shared" si="23"/>
        <v>40544</v>
      </c>
      <c r="AD75" s="135">
        <f t="shared" si="15"/>
        <v>8.9090443175638931</v>
      </c>
      <c r="AE75" s="136">
        <v>8.9090443175638931</v>
      </c>
      <c r="AG75" s="4">
        <f t="shared" si="2"/>
        <v>2009</v>
      </c>
      <c r="AH75" s="394">
        <v>40147</v>
      </c>
      <c r="AI75" s="4">
        <f t="shared" si="3"/>
        <v>4.26736571</v>
      </c>
      <c r="AJ75" s="4">
        <v>4.3228585429999997</v>
      </c>
      <c r="AK75" s="4">
        <v>4.2118728770000002</v>
      </c>
      <c r="AM75" s="4">
        <f t="shared" si="4"/>
        <v>2013</v>
      </c>
      <c r="AN75" s="337">
        <v>41548</v>
      </c>
      <c r="AO75" s="4">
        <f t="shared" si="5"/>
        <v>10.279202605</v>
      </c>
      <c r="AP75" s="4">
        <v>10.358405210000001</v>
      </c>
      <c r="AQ75" s="4">
        <v>10.199999999999999</v>
      </c>
    </row>
    <row r="76" spans="16:43">
      <c r="P76" s="4">
        <f t="shared" si="10"/>
        <v>2011</v>
      </c>
      <c r="Q76" s="396">
        <f t="shared" si="25"/>
        <v>40575</v>
      </c>
      <c r="R76" s="136">
        <v>70.099999999999994</v>
      </c>
      <c r="S76" s="136">
        <v>63.645000000000003</v>
      </c>
      <c r="T76" s="338">
        <f t="shared" si="20"/>
        <v>67.324349999999995</v>
      </c>
      <c r="U76" s="324">
        <v>384</v>
      </c>
      <c r="V76" s="324">
        <v>288</v>
      </c>
      <c r="W76" s="324">
        <f t="shared" si="13"/>
        <v>0.5714285714285714</v>
      </c>
      <c r="X76" s="324">
        <f t="shared" si="14"/>
        <v>0.42857142857142855</v>
      </c>
      <c r="AB76" s="4">
        <f t="shared" si="21"/>
        <v>2011</v>
      </c>
      <c r="AC76" s="394">
        <f t="shared" si="23"/>
        <v>40575</v>
      </c>
      <c r="AD76" s="135">
        <f t="shared" si="15"/>
        <v>8.9090443175638931</v>
      </c>
      <c r="AE76" s="136">
        <v>8.9090443175638931</v>
      </c>
      <c r="AG76" s="4">
        <f t="shared" si="2"/>
        <v>2009</v>
      </c>
      <c r="AH76" s="394">
        <v>40178</v>
      </c>
      <c r="AI76" s="4">
        <f t="shared" si="3"/>
        <v>4.4666852339999998</v>
      </c>
      <c r="AJ76" s="4">
        <v>4.5022203310000002</v>
      </c>
      <c r="AK76" s="4">
        <v>4.4311501370000004</v>
      </c>
      <c r="AM76" s="4">
        <f t="shared" si="4"/>
        <v>2013</v>
      </c>
      <c r="AN76" s="337">
        <v>41579</v>
      </c>
      <c r="AO76" s="4">
        <f t="shared" si="5"/>
        <v>11.094202605</v>
      </c>
      <c r="AP76" s="4">
        <v>10.67340521</v>
      </c>
      <c r="AQ76" s="4">
        <v>11.515000000000001</v>
      </c>
    </row>
    <row r="77" spans="16:43">
      <c r="P77" s="4">
        <f t="shared" si="10"/>
        <v>2011</v>
      </c>
      <c r="Q77" s="396">
        <f t="shared" si="25"/>
        <v>40603</v>
      </c>
      <c r="R77" s="136">
        <v>61.3</v>
      </c>
      <c r="S77" s="136">
        <v>54.35</v>
      </c>
      <c r="T77" s="338">
        <f t="shared" si="20"/>
        <v>58.311499999999995</v>
      </c>
      <c r="U77" s="324">
        <v>432</v>
      </c>
      <c r="V77" s="324">
        <v>312</v>
      </c>
      <c r="W77" s="324">
        <f t="shared" si="13"/>
        <v>0.58064516129032262</v>
      </c>
      <c r="X77" s="324">
        <f t="shared" si="14"/>
        <v>0.41935483870967744</v>
      </c>
      <c r="AB77" s="4">
        <f t="shared" si="21"/>
        <v>2011</v>
      </c>
      <c r="AC77" s="394">
        <f t="shared" si="23"/>
        <v>40603</v>
      </c>
      <c r="AD77" s="135">
        <f t="shared" si="15"/>
        <v>8.6586704730831965</v>
      </c>
      <c r="AE77" s="136">
        <v>8.6586704730831965</v>
      </c>
      <c r="AG77" s="4">
        <f t="shared" ref="AG77:AG140" si="30">YEAR(AH77)</f>
        <v>2010</v>
      </c>
      <c r="AH77" s="394">
        <v>40209</v>
      </c>
      <c r="AI77" s="4">
        <f t="shared" ref="AI77:AI140" si="31">AVERAGE(AJ77:AK77)</f>
        <v>4.8608995054999999</v>
      </c>
      <c r="AJ77" s="4">
        <v>4.8311829839999998</v>
      </c>
      <c r="AK77" s="4">
        <v>4.8906160270000001</v>
      </c>
      <c r="AM77" s="4">
        <f t="shared" ref="AM77:AM140" si="32">YEAR(AN77)</f>
        <v>2013</v>
      </c>
      <c r="AN77" s="337">
        <v>41609</v>
      </c>
      <c r="AO77" s="4">
        <f t="shared" ref="AO77:AO140" si="33">AVERAGE(AP77:AQ77)</f>
        <v>11.514202605000001</v>
      </c>
      <c r="AP77" s="4">
        <v>11.09340521</v>
      </c>
      <c r="AQ77" s="4">
        <v>11.935</v>
      </c>
    </row>
    <row r="78" spans="16:43">
      <c r="P78" s="4">
        <f t="shared" si="10"/>
        <v>2011</v>
      </c>
      <c r="Q78" s="396">
        <f t="shared" si="25"/>
        <v>40634</v>
      </c>
      <c r="R78" s="136">
        <v>43.79</v>
      </c>
      <c r="S78" s="136">
        <v>31.7</v>
      </c>
      <c r="T78" s="338">
        <f t="shared" si="20"/>
        <v>38.591299999999997</v>
      </c>
      <c r="U78" s="324">
        <v>416</v>
      </c>
      <c r="V78" s="324">
        <v>304</v>
      </c>
      <c r="W78" s="324">
        <f t="shared" si="13"/>
        <v>0.57777777777777772</v>
      </c>
      <c r="X78" s="324">
        <f t="shared" si="14"/>
        <v>0.42222222222222222</v>
      </c>
      <c r="AB78" s="4">
        <f t="shared" si="21"/>
        <v>2011</v>
      </c>
      <c r="AC78" s="394">
        <f t="shared" si="23"/>
        <v>40634</v>
      </c>
      <c r="AD78" s="135">
        <f t="shared" si="15"/>
        <v>6.1274034801522568</v>
      </c>
      <c r="AE78" s="136">
        <v>6.1274034801522568</v>
      </c>
      <c r="AG78" s="4">
        <f t="shared" si="30"/>
        <v>2010</v>
      </c>
      <c r="AH78" s="394">
        <v>40237</v>
      </c>
      <c r="AI78" s="4">
        <f t="shared" si="31"/>
        <v>4.5782627414999997</v>
      </c>
      <c r="AJ78" s="4">
        <v>4.5747435650000003</v>
      </c>
      <c r="AK78" s="4">
        <v>4.5817819179999999</v>
      </c>
      <c r="AM78" s="4">
        <f t="shared" si="32"/>
        <v>2014</v>
      </c>
      <c r="AN78" s="337">
        <v>41640</v>
      </c>
      <c r="AO78" s="4">
        <f t="shared" si="33"/>
        <v>11.760452605000001</v>
      </c>
      <c r="AP78" s="4">
        <v>11.340905210000001</v>
      </c>
      <c r="AQ78" s="4">
        <v>12.18</v>
      </c>
    </row>
    <row r="79" spans="16:43">
      <c r="P79" s="4">
        <f t="shared" si="10"/>
        <v>2011</v>
      </c>
      <c r="Q79" s="396">
        <f t="shared" si="25"/>
        <v>40664</v>
      </c>
      <c r="R79" s="136">
        <v>35.06</v>
      </c>
      <c r="S79" s="136">
        <v>21.97</v>
      </c>
      <c r="T79" s="338">
        <f t="shared" si="20"/>
        <v>29.4313</v>
      </c>
      <c r="U79" s="324">
        <v>400</v>
      </c>
      <c r="V79" s="324">
        <v>344</v>
      </c>
      <c r="W79" s="324">
        <f t="shared" si="13"/>
        <v>0.5376344086021505</v>
      </c>
      <c r="X79" s="324">
        <f t="shared" si="14"/>
        <v>0.46236559139784944</v>
      </c>
      <c r="AB79" s="4">
        <f t="shared" si="21"/>
        <v>2011</v>
      </c>
      <c r="AC79" s="394">
        <f t="shared" si="23"/>
        <v>40664</v>
      </c>
      <c r="AD79" s="135">
        <f t="shared" si="15"/>
        <v>5.9234883088635133</v>
      </c>
      <c r="AE79" s="136">
        <v>5.9234883088635133</v>
      </c>
      <c r="AG79" s="4">
        <f t="shared" si="30"/>
        <v>2010</v>
      </c>
      <c r="AH79" s="394">
        <v>40268</v>
      </c>
      <c r="AI79" s="4">
        <f t="shared" si="31"/>
        <v>4.3303048989999997</v>
      </c>
      <c r="AJ79" s="4">
        <v>4.3554506200000001</v>
      </c>
      <c r="AK79" s="4">
        <v>4.3051591780000003</v>
      </c>
      <c r="AM79" s="4">
        <f t="shared" si="32"/>
        <v>2014</v>
      </c>
      <c r="AN79" s="337">
        <v>41671</v>
      </c>
      <c r="AO79" s="4">
        <f t="shared" si="33"/>
        <v>11.755452605</v>
      </c>
      <c r="AP79" s="4">
        <v>11.33590521</v>
      </c>
      <c r="AQ79" s="4">
        <v>12.175000000000001</v>
      </c>
    </row>
    <row r="80" spans="16:43">
      <c r="P80" s="4">
        <f t="shared" ref="P80:P143" si="34">+YEAR(Q80)</f>
        <v>2011</v>
      </c>
      <c r="Q80" s="396">
        <f t="shared" si="25"/>
        <v>40695</v>
      </c>
      <c r="R80" s="136">
        <v>32.15</v>
      </c>
      <c r="S80" s="136">
        <v>20.58</v>
      </c>
      <c r="T80" s="338">
        <f t="shared" si="20"/>
        <v>27.174899999999997</v>
      </c>
      <c r="U80" s="324">
        <v>416</v>
      </c>
      <c r="V80" s="324">
        <v>304</v>
      </c>
      <c r="W80" s="324">
        <f t="shared" ref="W80:W143" si="35">U80/(U80+V80)</f>
        <v>0.57777777777777772</v>
      </c>
      <c r="X80" s="324">
        <f t="shared" ref="X80:X143" si="36">V80/(U80+V80)</f>
        <v>0.42222222222222222</v>
      </c>
      <c r="AB80" s="4">
        <f t="shared" si="21"/>
        <v>2011</v>
      </c>
      <c r="AC80" s="394">
        <f t="shared" si="23"/>
        <v>40695</v>
      </c>
      <c r="AD80" s="135">
        <f t="shared" ref="AD80:AD143" si="37">AE80</f>
        <v>6.0203480152256654</v>
      </c>
      <c r="AE80" s="136">
        <v>6.0203480152256654</v>
      </c>
      <c r="AG80" s="4">
        <f t="shared" si="30"/>
        <v>2010</v>
      </c>
      <c r="AH80" s="394">
        <v>40298</v>
      </c>
      <c r="AI80" s="4">
        <f t="shared" si="31"/>
        <v>4.0460201334999999</v>
      </c>
      <c r="AJ80" s="4">
        <v>4.1027151990000004</v>
      </c>
      <c r="AK80" s="4">
        <v>3.9893250679999999</v>
      </c>
      <c r="AM80" s="4">
        <f t="shared" si="32"/>
        <v>2014</v>
      </c>
      <c r="AN80" s="337">
        <v>41699</v>
      </c>
      <c r="AO80" s="4">
        <f t="shared" si="33"/>
        <v>11.530452605000001</v>
      </c>
      <c r="AP80" s="4">
        <v>11.11090521</v>
      </c>
      <c r="AQ80" s="4">
        <v>11.95</v>
      </c>
    </row>
    <row r="81" spans="16:43">
      <c r="P81" s="4">
        <f t="shared" si="34"/>
        <v>2011</v>
      </c>
      <c r="Q81" s="396">
        <f t="shared" si="25"/>
        <v>40725</v>
      </c>
      <c r="R81" s="136">
        <v>59.6</v>
      </c>
      <c r="S81" s="136">
        <v>45.8</v>
      </c>
      <c r="T81" s="338">
        <f t="shared" si="20"/>
        <v>53.665999999999997</v>
      </c>
      <c r="U81" s="324">
        <v>400</v>
      </c>
      <c r="V81" s="324">
        <v>344</v>
      </c>
      <c r="W81" s="324">
        <f t="shared" si="35"/>
        <v>0.5376344086021505</v>
      </c>
      <c r="X81" s="324">
        <f t="shared" si="36"/>
        <v>0.46236559139784944</v>
      </c>
      <c r="AB81" s="4">
        <f t="shared" si="21"/>
        <v>2011</v>
      </c>
      <c r="AC81" s="394">
        <f t="shared" si="23"/>
        <v>40725</v>
      </c>
      <c r="AD81" s="135">
        <f t="shared" si="37"/>
        <v>6.1600299075584557</v>
      </c>
      <c r="AE81" s="136">
        <v>6.1600299075584557</v>
      </c>
      <c r="AG81" s="4">
        <f t="shared" si="30"/>
        <v>2010</v>
      </c>
      <c r="AH81" s="394">
        <v>40329</v>
      </c>
      <c r="AI81" s="4">
        <f t="shared" si="31"/>
        <v>4.0507237334999999</v>
      </c>
      <c r="AJ81" s="4">
        <v>4.1069565079999997</v>
      </c>
      <c r="AK81" s="4">
        <v>3.9944909590000002</v>
      </c>
      <c r="AM81" s="4">
        <f t="shared" si="32"/>
        <v>2014</v>
      </c>
      <c r="AN81" s="337">
        <v>41730</v>
      </c>
      <c r="AO81" s="4">
        <f t="shared" si="33"/>
        <v>10.259202604999999</v>
      </c>
      <c r="AP81" s="4">
        <v>10.338405209999999</v>
      </c>
      <c r="AQ81" s="4">
        <v>10.18</v>
      </c>
    </row>
    <row r="82" spans="16:43">
      <c r="P82" s="4">
        <f t="shared" si="34"/>
        <v>2011</v>
      </c>
      <c r="Q82" s="396">
        <f t="shared" si="25"/>
        <v>40756</v>
      </c>
      <c r="R82" s="136">
        <v>72.239999999999995</v>
      </c>
      <c r="S82" s="136">
        <v>55.72</v>
      </c>
      <c r="T82" s="338">
        <f t="shared" si="20"/>
        <v>65.136399999999995</v>
      </c>
      <c r="U82" s="324">
        <v>432</v>
      </c>
      <c r="V82" s="324">
        <v>312</v>
      </c>
      <c r="W82" s="324">
        <f t="shared" si="35"/>
        <v>0.58064516129032262</v>
      </c>
      <c r="X82" s="324">
        <f t="shared" si="36"/>
        <v>0.41935483870967744</v>
      </c>
      <c r="AB82" s="4">
        <f t="shared" si="21"/>
        <v>2011</v>
      </c>
      <c r="AC82" s="394">
        <f t="shared" si="23"/>
        <v>40756</v>
      </c>
      <c r="AD82" s="135">
        <f t="shared" si="37"/>
        <v>6.2619874932028274</v>
      </c>
      <c r="AE82" s="136">
        <v>6.2619874932028274</v>
      </c>
      <c r="AG82" s="4">
        <f t="shared" si="30"/>
        <v>2010</v>
      </c>
      <c r="AH82" s="394">
        <v>40359</v>
      </c>
      <c r="AI82" s="4">
        <f t="shared" si="31"/>
        <v>4.1263273334999999</v>
      </c>
      <c r="AJ82" s="4">
        <v>4.1820978179999999</v>
      </c>
      <c r="AK82" s="4">
        <v>4.0705568489999999</v>
      </c>
      <c r="AM82" s="4">
        <f t="shared" si="32"/>
        <v>2014</v>
      </c>
      <c r="AN82" s="337">
        <v>41760</v>
      </c>
      <c r="AO82" s="4">
        <f t="shared" si="33"/>
        <v>10.239202604999999</v>
      </c>
      <c r="AP82" s="4">
        <v>10.31840521</v>
      </c>
      <c r="AQ82" s="4">
        <v>10.16</v>
      </c>
    </row>
    <row r="83" spans="16:43">
      <c r="P83" s="4">
        <f t="shared" si="34"/>
        <v>2011</v>
      </c>
      <c r="Q83" s="396">
        <f t="shared" si="25"/>
        <v>40787</v>
      </c>
      <c r="R83" s="136">
        <v>70.66</v>
      </c>
      <c r="S83" s="136">
        <v>54.48</v>
      </c>
      <c r="T83" s="338">
        <f t="shared" si="20"/>
        <v>63.70259999999999</v>
      </c>
      <c r="U83" s="324">
        <v>400</v>
      </c>
      <c r="V83" s="324">
        <v>320</v>
      </c>
      <c r="W83" s="324">
        <f t="shared" si="35"/>
        <v>0.55555555555555558</v>
      </c>
      <c r="X83" s="324">
        <f t="shared" si="36"/>
        <v>0.44444444444444442</v>
      </c>
      <c r="AB83" s="4">
        <f t="shared" si="21"/>
        <v>2011</v>
      </c>
      <c r="AC83" s="394">
        <f t="shared" si="23"/>
        <v>40787</v>
      </c>
      <c r="AD83" s="135">
        <f t="shared" si="37"/>
        <v>6.3435535617183252</v>
      </c>
      <c r="AE83" s="136">
        <v>6.3435535617183252</v>
      </c>
      <c r="AG83" s="4">
        <f t="shared" si="30"/>
        <v>2010</v>
      </c>
      <c r="AH83" s="394">
        <v>40390</v>
      </c>
      <c r="AI83" s="4">
        <f t="shared" si="31"/>
        <v>4.1919664005000001</v>
      </c>
      <c r="AJ83" s="4">
        <v>4.2474286909999996</v>
      </c>
      <c r="AK83" s="4">
        <v>4.1365041099999997</v>
      </c>
      <c r="AM83" s="4">
        <f t="shared" si="32"/>
        <v>2014</v>
      </c>
      <c r="AN83" s="337">
        <v>41791</v>
      </c>
      <c r="AO83" s="4">
        <f t="shared" si="33"/>
        <v>10.309202604999999</v>
      </c>
      <c r="AP83" s="4">
        <v>10.38840521</v>
      </c>
      <c r="AQ83" s="4">
        <v>10.23</v>
      </c>
    </row>
    <row r="84" spans="16:43">
      <c r="P84" s="4">
        <f t="shared" si="34"/>
        <v>2011</v>
      </c>
      <c r="Q84" s="396">
        <f t="shared" si="25"/>
        <v>40817</v>
      </c>
      <c r="R84" s="136">
        <v>46.414999999999999</v>
      </c>
      <c r="S84" s="136">
        <v>41.252499999999998</v>
      </c>
      <c r="T84" s="338">
        <f t="shared" si="20"/>
        <v>44.19512499999999</v>
      </c>
      <c r="U84" s="324">
        <v>416</v>
      </c>
      <c r="V84" s="324">
        <v>328</v>
      </c>
      <c r="W84" s="324">
        <f t="shared" si="35"/>
        <v>0.55913978494623651</v>
      </c>
      <c r="X84" s="324">
        <f t="shared" si="36"/>
        <v>0.44086021505376344</v>
      </c>
      <c r="AB84" s="4">
        <f t="shared" si="21"/>
        <v>2011</v>
      </c>
      <c r="AC84" s="394">
        <f t="shared" si="23"/>
        <v>40817</v>
      </c>
      <c r="AD84" s="135">
        <f t="shared" si="37"/>
        <v>6.4699809679173459</v>
      </c>
      <c r="AE84" s="136">
        <v>6.4699809679173459</v>
      </c>
      <c r="AG84" s="4">
        <f t="shared" si="30"/>
        <v>2010</v>
      </c>
      <c r="AH84" s="394">
        <v>40421</v>
      </c>
      <c r="AI84" s="4">
        <f t="shared" si="31"/>
        <v>4.2050000000000001</v>
      </c>
      <c r="AJ84" s="4">
        <v>4.26</v>
      </c>
      <c r="AK84" s="4">
        <v>4.1500000000000004</v>
      </c>
      <c r="AM84" s="4">
        <f t="shared" si="32"/>
        <v>2014</v>
      </c>
      <c r="AN84" s="337">
        <v>41821</v>
      </c>
      <c r="AO84" s="4">
        <f t="shared" si="33"/>
        <v>10.389202605000001</v>
      </c>
      <c r="AP84" s="4">
        <v>10.46840521</v>
      </c>
      <c r="AQ84" s="4">
        <v>10.31</v>
      </c>
    </row>
    <row r="85" spans="16:43">
      <c r="P85" s="4">
        <f t="shared" si="34"/>
        <v>2011</v>
      </c>
      <c r="Q85" s="396">
        <f t="shared" si="25"/>
        <v>40848</v>
      </c>
      <c r="R85" s="136">
        <v>59.284999999999997</v>
      </c>
      <c r="S85" s="136">
        <v>50.515000000000001</v>
      </c>
      <c r="T85" s="338">
        <f t="shared" si="20"/>
        <v>55.513899999999992</v>
      </c>
      <c r="U85" s="324">
        <v>400</v>
      </c>
      <c r="V85" s="324">
        <v>320</v>
      </c>
      <c r="W85" s="324">
        <f t="shared" si="35"/>
        <v>0.55555555555555558</v>
      </c>
      <c r="X85" s="324">
        <f t="shared" si="36"/>
        <v>0.44444444444444442</v>
      </c>
      <c r="AB85" s="4">
        <f t="shared" si="21"/>
        <v>2011</v>
      </c>
      <c r="AC85" s="394">
        <f t="shared" si="23"/>
        <v>40848</v>
      </c>
      <c r="AD85" s="135">
        <f t="shared" si="37"/>
        <v>7.2567196846112019</v>
      </c>
      <c r="AE85" s="136">
        <v>7.2567196846112019</v>
      </c>
      <c r="AG85" s="4">
        <f t="shared" si="30"/>
        <v>2010</v>
      </c>
      <c r="AH85" s="394">
        <v>40451</v>
      </c>
      <c r="AI85" s="4">
        <f t="shared" si="31"/>
        <v>4.2050000000000001</v>
      </c>
      <c r="AJ85" s="4">
        <v>4.26</v>
      </c>
      <c r="AK85" s="4">
        <v>4.1500000000000004</v>
      </c>
      <c r="AM85" s="4">
        <f t="shared" si="32"/>
        <v>2014</v>
      </c>
      <c r="AN85" s="337">
        <v>41852</v>
      </c>
      <c r="AO85" s="4">
        <f t="shared" si="33"/>
        <v>9.18658164</v>
      </c>
      <c r="AP85" s="4">
        <v>9.2760078400000001</v>
      </c>
      <c r="AQ85" s="4">
        <v>9.0971554399999999</v>
      </c>
    </row>
    <row r="86" spans="16:43">
      <c r="P86" s="4">
        <f t="shared" si="34"/>
        <v>2011</v>
      </c>
      <c r="Q86" s="396">
        <f t="shared" si="25"/>
        <v>40878</v>
      </c>
      <c r="R86" s="136">
        <v>74.3</v>
      </c>
      <c r="S86" s="136">
        <v>63.482500000000002</v>
      </c>
      <c r="T86" s="338">
        <f t="shared" si="20"/>
        <v>69.648474999999991</v>
      </c>
      <c r="U86" s="324">
        <v>416</v>
      </c>
      <c r="V86" s="324">
        <v>328</v>
      </c>
      <c r="W86" s="324">
        <f t="shared" si="35"/>
        <v>0.55913978494623651</v>
      </c>
      <c r="X86" s="324">
        <f t="shared" si="36"/>
        <v>0.44086021505376344</v>
      </c>
      <c r="AB86" s="4">
        <f t="shared" si="21"/>
        <v>2011</v>
      </c>
      <c r="AC86" s="394">
        <f t="shared" si="23"/>
        <v>40878</v>
      </c>
      <c r="AD86" s="135">
        <f t="shared" si="37"/>
        <v>8.0390062533985862</v>
      </c>
      <c r="AE86" s="136">
        <v>8.0390062533985862</v>
      </c>
      <c r="AG86" s="4">
        <f t="shared" si="30"/>
        <v>2010</v>
      </c>
      <c r="AH86" s="394">
        <v>40482</v>
      </c>
      <c r="AI86" s="4">
        <f t="shared" si="31"/>
        <v>4.3599999999999994</v>
      </c>
      <c r="AJ86" s="4">
        <v>4.38</v>
      </c>
      <c r="AK86" s="4">
        <v>4.34</v>
      </c>
      <c r="AM86" s="4">
        <f t="shared" si="32"/>
        <v>2014</v>
      </c>
      <c r="AN86" s="337">
        <v>41883</v>
      </c>
      <c r="AO86" s="4">
        <f t="shared" si="33"/>
        <v>9.1965816399999998</v>
      </c>
      <c r="AP86" s="4">
        <v>9.2860078399999999</v>
      </c>
      <c r="AQ86" s="4">
        <v>9.1071554399999997</v>
      </c>
    </row>
    <row r="87" spans="16:43">
      <c r="P87" s="4">
        <f t="shared" si="34"/>
        <v>2012</v>
      </c>
      <c r="Q87" s="396">
        <f t="shared" si="25"/>
        <v>40909</v>
      </c>
      <c r="R87" s="136">
        <v>71.400000000000006</v>
      </c>
      <c r="S87" s="136">
        <v>65.004999999999995</v>
      </c>
      <c r="T87" s="338">
        <f t="shared" si="20"/>
        <v>68.650149999999996</v>
      </c>
      <c r="U87" s="324">
        <v>400</v>
      </c>
      <c r="V87" s="324">
        <v>344</v>
      </c>
      <c r="W87" s="324">
        <f t="shared" si="35"/>
        <v>0.5376344086021505</v>
      </c>
      <c r="X87" s="324">
        <f t="shared" si="36"/>
        <v>0.46236559139784944</v>
      </c>
      <c r="AB87" s="4">
        <f t="shared" si="21"/>
        <v>2012</v>
      </c>
      <c r="AC87" s="394">
        <f t="shared" si="23"/>
        <v>40909</v>
      </c>
      <c r="AD87" s="135">
        <f t="shared" si="37"/>
        <v>8.4025393114464375</v>
      </c>
      <c r="AE87" s="136">
        <v>8.4025393114464375</v>
      </c>
      <c r="AG87" s="4">
        <f t="shared" si="30"/>
        <v>2010</v>
      </c>
      <c r="AH87" s="394">
        <v>40512</v>
      </c>
      <c r="AI87" s="4">
        <f t="shared" si="31"/>
        <v>4.43</v>
      </c>
      <c r="AJ87" s="4">
        <v>4.45</v>
      </c>
      <c r="AK87" s="4">
        <v>4.41</v>
      </c>
      <c r="AM87" s="4">
        <f t="shared" si="32"/>
        <v>2014</v>
      </c>
      <c r="AN87" s="337">
        <v>41913</v>
      </c>
      <c r="AO87" s="4">
        <f t="shared" si="33"/>
        <v>9.3909599650000004</v>
      </c>
      <c r="AP87" s="4">
        <v>9.4479726999999993</v>
      </c>
      <c r="AQ87" s="4">
        <v>9.3339472299999997</v>
      </c>
    </row>
    <row r="88" spans="16:43">
      <c r="P88" s="4">
        <f t="shared" si="34"/>
        <v>2012</v>
      </c>
      <c r="Q88" s="396">
        <f t="shared" si="25"/>
        <v>40940</v>
      </c>
      <c r="R88" s="136">
        <v>66.599999999999994</v>
      </c>
      <c r="S88" s="136">
        <v>62.145000000000003</v>
      </c>
      <c r="T88" s="338">
        <f t="shared" ref="T88:T151" si="38">R88*0.57+S88*0.43</f>
        <v>64.684349999999995</v>
      </c>
      <c r="U88" s="324">
        <v>400</v>
      </c>
      <c r="V88" s="324">
        <v>296</v>
      </c>
      <c r="W88" s="324">
        <f t="shared" si="35"/>
        <v>0.57471264367816088</v>
      </c>
      <c r="X88" s="324">
        <f t="shared" si="36"/>
        <v>0.42528735632183906</v>
      </c>
      <c r="AB88" s="4">
        <f t="shared" si="21"/>
        <v>2012</v>
      </c>
      <c r="AC88" s="394">
        <f t="shared" si="23"/>
        <v>40940</v>
      </c>
      <c r="AD88" s="135">
        <f t="shared" si="37"/>
        <v>8.4025393114464375</v>
      </c>
      <c r="AE88" s="136">
        <v>8.4025393114464375</v>
      </c>
      <c r="AG88" s="4">
        <f t="shared" si="30"/>
        <v>2010</v>
      </c>
      <c r="AH88" s="394">
        <v>40543</v>
      </c>
      <c r="AI88" s="4">
        <f t="shared" si="31"/>
        <v>4.6449999999999996</v>
      </c>
      <c r="AJ88" s="4">
        <v>4.63</v>
      </c>
      <c r="AK88" s="4">
        <v>4.66</v>
      </c>
      <c r="AM88" s="4">
        <f t="shared" si="32"/>
        <v>2014</v>
      </c>
      <c r="AN88" s="337">
        <v>41944</v>
      </c>
      <c r="AO88" s="4">
        <f t="shared" si="33"/>
        <v>9.8600831450000008</v>
      </c>
      <c r="AP88" s="4">
        <v>9.6664551299999992</v>
      </c>
      <c r="AQ88" s="4">
        <v>10.053711160000001</v>
      </c>
    </row>
    <row r="89" spans="16:43">
      <c r="P89" s="4">
        <f t="shared" si="34"/>
        <v>2012</v>
      </c>
      <c r="Q89" s="396">
        <f t="shared" si="25"/>
        <v>40969</v>
      </c>
      <c r="R89" s="136">
        <v>57.8</v>
      </c>
      <c r="S89" s="136">
        <v>52.85</v>
      </c>
      <c r="T89" s="338">
        <f t="shared" si="38"/>
        <v>55.671499999999995</v>
      </c>
      <c r="U89" s="324">
        <v>432</v>
      </c>
      <c r="V89" s="324">
        <v>312</v>
      </c>
      <c r="W89" s="324">
        <f t="shared" si="35"/>
        <v>0.58064516129032262</v>
      </c>
      <c r="X89" s="324">
        <f t="shared" si="36"/>
        <v>0.41935483870967744</v>
      </c>
      <c r="AB89" s="4">
        <f t="shared" si="21"/>
        <v>2012</v>
      </c>
      <c r="AC89" s="394">
        <f t="shared" si="23"/>
        <v>40969</v>
      </c>
      <c r="AD89" s="135">
        <f t="shared" si="37"/>
        <v>8.1656679445350733</v>
      </c>
      <c r="AE89" s="136">
        <v>8.1656679445350733</v>
      </c>
      <c r="AG89" s="4">
        <f t="shared" si="30"/>
        <v>2011</v>
      </c>
      <c r="AH89" s="394">
        <v>40574</v>
      </c>
      <c r="AI89" s="4">
        <f t="shared" si="31"/>
        <v>5.03</v>
      </c>
      <c r="AJ89" s="4">
        <v>4.9800000000000004</v>
      </c>
      <c r="AK89" s="4">
        <v>5.08</v>
      </c>
      <c r="AM89" s="4">
        <f t="shared" si="32"/>
        <v>2014</v>
      </c>
      <c r="AN89" s="337">
        <v>41974</v>
      </c>
      <c r="AO89" s="4">
        <f t="shared" si="33"/>
        <v>10.286084649999999</v>
      </c>
      <c r="AP89" s="4">
        <v>10.05940242</v>
      </c>
      <c r="AQ89" s="4">
        <v>10.512766879999999</v>
      </c>
    </row>
    <row r="90" spans="16:43">
      <c r="P90" s="4">
        <f t="shared" si="34"/>
        <v>2012</v>
      </c>
      <c r="Q90" s="396">
        <f t="shared" si="25"/>
        <v>41000</v>
      </c>
      <c r="R90" s="136">
        <v>40.29</v>
      </c>
      <c r="S90" s="136">
        <v>30.2</v>
      </c>
      <c r="T90" s="338">
        <f t="shared" si="38"/>
        <v>35.951299999999996</v>
      </c>
      <c r="U90" s="324">
        <v>400</v>
      </c>
      <c r="V90" s="324">
        <v>320</v>
      </c>
      <c r="W90" s="324">
        <f t="shared" si="35"/>
        <v>0.55555555555555558</v>
      </c>
      <c r="X90" s="324">
        <f t="shared" si="36"/>
        <v>0.44444444444444442</v>
      </c>
      <c r="AB90" s="4">
        <f t="shared" si="21"/>
        <v>2012</v>
      </c>
      <c r="AC90" s="394">
        <f t="shared" si="23"/>
        <v>41000</v>
      </c>
      <c r="AD90" s="135">
        <f t="shared" si="37"/>
        <v>5.7764470364328444</v>
      </c>
      <c r="AE90" s="136">
        <v>5.7764470364328444</v>
      </c>
      <c r="AG90" s="4">
        <f t="shared" si="30"/>
        <v>2011</v>
      </c>
      <c r="AH90" s="394">
        <v>40602</v>
      </c>
      <c r="AI90" s="4">
        <f t="shared" si="31"/>
        <v>4.6850000000000005</v>
      </c>
      <c r="AJ90" s="4">
        <v>4.67</v>
      </c>
      <c r="AK90" s="4">
        <v>4.7</v>
      </c>
      <c r="AM90" s="4">
        <f t="shared" si="32"/>
        <v>2015</v>
      </c>
      <c r="AN90" s="337">
        <v>42005</v>
      </c>
      <c r="AO90" s="4">
        <f t="shared" si="33"/>
        <v>11.006556585</v>
      </c>
      <c r="AP90" s="4">
        <v>10.74499533</v>
      </c>
      <c r="AQ90" s="4">
        <v>11.26811784</v>
      </c>
    </row>
    <row r="91" spans="16:43">
      <c r="P91" s="4">
        <f t="shared" si="34"/>
        <v>2012</v>
      </c>
      <c r="Q91" s="396">
        <f t="shared" si="25"/>
        <v>41030</v>
      </c>
      <c r="R91" s="136">
        <v>31.56</v>
      </c>
      <c r="S91" s="136">
        <v>20.47</v>
      </c>
      <c r="T91" s="338">
        <f t="shared" si="38"/>
        <v>26.791299999999996</v>
      </c>
      <c r="U91" s="324">
        <v>416</v>
      </c>
      <c r="V91" s="324">
        <v>328</v>
      </c>
      <c r="W91" s="324">
        <f t="shared" si="35"/>
        <v>0.55913978494623651</v>
      </c>
      <c r="X91" s="324">
        <f t="shared" si="36"/>
        <v>0.44086021505376344</v>
      </c>
      <c r="AB91" s="4">
        <f t="shared" si="21"/>
        <v>2012</v>
      </c>
      <c r="AC91" s="394">
        <f t="shared" si="23"/>
        <v>41030</v>
      </c>
      <c r="AD91" s="135">
        <f t="shared" si="37"/>
        <v>5.5833338431212614</v>
      </c>
      <c r="AE91" s="136">
        <v>5.5833338431212614</v>
      </c>
      <c r="AG91" s="4">
        <f t="shared" si="30"/>
        <v>2011</v>
      </c>
      <c r="AH91" s="394">
        <v>40633</v>
      </c>
      <c r="AI91" s="4">
        <f t="shared" si="31"/>
        <v>4.4000000000000004</v>
      </c>
      <c r="AJ91" s="4">
        <v>4.42</v>
      </c>
      <c r="AK91" s="4">
        <v>4.38</v>
      </c>
      <c r="AM91" s="4">
        <f t="shared" si="32"/>
        <v>2015</v>
      </c>
      <c r="AN91" s="337">
        <v>42036</v>
      </c>
      <c r="AO91" s="4">
        <f t="shared" si="33"/>
        <v>10.646832405</v>
      </c>
      <c r="AP91" s="4">
        <v>10.42132174</v>
      </c>
      <c r="AQ91" s="4">
        <v>10.872343069999999</v>
      </c>
    </row>
    <row r="92" spans="16:43">
      <c r="P92" s="4">
        <f t="shared" si="34"/>
        <v>2012</v>
      </c>
      <c r="Q92" s="396">
        <f t="shared" si="25"/>
        <v>41061</v>
      </c>
      <c r="R92" s="136">
        <v>28.65</v>
      </c>
      <c r="S92" s="136">
        <v>19.079999999999998</v>
      </c>
      <c r="T92" s="338">
        <f t="shared" si="38"/>
        <v>24.534899999999997</v>
      </c>
      <c r="U92" s="324">
        <v>416</v>
      </c>
      <c r="V92" s="324">
        <v>304</v>
      </c>
      <c r="W92" s="324">
        <f t="shared" si="35"/>
        <v>0.57777777777777772</v>
      </c>
      <c r="X92" s="324">
        <f t="shared" si="36"/>
        <v>0.42222222222222222</v>
      </c>
      <c r="AB92" s="4">
        <f t="shared" ref="AB92:AB155" si="39">+YEAR(AC92)</f>
        <v>2012</v>
      </c>
      <c r="AC92" s="394">
        <f t="shared" si="23"/>
        <v>41061</v>
      </c>
      <c r="AD92" s="135">
        <f t="shared" si="37"/>
        <v>5.6750626155519299</v>
      </c>
      <c r="AE92" s="136">
        <v>5.6750626155519299</v>
      </c>
      <c r="AG92" s="4">
        <f t="shared" si="30"/>
        <v>2011</v>
      </c>
      <c r="AH92" s="394">
        <v>40663</v>
      </c>
      <c r="AI92" s="4">
        <f t="shared" si="31"/>
        <v>4.1050000000000004</v>
      </c>
      <c r="AJ92" s="4">
        <v>4.16</v>
      </c>
      <c r="AK92" s="4">
        <v>4.05</v>
      </c>
      <c r="AM92" s="4">
        <f t="shared" si="32"/>
        <v>2015</v>
      </c>
      <c r="AN92" s="337">
        <v>42064</v>
      </c>
      <c r="AO92" s="4">
        <f t="shared" si="33"/>
        <v>10.241998479999999</v>
      </c>
      <c r="AP92" s="4">
        <v>10.05188287</v>
      </c>
      <c r="AQ92" s="4">
        <v>10.432114090000001</v>
      </c>
    </row>
    <row r="93" spans="16:43">
      <c r="P93" s="4">
        <f t="shared" si="34"/>
        <v>2012</v>
      </c>
      <c r="Q93" s="396">
        <f t="shared" si="25"/>
        <v>41091</v>
      </c>
      <c r="R93" s="136">
        <v>56.1</v>
      </c>
      <c r="S93" s="136">
        <v>44.3</v>
      </c>
      <c r="T93" s="338">
        <f t="shared" si="38"/>
        <v>51.025999999999996</v>
      </c>
      <c r="U93" s="324">
        <v>400</v>
      </c>
      <c r="V93" s="324">
        <v>344</v>
      </c>
      <c r="W93" s="324">
        <f t="shared" si="35"/>
        <v>0.5376344086021505</v>
      </c>
      <c r="X93" s="324">
        <f t="shared" si="36"/>
        <v>0.46236559139784944</v>
      </c>
      <c r="AB93" s="4">
        <f t="shared" si="39"/>
        <v>2012</v>
      </c>
      <c r="AC93" s="394">
        <f t="shared" ref="AC93:AC156" si="40">EOMONTH(AC92,0)+1</f>
        <v>41091</v>
      </c>
      <c r="AD93" s="135">
        <f t="shared" si="37"/>
        <v>5.8090734638390433</v>
      </c>
      <c r="AE93" s="136">
        <v>5.8090734638390433</v>
      </c>
      <c r="AG93" s="4">
        <f t="shared" si="30"/>
        <v>2011</v>
      </c>
      <c r="AH93" s="394">
        <v>40694</v>
      </c>
      <c r="AI93" s="4">
        <f t="shared" si="31"/>
        <v>4.1050000000000004</v>
      </c>
      <c r="AJ93" s="4">
        <v>4.16</v>
      </c>
      <c r="AK93" s="4">
        <v>4.05</v>
      </c>
      <c r="AM93" s="4">
        <f t="shared" si="32"/>
        <v>2015</v>
      </c>
      <c r="AN93" s="337">
        <v>42095</v>
      </c>
      <c r="AO93" s="4">
        <f t="shared" si="33"/>
        <v>9.3140395500000004</v>
      </c>
      <c r="AP93" s="4">
        <v>9.4086939899999997</v>
      </c>
      <c r="AQ93" s="4">
        <v>9.2193851099999993</v>
      </c>
    </row>
    <row r="94" spans="16:43">
      <c r="P94" s="4">
        <f t="shared" si="34"/>
        <v>2012</v>
      </c>
      <c r="Q94" s="396">
        <f t="shared" si="25"/>
        <v>41122</v>
      </c>
      <c r="R94" s="136">
        <v>68.739999999999995</v>
      </c>
      <c r="S94" s="136">
        <v>54.22</v>
      </c>
      <c r="T94" s="338">
        <f t="shared" si="38"/>
        <v>62.496399999999994</v>
      </c>
      <c r="U94" s="324">
        <v>432</v>
      </c>
      <c r="V94" s="324">
        <v>312</v>
      </c>
      <c r="W94" s="324">
        <f t="shared" si="35"/>
        <v>0.58064516129032262</v>
      </c>
      <c r="X94" s="324">
        <f t="shared" si="36"/>
        <v>0.41935483870967744</v>
      </c>
      <c r="AB94" s="4">
        <f t="shared" si="39"/>
        <v>2012</v>
      </c>
      <c r="AC94" s="394">
        <f t="shared" si="40"/>
        <v>41122</v>
      </c>
      <c r="AD94" s="135">
        <f t="shared" si="37"/>
        <v>5.9056300604948344</v>
      </c>
      <c r="AE94" s="136">
        <v>5.9056300604948344</v>
      </c>
      <c r="AG94" s="4">
        <f t="shared" si="30"/>
        <v>2011</v>
      </c>
      <c r="AH94" s="394">
        <v>40724</v>
      </c>
      <c r="AI94" s="4">
        <f t="shared" si="31"/>
        <v>4.1750000000000007</v>
      </c>
      <c r="AJ94" s="4">
        <v>4.2300000000000004</v>
      </c>
      <c r="AK94" s="4">
        <v>4.12</v>
      </c>
      <c r="AM94" s="4">
        <f t="shared" si="32"/>
        <v>2015</v>
      </c>
      <c r="AN94" s="337">
        <v>42125</v>
      </c>
      <c r="AO94" s="4">
        <f t="shared" si="33"/>
        <v>9.3040395499999988</v>
      </c>
      <c r="AP94" s="4">
        <v>9.3986939899999999</v>
      </c>
      <c r="AQ94" s="4">
        <v>9.2093851099999995</v>
      </c>
    </row>
    <row r="95" spans="16:43">
      <c r="P95" s="4">
        <f t="shared" si="34"/>
        <v>2012</v>
      </c>
      <c r="Q95" s="396">
        <f t="shared" si="25"/>
        <v>41153</v>
      </c>
      <c r="R95" s="136">
        <v>67.16</v>
      </c>
      <c r="S95" s="136">
        <v>52.98</v>
      </c>
      <c r="T95" s="338">
        <f t="shared" si="38"/>
        <v>61.062599999999989</v>
      </c>
      <c r="U95" s="324">
        <v>384</v>
      </c>
      <c r="V95" s="324">
        <v>336</v>
      </c>
      <c r="W95" s="324">
        <f t="shared" si="35"/>
        <v>0.53333333333333333</v>
      </c>
      <c r="X95" s="324">
        <f t="shared" si="36"/>
        <v>0.46666666666666667</v>
      </c>
      <c r="AB95" s="4">
        <f t="shared" si="39"/>
        <v>2012</v>
      </c>
      <c r="AC95" s="394">
        <f t="shared" si="40"/>
        <v>41153</v>
      </c>
      <c r="AD95" s="135">
        <f t="shared" si="37"/>
        <v>5.9828753296628605</v>
      </c>
      <c r="AE95" s="136">
        <v>5.9828753296628605</v>
      </c>
      <c r="AG95" s="4">
        <f t="shared" si="30"/>
        <v>2011</v>
      </c>
      <c r="AH95" s="394">
        <v>40755</v>
      </c>
      <c r="AI95" s="4">
        <f t="shared" si="31"/>
        <v>4.2349999999999994</v>
      </c>
      <c r="AJ95" s="4">
        <v>4.29</v>
      </c>
      <c r="AK95" s="4">
        <v>4.18</v>
      </c>
      <c r="AM95" s="4">
        <f t="shared" si="32"/>
        <v>2015</v>
      </c>
      <c r="AN95" s="337">
        <v>42156</v>
      </c>
      <c r="AO95" s="4">
        <f t="shared" si="33"/>
        <v>9.4039298100000011</v>
      </c>
      <c r="AP95" s="4">
        <v>9.4979287100000001</v>
      </c>
      <c r="AQ95" s="4">
        <v>9.3099309100000003</v>
      </c>
    </row>
    <row r="96" spans="16:43">
      <c r="P96" s="4">
        <f t="shared" si="34"/>
        <v>2012</v>
      </c>
      <c r="Q96" s="396">
        <f t="shared" si="25"/>
        <v>41183</v>
      </c>
      <c r="R96" s="136">
        <v>49.702500000000001</v>
      </c>
      <c r="S96" s="136">
        <v>42.821249999999999</v>
      </c>
      <c r="T96" s="338">
        <f t="shared" si="38"/>
        <v>46.743562499999996</v>
      </c>
      <c r="U96" s="324">
        <v>432</v>
      </c>
      <c r="V96" s="324">
        <v>312</v>
      </c>
      <c r="W96" s="324">
        <f t="shared" si="35"/>
        <v>0.58064516129032262</v>
      </c>
      <c r="X96" s="324">
        <f t="shared" si="36"/>
        <v>0.41935483870967744</v>
      </c>
      <c r="AB96" s="4">
        <f t="shared" si="39"/>
        <v>2012</v>
      </c>
      <c r="AC96" s="394">
        <f t="shared" si="40"/>
        <v>41183</v>
      </c>
      <c r="AD96" s="135">
        <f t="shared" si="37"/>
        <v>6.4428454798803694</v>
      </c>
      <c r="AE96" s="136">
        <v>6.4428454798803694</v>
      </c>
      <c r="AG96" s="4">
        <f t="shared" si="30"/>
        <v>2011</v>
      </c>
      <c r="AH96" s="394">
        <v>40786</v>
      </c>
      <c r="AI96" s="4">
        <f t="shared" si="31"/>
        <v>4.2349999999999994</v>
      </c>
      <c r="AJ96" s="4">
        <v>4.29</v>
      </c>
      <c r="AK96" s="4">
        <v>4.18</v>
      </c>
      <c r="AM96" s="4">
        <f t="shared" si="32"/>
        <v>2015</v>
      </c>
      <c r="AN96" s="337">
        <v>42186</v>
      </c>
      <c r="AO96" s="4">
        <f t="shared" si="33"/>
        <v>9.5088200649999983</v>
      </c>
      <c r="AP96" s="4">
        <v>9.6021634299999992</v>
      </c>
      <c r="AQ96" s="4">
        <v>9.4154766999999993</v>
      </c>
    </row>
    <row r="97" spans="16:43">
      <c r="P97" s="4">
        <f t="shared" si="34"/>
        <v>2012</v>
      </c>
      <c r="Q97" s="396">
        <f t="shared" si="25"/>
        <v>41214</v>
      </c>
      <c r="R97" s="136">
        <v>57.952500000000001</v>
      </c>
      <c r="S97" s="136">
        <v>49.722499999999997</v>
      </c>
      <c r="T97" s="338">
        <f t="shared" si="38"/>
        <v>54.413599999999995</v>
      </c>
      <c r="U97" s="324">
        <v>400</v>
      </c>
      <c r="V97" s="324">
        <v>320</v>
      </c>
      <c r="W97" s="324">
        <f t="shared" si="35"/>
        <v>0.55555555555555558</v>
      </c>
      <c r="X97" s="324">
        <f t="shared" si="36"/>
        <v>0.44444444444444442</v>
      </c>
      <c r="AB97" s="4">
        <f t="shared" si="39"/>
        <v>2012</v>
      </c>
      <c r="AC97" s="394">
        <f t="shared" si="40"/>
        <v>41214</v>
      </c>
      <c r="AD97" s="135">
        <f t="shared" si="37"/>
        <v>6.8829452045948889</v>
      </c>
      <c r="AE97" s="136">
        <v>6.8829452045948889</v>
      </c>
      <c r="AG97" s="4">
        <f t="shared" si="30"/>
        <v>2011</v>
      </c>
      <c r="AH97" s="394">
        <v>40816</v>
      </c>
      <c r="AI97" s="4">
        <f t="shared" si="31"/>
        <v>4.2349999999999994</v>
      </c>
      <c r="AJ97" s="4">
        <v>4.29</v>
      </c>
      <c r="AK97" s="4">
        <v>4.18</v>
      </c>
      <c r="AM97" s="4">
        <f t="shared" si="32"/>
        <v>2015</v>
      </c>
      <c r="AN97" s="337">
        <v>42217</v>
      </c>
      <c r="AO97" s="4">
        <f t="shared" si="33"/>
        <v>8.19</v>
      </c>
      <c r="AP97" s="4">
        <v>8.2899999999999991</v>
      </c>
      <c r="AQ97" s="4">
        <v>8.09</v>
      </c>
    </row>
    <row r="98" spans="16:43">
      <c r="P98" s="4">
        <f t="shared" si="34"/>
        <v>2012</v>
      </c>
      <c r="Q98" s="396">
        <f t="shared" si="25"/>
        <v>41244</v>
      </c>
      <c r="R98" s="136">
        <v>66.015000000000001</v>
      </c>
      <c r="S98" s="136">
        <v>55.926250000000003</v>
      </c>
      <c r="T98" s="338">
        <f t="shared" si="38"/>
        <v>61.676837499999998</v>
      </c>
      <c r="U98" s="324">
        <v>400</v>
      </c>
      <c r="V98" s="324">
        <v>344</v>
      </c>
      <c r="W98" s="324">
        <f t="shared" si="35"/>
        <v>0.5376344086021505</v>
      </c>
      <c r="X98" s="324">
        <f t="shared" si="36"/>
        <v>0.46236559139784944</v>
      </c>
      <c r="AB98" s="4">
        <f t="shared" si="39"/>
        <v>2012</v>
      </c>
      <c r="AC98" s="394">
        <f t="shared" si="40"/>
        <v>41244</v>
      </c>
      <c r="AD98" s="135">
        <f t="shared" si="37"/>
        <v>7.4299563213703097</v>
      </c>
      <c r="AE98" s="136">
        <v>7.4299563213703097</v>
      </c>
      <c r="AG98" s="4">
        <f t="shared" si="30"/>
        <v>2011</v>
      </c>
      <c r="AH98" s="394">
        <v>40847</v>
      </c>
      <c r="AI98" s="4">
        <f t="shared" si="31"/>
        <v>4.4000000000000004</v>
      </c>
      <c r="AJ98" s="4">
        <v>4.42</v>
      </c>
      <c r="AK98" s="4">
        <v>4.38</v>
      </c>
      <c r="AM98" s="4">
        <f t="shared" si="32"/>
        <v>2015</v>
      </c>
      <c r="AN98" s="337">
        <v>42248</v>
      </c>
      <c r="AO98" s="4">
        <f t="shared" si="33"/>
        <v>8.19</v>
      </c>
      <c r="AP98" s="4">
        <v>8.2899999999999991</v>
      </c>
      <c r="AQ98" s="4">
        <v>8.09</v>
      </c>
    </row>
    <row r="99" spans="16:43">
      <c r="P99" s="4">
        <f t="shared" si="34"/>
        <v>2013</v>
      </c>
      <c r="Q99" s="396">
        <f t="shared" si="25"/>
        <v>41275</v>
      </c>
      <c r="R99" s="136">
        <v>66.114999999999995</v>
      </c>
      <c r="S99" s="136">
        <v>56.647500000000001</v>
      </c>
      <c r="T99" s="338">
        <f t="shared" si="38"/>
        <v>62.043974999999989</v>
      </c>
      <c r="U99" s="324">
        <v>416</v>
      </c>
      <c r="V99" s="324">
        <v>328</v>
      </c>
      <c r="W99" s="324">
        <f t="shared" si="35"/>
        <v>0.55913978494623651</v>
      </c>
      <c r="X99" s="324">
        <f t="shared" si="36"/>
        <v>0.44086021505376344</v>
      </c>
      <c r="AB99" s="4">
        <f t="shared" si="39"/>
        <v>2013</v>
      </c>
      <c r="AC99" s="394">
        <f t="shared" si="40"/>
        <v>41275</v>
      </c>
      <c r="AD99" s="135">
        <f t="shared" si="37"/>
        <v>8.1114161976617716</v>
      </c>
      <c r="AE99" s="136">
        <v>8.1114161976617716</v>
      </c>
      <c r="AG99" s="4">
        <f t="shared" si="30"/>
        <v>2011</v>
      </c>
      <c r="AH99" s="394">
        <v>40877</v>
      </c>
      <c r="AI99" s="4">
        <f t="shared" si="31"/>
        <v>4.4600000000000009</v>
      </c>
      <c r="AJ99" s="4">
        <v>4.4800000000000004</v>
      </c>
      <c r="AK99" s="4">
        <v>4.4400000000000004</v>
      </c>
      <c r="AM99" s="4">
        <f t="shared" si="32"/>
        <v>2015</v>
      </c>
      <c r="AN99" s="337">
        <v>42278</v>
      </c>
      <c r="AO99" s="4">
        <f t="shared" si="33"/>
        <v>8.504999999999999</v>
      </c>
      <c r="AP99" s="4">
        <v>8.5399999999999991</v>
      </c>
      <c r="AQ99" s="4">
        <v>8.4700000000000006</v>
      </c>
    </row>
    <row r="100" spans="16:43">
      <c r="P100" s="4">
        <f t="shared" si="34"/>
        <v>2013</v>
      </c>
      <c r="Q100" s="396">
        <f t="shared" si="25"/>
        <v>41306</v>
      </c>
      <c r="R100" s="136">
        <v>61.475000000000001</v>
      </c>
      <c r="S100" s="136">
        <v>54.182499999999997</v>
      </c>
      <c r="T100" s="338">
        <f t="shared" si="38"/>
        <v>58.339224999999999</v>
      </c>
      <c r="U100" s="324">
        <v>384</v>
      </c>
      <c r="V100" s="324">
        <v>288</v>
      </c>
      <c r="W100" s="324">
        <f t="shared" si="35"/>
        <v>0.5714285714285714</v>
      </c>
      <c r="X100" s="324">
        <f t="shared" si="36"/>
        <v>0.42857142857142855</v>
      </c>
      <c r="AB100" s="4">
        <f t="shared" si="39"/>
        <v>2013</v>
      </c>
      <c r="AC100" s="394">
        <f t="shared" si="40"/>
        <v>41306</v>
      </c>
      <c r="AD100" s="135">
        <f t="shared" si="37"/>
        <v>7.8763891007340963</v>
      </c>
      <c r="AE100" s="136">
        <v>7.8763891007340963</v>
      </c>
      <c r="AG100" s="4">
        <f t="shared" si="30"/>
        <v>2011</v>
      </c>
      <c r="AH100" s="394">
        <v>40908</v>
      </c>
      <c r="AI100" s="4">
        <f t="shared" si="31"/>
        <v>4.6850000000000005</v>
      </c>
      <c r="AJ100" s="4">
        <v>4.67</v>
      </c>
      <c r="AK100" s="4">
        <v>4.7</v>
      </c>
      <c r="AM100" s="4">
        <f t="shared" si="32"/>
        <v>2015</v>
      </c>
      <c r="AN100" s="337">
        <v>42309</v>
      </c>
      <c r="AO100" s="4">
        <f t="shared" si="33"/>
        <v>8.625</v>
      </c>
      <c r="AP100" s="4">
        <v>8.66</v>
      </c>
      <c r="AQ100" s="4">
        <v>8.59</v>
      </c>
    </row>
    <row r="101" spans="16:43">
      <c r="P101" s="4">
        <f t="shared" si="34"/>
        <v>2013</v>
      </c>
      <c r="Q101" s="396">
        <f t="shared" si="25"/>
        <v>41334</v>
      </c>
      <c r="R101" s="136">
        <v>55.774999999999999</v>
      </c>
      <c r="S101" s="136">
        <v>50.08</v>
      </c>
      <c r="T101" s="338">
        <f t="shared" si="38"/>
        <v>53.326149999999998</v>
      </c>
      <c r="U101" s="324">
        <v>416</v>
      </c>
      <c r="V101" s="324">
        <v>328</v>
      </c>
      <c r="W101" s="324">
        <f t="shared" si="35"/>
        <v>0.55913978494623651</v>
      </c>
      <c r="X101" s="324">
        <f t="shared" si="36"/>
        <v>0.44086021505376344</v>
      </c>
      <c r="AB101" s="4">
        <f t="shared" si="39"/>
        <v>2013</v>
      </c>
      <c r="AC101" s="394">
        <f t="shared" si="40"/>
        <v>41334</v>
      </c>
      <c r="AD101" s="135">
        <f t="shared" si="37"/>
        <v>7.5395614634312125</v>
      </c>
      <c r="AE101" s="136">
        <v>7.5395614634312125</v>
      </c>
      <c r="AG101" s="4">
        <f t="shared" si="30"/>
        <v>2012</v>
      </c>
      <c r="AH101" s="394">
        <v>40939</v>
      </c>
      <c r="AI101" s="4">
        <f t="shared" si="31"/>
        <v>5.08</v>
      </c>
      <c r="AJ101" s="4">
        <v>5.03</v>
      </c>
      <c r="AK101" s="4">
        <v>5.13</v>
      </c>
      <c r="AM101" s="4">
        <f t="shared" si="32"/>
        <v>2015</v>
      </c>
      <c r="AN101" s="337">
        <v>42339</v>
      </c>
      <c r="AO101" s="4">
        <f t="shared" si="33"/>
        <v>9.0599999999999987</v>
      </c>
      <c r="AP101" s="4">
        <v>9.0299999999999994</v>
      </c>
      <c r="AQ101" s="4">
        <v>9.09</v>
      </c>
    </row>
    <row r="102" spans="16:43">
      <c r="P102" s="4">
        <f t="shared" si="34"/>
        <v>2013</v>
      </c>
      <c r="Q102" s="396">
        <f t="shared" si="25"/>
        <v>41365</v>
      </c>
      <c r="R102" s="136">
        <v>45.164999999999999</v>
      </c>
      <c r="S102" s="136">
        <v>37.585000000000001</v>
      </c>
      <c r="T102" s="338">
        <f t="shared" si="38"/>
        <v>41.9056</v>
      </c>
      <c r="U102" s="324">
        <v>416</v>
      </c>
      <c r="V102" s="324">
        <v>304</v>
      </c>
      <c r="W102" s="324">
        <f t="shared" si="35"/>
        <v>0.57777777777777772</v>
      </c>
      <c r="X102" s="324">
        <f t="shared" si="36"/>
        <v>0.42222222222222222</v>
      </c>
      <c r="AB102" s="4">
        <f t="shared" si="39"/>
        <v>2013</v>
      </c>
      <c r="AC102" s="394">
        <f t="shared" si="40"/>
        <v>41365</v>
      </c>
      <c r="AD102" s="135">
        <f t="shared" si="37"/>
        <v>6.1602972301522581</v>
      </c>
      <c r="AE102" s="136">
        <v>6.1602972301522581</v>
      </c>
      <c r="AG102" s="4">
        <f t="shared" si="30"/>
        <v>2012</v>
      </c>
      <c r="AH102" s="394">
        <v>40968</v>
      </c>
      <c r="AI102" s="4">
        <f t="shared" si="31"/>
        <v>4.7249999999999996</v>
      </c>
      <c r="AJ102" s="4">
        <v>4.71</v>
      </c>
      <c r="AK102" s="4">
        <v>4.74</v>
      </c>
      <c r="AM102" s="4">
        <f t="shared" si="32"/>
        <v>2016</v>
      </c>
      <c r="AN102" s="337">
        <v>42370</v>
      </c>
      <c r="AO102" s="4">
        <f t="shared" si="33"/>
        <v>10.254999999999999</v>
      </c>
      <c r="AP102" s="4">
        <v>10.15</v>
      </c>
      <c r="AQ102" s="4">
        <v>10.36</v>
      </c>
    </row>
    <row r="103" spans="16:43">
      <c r="P103" s="4">
        <f t="shared" si="34"/>
        <v>2013</v>
      </c>
      <c r="Q103" s="396">
        <f t="shared" si="25"/>
        <v>41395</v>
      </c>
      <c r="R103" s="136">
        <v>39.47</v>
      </c>
      <c r="S103" s="136">
        <v>29.31</v>
      </c>
      <c r="T103" s="338">
        <f t="shared" si="38"/>
        <v>35.101199999999999</v>
      </c>
      <c r="U103" s="324">
        <v>416</v>
      </c>
      <c r="V103" s="324">
        <v>328</v>
      </c>
      <c r="W103" s="324">
        <f t="shared" si="35"/>
        <v>0.55913978494623651</v>
      </c>
      <c r="X103" s="324">
        <f t="shared" si="36"/>
        <v>0.44086021505376344</v>
      </c>
      <c r="AB103" s="4">
        <f t="shared" si="39"/>
        <v>2013</v>
      </c>
      <c r="AC103" s="394">
        <f t="shared" si="40"/>
        <v>41395</v>
      </c>
      <c r="AD103" s="135">
        <f t="shared" si="37"/>
        <v>6.0300024571778135</v>
      </c>
      <c r="AE103" s="136">
        <v>6.0300024571778135</v>
      </c>
      <c r="AG103" s="4">
        <f t="shared" si="30"/>
        <v>2012</v>
      </c>
      <c r="AH103" s="394">
        <v>40999</v>
      </c>
      <c r="AI103" s="4">
        <f t="shared" si="31"/>
        <v>4.43</v>
      </c>
      <c r="AJ103" s="4">
        <v>4.45</v>
      </c>
      <c r="AK103" s="4">
        <v>4.41</v>
      </c>
      <c r="AM103" s="4">
        <f t="shared" si="32"/>
        <v>2016</v>
      </c>
      <c r="AN103" s="337">
        <v>42401</v>
      </c>
      <c r="AO103" s="4">
        <f t="shared" si="33"/>
        <v>9.5399999999999991</v>
      </c>
      <c r="AP103" s="4">
        <v>9.51</v>
      </c>
      <c r="AQ103" s="4">
        <v>9.57</v>
      </c>
    </row>
    <row r="104" spans="16:43">
      <c r="P104" s="4">
        <f t="shared" si="34"/>
        <v>2013</v>
      </c>
      <c r="Q104" s="396">
        <f t="shared" ref="Q104:Q167" si="41">EOMONTH(Q103,0)+1</f>
        <v>41426</v>
      </c>
      <c r="R104" s="136">
        <v>38.975000000000001</v>
      </c>
      <c r="S104" s="136">
        <v>28.164999999999999</v>
      </c>
      <c r="T104" s="338">
        <f t="shared" si="38"/>
        <v>34.326700000000002</v>
      </c>
      <c r="U104" s="324">
        <v>400</v>
      </c>
      <c r="V104" s="324">
        <v>320</v>
      </c>
      <c r="W104" s="324">
        <f t="shared" si="35"/>
        <v>0.55555555555555558</v>
      </c>
      <c r="X104" s="324">
        <f t="shared" si="36"/>
        <v>0.44444444444444442</v>
      </c>
      <c r="AB104" s="4">
        <f t="shared" si="39"/>
        <v>2013</v>
      </c>
      <c r="AC104" s="394">
        <f t="shared" si="40"/>
        <v>41426</v>
      </c>
      <c r="AD104" s="135">
        <f t="shared" si="37"/>
        <v>6.1262401542958136</v>
      </c>
      <c r="AE104" s="136">
        <v>6.1262401542958136</v>
      </c>
      <c r="AG104" s="4">
        <f t="shared" si="30"/>
        <v>2012</v>
      </c>
      <c r="AH104" s="394">
        <v>41029</v>
      </c>
      <c r="AI104" s="4">
        <f t="shared" si="31"/>
        <v>4.1449999999999996</v>
      </c>
      <c r="AJ104" s="4">
        <v>4.2</v>
      </c>
      <c r="AK104" s="4">
        <v>4.09</v>
      </c>
      <c r="AM104" s="4">
        <f t="shared" si="32"/>
        <v>2016</v>
      </c>
      <c r="AN104" s="337">
        <v>42430</v>
      </c>
      <c r="AO104" s="4">
        <f t="shared" si="33"/>
        <v>8.9499999999999993</v>
      </c>
      <c r="AP104" s="4">
        <v>8.99</v>
      </c>
      <c r="AQ104" s="4">
        <v>8.91</v>
      </c>
    </row>
    <row r="105" spans="16:43">
      <c r="P105" s="4">
        <f t="shared" si="34"/>
        <v>2013</v>
      </c>
      <c r="Q105" s="396">
        <f t="shared" si="41"/>
        <v>41456</v>
      </c>
      <c r="R105" s="136">
        <v>54.77</v>
      </c>
      <c r="S105" s="136">
        <v>44.465000000000003</v>
      </c>
      <c r="T105" s="338">
        <f t="shared" si="38"/>
        <v>50.338850000000001</v>
      </c>
      <c r="U105" s="324">
        <v>416</v>
      </c>
      <c r="V105" s="324">
        <v>328</v>
      </c>
      <c r="W105" s="324">
        <f t="shared" si="35"/>
        <v>0.55913978494623651</v>
      </c>
      <c r="X105" s="324">
        <f t="shared" si="36"/>
        <v>0.44086021505376344</v>
      </c>
      <c r="AB105" s="4">
        <f t="shared" si="39"/>
        <v>2013</v>
      </c>
      <c r="AC105" s="394">
        <f t="shared" si="40"/>
        <v>41456</v>
      </c>
      <c r="AD105" s="135">
        <f t="shared" si="37"/>
        <v>6.2436188961392061</v>
      </c>
      <c r="AE105" s="136">
        <v>6.2436188961392061</v>
      </c>
      <c r="AG105" s="4">
        <f t="shared" si="30"/>
        <v>2012</v>
      </c>
      <c r="AH105" s="394">
        <v>41060</v>
      </c>
      <c r="AI105" s="4">
        <f t="shared" si="31"/>
        <v>4.1449999999999996</v>
      </c>
      <c r="AJ105" s="4">
        <v>4.2</v>
      </c>
      <c r="AK105" s="4">
        <v>4.09</v>
      </c>
      <c r="AM105" s="4">
        <f t="shared" si="32"/>
        <v>2016</v>
      </c>
      <c r="AN105" s="337">
        <v>42461</v>
      </c>
      <c r="AO105" s="4">
        <f t="shared" si="33"/>
        <v>8.370000000000001</v>
      </c>
      <c r="AP105" s="4">
        <v>8.48</v>
      </c>
      <c r="AQ105" s="4">
        <v>8.26</v>
      </c>
    </row>
    <row r="106" spans="16:43">
      <c r="P106" s="4">
        <f t="shared" si="34"/>
        <v>2013</v>
      </c>
      <c r="Q106" s="396">
        <f t="shared" si="41"/>
        <v>41487</v>
      </c>
      <c r="R106" s="136">
        <v>62.41</v>
      </c>
      <c r="S106" s="136">
        <v>50.564999999999998</v>
      </c>
      <c r="T106" s="338">
        <f t="shared" si="38"/>
        <v>57.316649999999996</v>
      </c>
      <c r="U106" s="324">
        <v>432</v>
      </c>
      <c r="V106" s="324">
        <v>312</v>
      </c>
      <c r="W106" s="324">
        <f t="shared" si="35"/>
        <v>0.58064516129032262</v>
      </c>
      <c r="X106" s="324">
        <f t="shared" si="36"/>
        <v>0.41935483870967744</v>
      </c>
      <c r="AB106" s="4">
        <f t="shared" si="39"/>
        <v>2013</v>
      </c>
      <c r="AC106" s="394">
        <f t="shared" si="40"/>
        <v>41487</v>
      </c>
      <c r="AD106" s="135">
        <f t="shared" si="37"/>
        <v>6.2918971893692222</v>
      </c>
      <c r="AE106" s="136">
        <v>6.2918971893692222</v>
      </c>
      <c r="AG106" s="4">
        <f t="shared" si="30"/>
        <v>2012</v>
      </c>
      <c r="AH106" s="394">
        <v>41090</v>
      </c>
      <c r="AI106" s="4">
        <f t="shared" si="31"/>
        <v>4.2050000000000001</v>
      </c>
      <c r="AJ106" s="4">
        <v>4.26</v>
      </c>
      <c r="AK106" s="4">
        <v>4.1500000000000004</v>
      </c>
      <c r="AM106" s="4">
        <f t="shared" si="32"/>
        <v>2016</v>
      </c>
      <c r="AN106" s="337">
        <v>42491</v>
      </c>
      <c r="AO106" s="4">
        <f t="shared" si="33"/>
        <v>8.370000000000001</v>
      </c>
      <c r="AP106" s="4">
        <v>8.48</v>
      </c>
      <c r="AQ106" s="4">
        <v>8.26</v>
      </c>
    </row>
    <row r="107" spans="16:43">
      <c r="P107" s="4">
        <f t="shared" si="34"/>
        <v>2013</v>
      </c>
      <c r="Q107" s="396">
        <f t="shared" si="41"/>
        <v>41518</v>
      </c>
      <c r="R107" s="136">
        <v>61.34</v>
      </c>
      <c r="S107" s="136">
        <v>48.44</v>
      </c>
      <c r="T107" s="338">
        <f t="shared" si="38"/>
        <v>55.792999999999999</v>
      </c>
      <c r="U107" s="324">
        <v>384</v>
      </c>
      <c r="V107" s="324">
        <v>336</v>
      </c>
      <c r="W107" s="324">
        <f t="shared" si="35"/>
        <v>0.53333333333333333</v>
      </c>
      <c r="X107" s="324">
        <f t="shared" si="36"/>
        <v>0.46666666666666667</v>
      </c>
      <c r="AB107" s="4">
        <f t="shared" si="39"/>
        <v>2013</v>
      </c>
      <c r="AC107" s="394">
        <f t="shared" si="40"/>
        <v>41518</v>
      </c>
      <c r="AD107" s="135">
        <f t="shared" si="37"/>
        <v>6.3305198307504087</v>
      </c>
      <c r="AE107" s="136">
        <v>6.3305198307504087</v>
      </c>
      <c r="AG107" s="4">
        <f t="shared" si="30"/>
        <v>2012</v>
      </c>
      <c r="AH107" s="394">
        <v>41121</v>
      </c>
      <c r="AI107" s="4">
        <f t="shared" si="31"/>
        <v>4.2750000000000004</v>
      </c>
      <c r="AJ107" s="4">
        <v>4.33</v>
      </c>
      <c r="AK107" s="4">
        <v>4.22</v>
      </c>
      <c r="AM107" s="4">
        <f t="shared" si="32"/>
        <v>2016</v>
      </c>
      <c r="AN107" s="337">
        <v>42522</v>
      </c>
      <c r="AO107" s="4">
        <f t="shared" si="33"/>
        <v>8.5</v>
      </c>
      <c r="AP107" s="4">
        <v>8.61</v>
      </c>
      <c r="AQ107" s="4">
        <v>8.39</v>
      </c>
    </row>
    <row r="108" spans="16:43">
      <c r="P108" s="4">
        <f t="shared" si="34"/>
        <v>2013</v>
      </c>
      <c r="Q108" s="396">
        <f t="shared" si="41"/>
        <v>41548</v>
      </c>
      <c r="R108" s="136">
        <v>52.99</v>
      </c>
      <c r="S108" s="136">
        <v>44.39</v>
      </c>
      <c r="T108" s="338">
        <f t="shared" si="38"/>
        <v>49.292000000000002</v>
      </c>
      <c r="U108" s="324">
        <v>432</v>
      </c>
      <c r="V108" s="324">
        <v>312</v>
      </c>
      <c r="W108" s="324">
        <f t="shared" si="35"/>
        <v>0.58064516129032262</v>
      </c>
      <c r="X108" s="324">
        <f t="shared" si="36"/>
        <v>0.41935483870967744</v>
      </c>
      <c r="AB108" s="4">
        <f t="shared" si="39"/>
        <v>2013</v>
      </c>
      <c r="AC108" s="394">
        <f t="shared" si="40"/>
        <v>41548</v>
      </c>
      <c r="AD108" s="135">
        <f t="shared" si="37"/>
        <v>6.4159434475258292</v>
      </c>
      <c r="AE108" s="136">
        <v>6.4159434475258292</v>
      </c>
      <c r="AG108" s="4">
        <f t="shared" si="30"/>
        <v>2012</v>
      </c>
      <c r="AH108" s="394">
        <v>41152</v>
      </c>
      <c r="AI108" s="4">
        <f t="shared" si="31"/>
        <v>4.2750000000000004</v>
      </c>
      <c r="AJ108" s="4">
        <v>4.33</v>
      </c>
      <c r="AK108" s="4">
        <v>4.22</v>
      </c>
      <c r="AM108" s="4">
        <f t="shared" si="32"/>
        <v>2016</v>
      </c>
      <c r="AN108" s="337">
        <v>42552</v>
      </c>
      <c r="AO108" s="4">
        <f t="shared" si="33"/>
        <v>8.629999999999999</v>
      </c>
      <c r="AP108" s="4">
        <v>8.74</v>
      </c>
      <c r="AQ108" s="4">
        <v>8.52</v>
      </c>
    </row>
    <row r="109" spans="16:43">
      <c r="P109" s="4">
        <f t="shared" si="34"/>
        <v>2013</v>
      </c>
      <c r="Q109" s="396">
        <f t="shared" si="41"/>
        <v>41579</v>
      </c>
      <c r="R109" s="136">
        <v>56.62</v>
      </c>
      <c r="S109" s="136">
        <v>48.93</v>
      </c>
      <c r="T109" s="338">
        <f t="shared" si="38"/>
        <v>53.313299999999998</v>
      </c>
      <c r="U109" s="324">
        <v>400</v>
      </c>
      <c r="V109" s="324">
        <v>320</v>
      </c>
      <c r="W109" s="324">
        <f t="shared" si="35"/>
        <v>0.55555555555555558</v>
      </c>
      <c r="X109" s="324">
        <f t="shared" si="36"/>
        <v>0.44444444444444442</v>
      </c>
      <c r="AB109" s="4">
        <f t="shared" si="39"/>
        <v>2013</v>
      </c>
      <c r="AC109" s="394">
        <f t="shared" si="40"/>
        <v>41579</v>
      </c>
      <c r="AD109" s="135">
        <f t="shared" si="37"/>
        <v>6.5111038607939093</v>
      </c>
      <c r="AE109" s="136">
        <v>6.5111038607939093</v>
      </c>
      <c r="AG109" s="4">
        <f t="shared" si="30"/>
        <v>2012</v>
      </c>
      <c r="AH109" s="394">
        <v>41182</v>
      </c>
      <c r="AI109" s="4">
        <f t="shared" si="31"/>
        <v>4.2750000000000004</v>
      </c>
      <c r="AJ109" s="4">
        <v>4.33</v>
      </c>
      <c r="AK109" s="4">
        <v>4.22</v>
      </c>
      <c r="AM109" s="4">
        <f t="shared" si="32"/>
        <v>2016</v>
      </c>
      <c r="AN109" s="337">
        <v>42583</v>
      </c>
      <c r="AO109" s="4">
        <f t="shared" si="33"/>
        <v>8.629999999999999</v>
      </c>
      <c r="AP109" s="4">
        <v>8.74</v>
      </c>
      <c r="AQ109" s="4">
        <v>8.52</v>
      </c>
    </row>
    <row r="110" spans="16:43">
      <c r="P110" s="4">
        <f t="shared" si="34"/>
        <v>2013</v>
      </c>
      <c r="Q110" s="396">
        <f t="shared" si="41"/>
        <v>41609</v>
      </c>
      <c r="R110" s="136">
        <v>57.73</v>
      </c>
      <c r="S110" s="136">
        <v>48.37</v>
      </c>
      <c r="T110" s="338">
        <f t="shared" si="38"/>
        <v>53.705199999999991</v>
      </c>
      <c r="U110" s="324">
        <v>400</v>
      </c>
      <c r="V110" s="324">
        <v>344</v>
      </c>
      <c r="W110" s="324">
        <f t="shared" si="35"/>
        <v>0.5376344086021505</v>
      </c>
      <c r="X110" s="324">
        <f t="shared" si="36"/>
        <v>0.46236559139784944</v>
      </c>
      <c r="AB110" s="4">
        <f t="shared" si="39"/>
        <v>2013</v>
      </c>
      <c r="AC110" s="394">
        <f t="shared" si="40"/>
        <v>41609</v>
      </c>
      <c r="AD110" s="135">
        <f t="shared" si="37"/>
        <v>6.8169766177270263</v>
      </c>
      <c r="AE110" s="136">
        <v>6.8169766177270263</v>
      </c>
      <c r="AG110" s="4">
        <f t="shared" si="30"/>
        <v>2012</v>
      </c>
      <c r="AH110" s="394">
        <v>41213</v>
      </c>
      <c r="AI110" s="4">
        <f t="shared" si="31"/>
        <v>4.43</v>
      </c>
      <c r="AJ110" s="4">
        <v>4.45</v>
      </c>
      <c r="AK110" s="4">
        <v>4.41</v>
      </c>
      <c r="AM110" s="4">
        <f t="shared" si="32"/>
        <v>2016</v>
      </c>
      <c r="AN110" s="337">
        <v>42614</v>
      </c>
      <c r="AO110" s="4">
        <f t="shared" si="33"/>
        <v>8.629999999999999</v>
      </c>
      <c r="AP110" s="4">
        <v>8.74</v>
      </c>
      <c r="AQ110" s="4">
        <v>8.52</v>
      </c>
    </row>
    <row r="111" spans="16:43">
      <c r="P111" s="4">
        <f t="shared" si="34"/>
        <v>2014</v>
      </c>
      <c r="Q111" s="396">
        <f t="shared" si="41"/>
        <v>41640</v>
      </c>
      <c r="R111" s="136">
        <v>60.83</v>
      </c>
      <c r="S111" s="136">
        <v>48.29</v>
      </c>
      <c r="T111" s="338">
        <f t="shared" si="38"/>
        <v>55.437799999999996</v>
      </c>
      <c r="U111" s="324">
        <v>416</v>
      </c>
      <c r="V111" s="324">
        <v>328</v>
      </c>
      <c r="W111" s="324">
        <f t="shared" si="35"/>
        <v>0.55913978494623651</v>
      </c>
      <c r="X111" s="324">
        <f t="shared" si="36"/>
        <v>0.44086021505376344</v>
      </c>
      <c r="AB111" s="4">
        <f t="shared" si="39"/>
        <v>2014</v>
      </c>
      <c r="AC111" s="394">
        <f t="shared" si="40"/>
        <v>41640</v>
      </c>
      <c r="AD111" s="135">
        <f t="shared" si="37"/>
        <v>7.8229581294181623</v>
      </c>
      <c r="AE111" s="136">
        <v>7.8229581294181623</v>
      </c>
      <c r="AG111" s="4">
        <f t="shared" si="30"/>
        <v>2012</v>
      </c>
      <c r="AH111" s="394">
        <v>41243</v>
      </c>
      <c r="AI111" s="4">
        <f t="shared" si="31"/>
        <v>4.5</v>
      </c>
      <c r="AJ111" s="4">
        <v>4.5199999999999996</v>
      </c>
      <c r="AK111" s="4">
        <v>4.4800000000000004</v>
      </c>
      <c r="AM111" s="4">
        <f t="shared" si="32"/>
        <v>2016</v>
      </c>
      <c r="AN111" s="337">
        <v>42644</v>
      </c>
      <c r="AO111" s="4">
        <f t="shared" si="33"/>
        <v>8.9499999999999993</v>
      </c>
      <c r="AP111" s="4">
        <v>8.99</v>
      </c>
      <c r="AQ111" s="4">
        <v>8.91</v>
      </c>
    </row>
    <row r="112" spans="16:43">
      <c r="P112" s="4">
        <f t="shared" si="34"/>
        <v>2014</v>
      </c>
      <c r="Q112" s="396">
        <f t="shared" si="41"/>
        <v>41671</v>
      </c>
      <c r="R112" s="136">
        <v>56.35</v>
      </c>
      <c r="S112" s="136">
        <v>46.22</v>
      </c>
      <c r="T112" s="338">
        <f t="shared" si="38"/>
        <v>51.994099999999996</v>
      </c>
      <c r="U112" s="324">
        <v>384</v>
      </c>
      <c r="V112" s="324">
        <v>288</v>
      </c>
      <c r="W112" s="324">
        <f t="shared" si="35"/>
        <v>0.5714285714285714</v>
      </c>
      <c r="X112" s="324">
        <f t="shared" si="36"/>
        <v>0.42857142857142855</v>
      </c>
      <c r="AB112" s="4">
        <f t="shared" si="39"/>
        <v>2014</v>
      </c>
      <c r="AC112" s="394">
        <f t="shared" si="40"/>
        <v>41671</v>
      </c>
      <c r="AD112" s="135">
        <f t="shared" si="37"/>
        <v>7.3505546492659057</v>
      </c>
      <c r="AE112" s="136">
        <v>7.3505546492659057</v>
      </c>
      <c r="AG112" s="4">
        <f t="shared" si="30"/>
        <v>2012</v>
      </c>
      <c r="AH112" s="394">
        <v>41274</v>
      </c>
      <c r="AI112" s="4">
        <f t="shared" si="31"/>
        <v>4.7249999999999996</v>
      </c>
      <c r="AJ112" s="4">
        <v>4.71</v>
      </c>
      <c r="AK112" s="4">
        <v>4.74</v>
      </c>
      <c r="AM112" s="4">
        <f t="shared" si="32"/>
        <v>2016</v>
      </c>
      <c r="AN112" s="337">
        <v>42675</v>
      </c>
      <c r="AO112" s="4">
        <f t="shared" si="33"/>
        <v>9.0850000000000009</v>
      </c>
      <c r="AP112" s="4">
        <v>9.1199999999999992</v>
      </c>
      <c r="AQ112" s="4">
        <v>9.0500000000000007</v>
      </c>
    </row>
    <row r="113" spans="16:43">
      <c r="P113" s="4">
        <f t="shared" si="34"/>
        <v>2014</v>
      </c>
      <c r="Q113" s="396">
        <f t="shared" si="41"/>
        <v>41699</v>
      </c>
      <c r="R113" s="136">
        <v>53.75</v>
      </c>
      <c r="S113" s="136">
        <v>47.31</v>
      </c>
      <c r="T113" s="338">
        <f t="shared" si="38"/>
        <v>50.980799999999995</v>
      </c>
      <c r="U113" s="324">
        <v>416</v>
      </c>
      <c r="V113" s="324">
        <v>328</v>
      </c>
      <c r="W113" s="324">
        <f t="shared" si="35"/>
        <v>0.55913978494623651</v>
      </c>
      <c r="X113" s="324">
        <f t="shared" si="36"/>
        <v>0.44086021505376344</v>
      </c>
      <c r="AB113" s="4">
        <f t="shared" si="39"/>
        <v>2014</v>
      </c>
      <c r="AC113" s="394">
        <f t="shared" si="40"/>
        <v>41699</v>
      </c>
      <c r="AD113" s="135">
        <f t="shared" si="37"/>
        <v>6.9121370309951065</v>
      </c>
      <c r="AE113" s="136">
        <v>6.9121370309951065</v>
      </c>
      <c r="AG113" s="4">
        <f t="shared" si="30"/>
        <v>2013</v>
      </c>
      <c r="AH113" s="394">
        <v>41305</v>
      </c>
      <c r="AI113" s="4">
        <f t="shared" si="31"/>
        <v>5.2249999999999996</v>
      </c>
      <c r="AJ113" s="4">
        <v>5.17</v>
      </c>
      <c r="AK113" s="4">
        <v>5.28</v>
      </c>
      <c r="AM113" s="4">
        <f t="shared" si="32"/>
        <v>2016</v>
      </c>
      <c r="AN113" s="337">
        <v>42705</v>
      </c>
      <c r="AO113" s="4">
        <f t="shared" si="33"/>
        <v>9.5399999999999991</v>
      </c>
      <c r="AP113" s="4">
        <v>9.51</v>
      </c>
      <c r="AQ113" s="4">
        <v>9.57</v>
      </c>
    </row>
    <row r="114" spans="16:43">
      <c r="P114" s="4">
        <f t="shared" si="34"/>
        <v>2014</v>
      </c>
      <c r="Q114" s="396">
        <f t="shared" si="41"/>
        <v>41730</v>
      </c>
      <c r="R114" s="136">
        <v>50.04</v>
      </c>
      <c r="S114" s="136">
        <v>44.97</v>
      </c>
      <c r="T114" s="338">
        <f t="shared" si="38"/>
        <v>47.859899999999996</v>
      </c>
      <c r="U114" s="324">
        <v>416</v>
      </c>
      <c r="V114" s="324">
        <v>304</v>
      </c>
      <c r="W114" s="324">
        <f t="shared" si="35"/>
        <v>0.57777777777777772</v>
      </c>
      <c r="X114" s="324">
        <f t="shared" si="36"/>
        <v>0.42222222222222222</v>
      </c>
      <c r="AB114" s="4">
        <f t="shared" si="39"/>
        <v>2014</v>
      </c>
      <c r="AC114" s="394">
        <f t="shared" si="40"/>
        <v>41730</v>
      </c>
      <c r="AD114" s="135">
        <f t="shared" si="37"/>
        <v>6.5450897226753666</v>
      </c>
      <c r="AE114" s="136">
        <v>6.5450897226753666</v>
      </c>
      <c r="AG114" s="4">
        <f t="shared" si="30"/>
        <v>2013</v>
      </c>
      <c r="AH114" s="394">
        <v>41333</v>
      </c>
      <c r="AI114" s="4">
        <f t="shared" si="31"/>
        <v>4.8650000000000002</v>
      </c>
      <c r="AJ114" s="4">
        <v>4.8499999999999996</v>
      </c>
      <c r="AK114" s="4">
        <v>4.88</v>
      </c>
      <c r="AM114" s="4">
        <f t="shared" si="32"/>
        <v>2017</v>
      </c>
      <c r="AN114" s="337">
        <v>42736</v>
      </c>
      <c r="AO114" s="4">
        <f t="shared" si="33"/>
        <v>11.04</v>
      </c>
      <c r="AP114" s="4">
        <v>10.93</v>
      </c>
      <c r="AQ114" s="4">
        <v>11.15</v>
      </c>
    </row>
    <row r="115" spans="16:43">
      <c r="P115" s="4">
        <f t="shared" si="34"/>
        <v>2014</v>
      </c>
      <c r="Q115" s="396">
        <f t="shared" si="41"/>
        <v>41760</v>
      </c>
      <c r="R115" s="136">
        <v>47.38</v>
      </c>
      <c r="S115" s="136">
        <v>38.15</v>
      </c>
      <c r="T115" s="338">
        <f t="shared" si="38"/>
        <v>43.411099999999998</v>
      </c>
      <c r="U115" s="324">
        <v>416</v>
      </c>
      <c r="V115" s="324">
        <v>328</v>
      </c>
      <c r="W115" s="324">
        <f t="shared" si="35"/>
        <v>0.55913978494623651</v>
      </c>
      <c r="X115" s="324">
        <f t="shared" si="36"/>
        <v>0.44086021505376344</v>
      </c>
      <c r="AB115" s="4">
        <f t="shared" si="39"/>
        <v>2014</v>
      </c>
      <c r="AC115" s="394">
        <f t="shared" si="40"/>
        <v>41760</v>
      </c>
      <c r="AD115" s="135">
        <f t="shared" si="37"/>
        <v>6.477117998912453</v>
      </c>
      <c r="AE115" s="136">
        <v>6.477117998912453</v>
      </c>
      <c r="AG115" s="4">
        <f t="shared" si="30"/>
        <v>2013</v>
      </c>
      <c r="AH115" s="394">
        <v>41364</v>
      </c>
      <c r="AI115" s="4">
        <f t="shared" si="31"/>
        <v>4.5600000000000005</v>
      </c>
      <c r="AJ115" s="4">
        <v>4.58</v>
      </c>
      <c r="AK115" s="4">
        <v>4.54</v>
      </c>
      <c r="AM115" s="4">
        <f t="shared" si="32"/>
        <v>2017</v>
      </c>
      <c r="AN115" s="337">
        <v>42767</v>
      </c>
      <c r="AO115" s="4">
        <f t="shared" si="33"/>
        <v>10.27</v>
      </c>
      <c r="AP115" s="4">
        <v>10.24</v>
      </c>
      <c r="AQ115" s="4">
        <v>10.3</v>
      </c>
    </row>
    <row r="116" spans="16:43">
      <c r="P116" s="4">
        <f t="shared" si="34"/>
        <v>2014</v>
      </c>
      <c r="Q116" s="396">
        <f t="shared" si="41"/>
        <v>41791</v>
      </c>
      <c r="R116" s="136">
        <v>49.3</v>
      </c>
      <c r="S116" s="136">
        <v>37.25</v>
      </c>
      <c r="T116" s="338">
        <f t="shared" si="38"/>
        <v>44.118499999999997</v>
      </c>
      <c r="U116" s="324">
        <v>400</v>
      </c>
      <c r="V116" s="324">
        <v>320</v>
      </c>
      <c r="W116" s="324">
        <f t="shared" si="35"/>
        <v>0.55555555555555558</v>
      </c>
      <c r="X116" s="324">
        <f t="shared" si="36"/>
        <v>0.44444444444444442</v>
      </c>
      <c r="AB116" s="4">
        <f t="shared" si="39"/>
        <v>2014</v>
      </c>
      <c r="AC116" s="394">
        <f t="shared" si="40"/>
        <v>41791</v>
      </c>
      <c r="AD116" s="135">
        <f t="shared" si="37"/>
        <v>6.575676998368678</v>
      </c>
      <c r="AE116" s="136">
        <v>6.575676998368678</v>
      </c>
      <c r="AG116" s="4">
        <f t="shared" si="30"/>
        <v>2013</v>
      </c>
      <c r="AH116" s="394">
        <v>41394</v>
      </c>
      <c r="AI116" s="4">
        <f t="shared" si="31"/>
        <v>4.2650000000000006</v>
      </c>
      <c r="AJ116" s="4">
        <v>4.32</v>
      </c>
      <c r="AK116" s="4">
        <v>4.21</v>
      </c>
      <c r="AM116" s="4">
        <f t="shared" si="32"/>
        <v>2017</v>
      </c>
      <c r="AN116" s="337">
        <v>42795</v>
      </c>
      <c r="AO116" s="4">
        <f t="shared" si="33"/>
        <v>9.6449999999999996</v>
      </c>
      <c r="AP116" s="4">
        <v>9.69</v>
      </c>
      <c r="AQ116" s="4">
        <v>9.6</v>
      </c>
    </row>
    <row r="117" spans="16:43">
      <c r="P117" s="4">
        <f t="shared" si="34"/>
        <v>2014</v>
      </c>
      <c r="Q117" s="396">
        <f t="shared" si="41"/>
        <v>41821</v>
      </c>
      <c r="R117" s="136">
        <v>53.44</v>
      </c>
      <c r="S117" s="136">
        <v>44.63</v>
      </c>
      <c r="T117" s="338">
        <f t="shared" si="38"/>
        <v>49.651699999999991</v>
      </c>
      <c r="U117" s="324">
        <v>416</v>
      </c>
      <c r="V117" s="324">
        <v>328</v>
      </c>
      <c r="W117" s="324">
        <f t="shared" si="35"/>
        <v>0.55913978494623651</v>
      </c>
      <c r="X117" s="324">
        <f t="shared" si="36"/>
        <v>0.44086021505376344</v>
      </c>
      <c r="AB117" s="4">
        <f t="shared" si="39"/>
        <v>2014</v>
      </c>
      <c r="AC117" s="394">
        <f t="shared" si="40"/>
        <v>41821</v>
      </c>
      <c r="AD117" s="135">
        <f t="shared" si="37"/>
        <v>6.6742359978249048</v>
      </c>
      <c r="AE117" s="136">
        <v>6.6742359978249048</v>
      </c>
      <c r="AG117" s="4">
        <f t="shared" si="30"/>
        <v>2013</v>
      </c>
      <c r="AH117" s="394">
        <v>41425</v>
      </c>
      <c r="AI117" s="4">
        <f t="shared" si="31"/>
        <v>4.2650000000000006</v>
      </c>
      <c r="AJ117" s="4">
        <v>4.32</v>
      </c>
      <c r="AK117" s="4">
        <v>4.21</v>
      </c>
      <c r="AM117" s="4">
        <f t="shared" si="32"/>
        <v>2017</v>
      </c>
      <c r="AN117" s="337">
        <v>42826</v>
      </c>
      <c r="AO117" s="4">
        <f t="shared" si="33"/>
        <v>9.0100000000000016</v>
      </c>
      <c r="AP117" s="4">
        <v>9.1300000000000008</v>
      </c>
      <c r="AQ117" s="4">
        <v>8.89</v>
      </c>
    </row>
    <row r="118" spans="16:43">
      <c r="P118" s="4">
        <f t="shared" si="34"/>
        <v>2014</v>
      </c>
      <c r="Q118" s="396">
        <f t="shared" si="41"/>
        <v>41852</v>
      </c>
      <c r="R118" s="136">
        <v>56.08</v>
      </c>
      <c r="S118" s="136">
        <v>46.91</v>
      </c>
      <c r="T118" s="338">
        <f t="shared" si="38"/>
        <v>52.136899999999997</v>
      </c>
      <c r="U118" s="324">
        <v>416</v>
      </c>
      <c r="V118" s="324">
        <v>328</v>
      </c>
      <c r="W118" s="324">
        <f t="shared" si="35"/>
        <v>0.55913978494623651</v>
      </c>
      <c r="X118" s="324">
        <f t="shared" si="36"/>
        <v>0.44086021505376344</v>
      </c>
      <c r="AB118" s="4">
        <f t="shared" si="39"/>
        <v>2014</v>
      </c>
      <c r="AC118" s="394">
        <f t="shared" si="40"/>
        <v>41852</v>
      </c>
      <c r="AD118" s="135">
        <f t="shared" si="37"/>
        <v>6.6742359978249048</v>
      </c>
      <c r="AE118" s="136">
        <v>6.6742359978249048</v>
      </c>
      <c r="AG118" s="4">
        <f t="shared" si="30"/>
        <v>2013</v>
      </c>
      <c r="AH118" s="394">
        <v>41455</v>
      </c>
      <c r="AI118" s="4">
        <f t="shared" si="31"/>
        <v>4.335</v>
      </c>
      <c r="AJ118" s="4">
        <v>4.3899999999999997</v>
      </c>
      <c r="AK118" s="4">
        <v>4.28</v>
      </c>
      <c r="AM118" s="4">
        <f t="shared" si="32"/>
        <v>2017</v>
      </c>
      <c r="AN118" s="337">
        <v>42856</v>
      </c>
      <c r="AO118" s="4">
        <f t="shared" si="33"/>
        <v>9.0100000000000016</v>
      </c>
      <c r="AP118" s="4">
        <v>9.1300000000000008</v>
      </c>
      <c r="AQ118" s="4">
        <v>8.89</v>
      </c>
    </row>
    <row r="119" spans="16:43">
      <c r="P119" s="4">
        <f t="shared" si="34"/>
        <v>2014</v>
      </c>
      <c r="Q119" s="396">
        <f t="shared" si="41"/>
        <v>41883</v>
      </c>
      <c r="R119" s="136">
        <v>55.52</v>
      </c>
      <c r="S119" s="136">
        <v>43.9</v>
      </c>
      <c r="T119" s="338">
        <f t="shared" si="38"/>
        <v>50.523399999999995</v>
      </c>
      <c r="U119" s="324">
        <v>400</v>
      </c>
      <c r="V119" s="324">
        <v>320</v>
      </c>
      <c r="W119" s="324">
        <f t="shared" si="35"/>
        <v>0.55555555555555558</v>
      </c>
      <c r="X119" s="324">
        <f t="shared" si="36"/>
        <v>0.44444444444444442</v>
      </c>
      <c r="AB119" s="4">
        <f t="shared" si="39"/>
        <v>2014</v>
      </c>
      <c r="AC119" s="394">
        <f t="shared" si="40"/>
        <v>41883</v>
      </c>
      <c r="AD119" s="135">
        <f t="shared" si="37"/>
        <v>6.6742359978249048</v>
      </c>
      <c r="AE119" s="136">
        <v>6.6742359978249048</v>
      </c>
      <c r="AG119" s="4">
        <f t="shared" si="30"/>
        <v>2013</v>
      </c>
      <c r="AH119" s="394">
        <v>41486</v>
      </c>
      <c r="AI119" s="4">
        <f t="shared" si="31"/>
        <v>4.3949999999999996</v>
      </c>
      <c r="AJ119" s="4">
        <v>4.45</v>
      </c>
      <c r="AK119" s="4">
        <v>4.34</v>
      </c>
      <c r="AM119" s="4">
        <f t="shared" si="32"/>
        <v>2017</v>
      </c>
      <c r="AN119" s="337">
        <v>42887</v>
      </c>
      <c r="AO119" s="4">
        <f t="shared" si="33"/>
        <v>9.1499999999999986</v>
      </c>
      <c r="AP119" s="4">
        <v>9.27</v>
      </c>
      <c r="AQ119" s="4">
        <v>9.0299999999999994</v>
      </c>
    </row>
    <row r="120" spans="16:43">
      <c r="P120" s="4">
        <f t="shared" si="34"/>
        <v>2014</v>
      </c>
      <c r="Q120" s="396">
        <f t="shared" si="41"/>
        <v>41913</v>
      </c>
      <c r="R120" s="136">
        <v>54.83</v>
      </c>
      <c r="S120" s="136">
        <v>45.28</v>
      </c>
      <c r="T120" s="338">
        <f t="shared" si="38"/>
        <v>50.723500000000001</v>
      </c>
      <c r="U120" s="324">
        <v>432</v>
      </c>
      <c r="V120" s="324">
        <v>312</v>
      </c>
      <c r="W120" s="324">
        <f t="shared" si="35"/>
        <v>0.58064516129032262</v>
      </c>
      <c r="X120" s="324">
        <f t="shared" si="36"/>
        <v>0.41935483870967744</v>
      </c>
      <c r="AB120" s="4">
        <f t="shared" si="39"/>
        <v>2014</v>
      </c>
      <c r="AC120" s="394">
        <f t="shared" si="40"/>
        <v>41913</v>
      </c>
      <c r="AD120" s="135">
        <f t="shared" si="37"/>
        <v>6.9121370309951065</v>
      </c>
      <c r="AE120" s="136">
        <v>6.9121370309951065</v>
      </c>
      <c r="AG120" s="4">
        <f t="shared" si="30"/>
        <v>2013</v>
      </c>
      <c r="AH120" s="394">
        <v>41517</v>
      </c>
      <c r="AI120" s="4">
        <f t="shared" si="31"/>
        <v>4.3949999999999996</v>
      </c>
      <c r="AJ120" s="4">
        <v>4.45</v>
      </c>
      <c r="AK120" s="4">
        <v>4.34</v>
      </c>
      <c r="AM120" s="4">
        <f t="shared" si="32"/>
        <v>2017</v>
      </c>
      <c r="AN120" s="337">
        <v>42917</v>
      </c>
      <c r="AO120" s="4">
        <f t="shared" si="33"/>
        <v>9.2949999999999999</v>
      </c>
      <c r="AP120" s="4">
        <v>9.41</v>
      </c>
      <c r="AQ120" s="4">
        <v>9.18</v>
      </c>
    </row>
    <row r="121" spans="16:43">
      <c r="P121" s="4">
        <f t="shared" si="34"/>
        <v>2014</v>
      </c>
      <c r="Q121" s="396">
        <f t="shared" si="41"/>
        <v>41944</v>
      </c>
      <c r="R121" s="136">
        <v>60.19</v>
      </c>
      <c r="S121" s="136">
        <v>51.73</v>
      </c>
      <c r="T121" s="338">
        <f t="shared" si="38"/>
        <v>56.552199999999999</v>
      </c>
      <c r="U121" s="324">
        <v>384</v>
      </c>
      <c r="V121" s="324">
        <v>336</v>
      </c>
      <c r="W121" s="324">
        <f t="shared" si="35"/>
        <v>0.53333333333333333</v>
      </c>
      <c r="X121" s="324">
        <f t="shared" si="36"/>
        <v>0.46666666666666667</v>
      </c>
      <c r="AB121" s="4">
        <f t="shared" si="39"/>
        <v>2014</v>
      </c>
      <c r="AC121" s="394">
        <f t="shared" si="40"/>
        <v>41944</v>
      </c>
      <c r="AD121" s="135">
        <f t="shared" si="37"/>
        <v>7.0140946166394791</v>
      </c>
      <c r="AE121" s="136">
        <v>7.0140946166394791</v>
      </c>
      <c r="AG121" s="4">
        <f t="shared" si="30"/>
        <v>2013</v>
      </c>
      <c r="AH121" s="394">
        <v>41547</v>
      </c>
      <c r="AI121" s="4">
        <f t="shared" si="31"/>
        <v>4.3949999999999996</v>
      </c>
      <c r="AJ121" s="4">
        <v>4.45</v>
      </c>
      <c r="AK121" s="4">
        <v>4.34</v>
      </c>
      <c r="AM121" s="4">
        <f t="shared" si="32"/>
        <v>2017</v>
      </c>
      <c r="AN121" s="337">
        <v>42948</v>
      </c>
      <c r="AO121" s="4">
        <f t="shared" si="33"/>
        <v>9.2949999999999999</v>
      </c>
      <c r="AP121" s="4">
        <v>9.41</v>
      </c>
      <c r="AQ121" s="4">
        <v>9.18</v>
      </c>
    </row>
    <row r="122" spans="16:43">
      <c r="P122" s="4">
        <f t="shared" si="34"/>
        <v>2014</v>
      </c>
      <c r="Q122" s="396">
        <f t="shared" si="41"/>
        <v>41974</v>
      </c>
      <c r="R122" s="136">
        <v>63.17</v>
      </c>
      <c r="S122" s="136">
        <v>52.88</v>
      </c>
      <c r="T122" s="338">
        <f t="shared" si="38"/>
        <v>58.7453</v>
      </c>
      <c r="U122" s="324">
        <v>416</v>
      </c>
      <c r="V122" s="324">
        <v>328</v>
      </c>
      <c r="W122" s="324">
        <f t="shared" si="35"/>
        <v>0.55913978494623651</v>
      </c>
      <c r="X122" s="324">
        <f t="shared" si="36"/>
        <v>0.44086021505376344</v>
      </c>
      <c r="AB122" s="4">
        <f t="shared" si="39"/>
        <v>2014</v>
      </c>
      <c r="AC122" s="394">
        <f t="shared" si="40"/>
        <v>41974</v>
      </c>
      <c r="AD122" s="135">
        <f t="shared" si="37"/>
        <v>7.3505546492659057</v>
      </c>
      <c r="AE122" s="136">
        <v>7.3505546492659057</v>
      </c>
      <c r="AG122" s="4">
        <f t="shared" si="30"/>
        <v>2013</v>
      </c>
      <c r="AH122" s="394">
        <v>41578</v>
      </c>
      <c r="AI122" s="4">
        <f t="shared" si="31"/>
        <v>4.5600000000000005</v>
      </c>
      <c r="AJ122" s="4">
        <v>4.58</v>
      </c>
      <c r="AK122" s="4">
        <v>4.54</v>
      </c>
      <c r="AM122" s="4">
        <f t="shared" si="32"/>
        <v>2017</v>
      </c>
      <c r="AN122" s="337">
        <v>42979</v>
      </c>
      <c r="AO122" s="4">
        <f t="shared" si="33"/>
        <v>9.2949999999999999</v>
      </c>
      <c r="AP122" s="4">
        <v>9.41</v>
      </c>
      <c r="AQ122" s="4">
        <v>9.18</v>
      </c>
    </row>
    <row r="123" spans="16:43">
      <c r="P123" s="4">
        <f t="shared" si="34"/>
        <v>2015</v>
      </c>
      <c r="Q123" s="396">
        <f t="shared" si="41"/>
        <v>42005</v>
      </c>
      <c r="R123" s="136">
        <v>64.599999999999994</v>
      </c>
      <c r="S123" s="136">
        <v>53.15</v>
      </c>
      <c r="T123" s="338">
        <f t="shared" si="38"/>
        <v>59.67649999999999</v>
      </c>
      <c r="U123" s="324">
        <v>416</v>
      </c>
      <c r="V123" s="324">
        <v>328</v>
      </c>
      <c r="W123" s="324">
        <f t="shared" si="35"/>
        <v>0.55913978494623651</v>
      </c>
      <c r="X123" s="324">
        <f t="shared" si="36"/>
        <v>0.44086021505376344</v>
      </c>
      <c r="AB123" s="4">
        <f t="shared" si="39"/>
        <v>2015</v>
      </c>
      <c r="AC123" s="394">
        <f t="shared" si="40"/>
        <v>42005</v>
      </c>
      <c r="AD123" s="135">
        <f t="shared" si="37"/>
        <v>8.2749700924415439</v>
      </c>
      <c r="AE123" s="136">
        <v>8.2749700924415439</v>
      </c>
      <c r="AG123" s="4">
        <f t="shared" si="30"/>
        <v>2013</v>
      </c>
      <c r="AH123" s="394">
        <v>41608</v>
      </c>
      <c r="AI123" s="4">
        <f t="shared" si="31"/>
        <v>4.6300000000000008</v>
      </c>
      <c r="AJ123" s="4">
        <v>4.6500000000000004</v>
      </c>
      <c r="AK123" s="4">
        <v>4.6100000000000003</v>
      </c>
      <c r="AM123" s="4">
        <f t="shared" si="32"/>
        <v>2017</v>
      </c>
      <c r="AN123" s="337">
        <v>43009</v>
      </c>
      <c r="AO123" s="4">
        <f t="shared" si="33"/>
        <v>9.6449999999999996</v>
      </c>
      <c r="AP123" s="4">
        <v>9.69</v>
      </c>
      <c r="AQ123" s="4">
        <v>9.6</v>
      </c>
    </row>
    <row r="124" spans="16:43">
      <c r="P124" s="4">
        <f t="shared" si="34"/>
        <v>2015</v>
      </c>
      <c r="Q124" s="396">
        <f t="shared" si="41"/>
        <v>42036</v>
      </c>
      <c r="R124" s="136">
        <v>61.43</v>
      </c>
      <c r="S124" s="136">
        <v>51.43</v>
      </c>
      <c r="T124" s="338">
        <f t="shared" si="38"/>
        <v>57.129999999999995</v>
      </c>
      <c r="U124" s="324">
        <v>384</v>
      </c>
      <c r="V124" s="324">
        <v>288</v>
      </c>
      <c r="W124" s="324">
        <f t="shared" si="35"/>
        <v>0.5714285714285714</v>
      </c>
      <c r="X124" s="324">
        <f t="shared" si="36"/>
        <v>0.42857142857142855</v>
      </c>
      <c r="AB124" s="4">
        <f t="shared" si="39"/>
        <v>2015</v>
      </c>
      <c r="AC124" s="394">
        <f t="shared" si="40"/>
        <v>42036</v>
      </c>
      <c r="AD124" s="135">
        <f t="shared" si="37"/>
        <v>7.7753779227841218</v>
      </c>
      <c r="AE124" s="136">
        <v>7.7753779227841218</v>
      </c>
      <c r="AG124" s="4">
        <f t="shared" si="30"/>
        <v>2013</v>
      </c>
      <c r="AH124" s="394">
        <v>41639</v>
      </c>
      <c r="AI124" s="4">
        <f t="shared" si="31"/>
        <v>4.8650000000000002</v>
      </c>
      <c r="AJ124" s="4">
        <v>4.8499999999999996</v>
      </c>
      <c r="AK124" s="4">
        <v>4.88</v>
      </c>
      <c r="AM124" s="4">
        <f t="shared" si="32"/>
        <v>2017</v>
      </c>
      <c r="AN124" s="337">
        <v>43040</v>
      </c>
      <c r="AO124" s="4">
        <f t="shared" si="33"/>
        <v>9.7800000000000011</v>
      </c>
      <c r="AP124" s="4">
        <v>9.82</v>
      </c>
      <c r="AQ124" s="4">
        <v>9.74</v>
      </c>
    </row>
    <row r="125" spans="16:43">
      <c r="P125" s="4">
        <f t="shared" si="34"/>
        <v>2015</v>
      </c>
      <c r="Q125" s="396">
        <f t="shared" si="41"/>
        <v>42064</v>
      </c>
      <c r="R125" s="136">
        <v>58.27</v>
      </c>
      <c r="S125" s="136">
        <v>52.65</v>
      </c>
      <c r="T125" s="338">
        <f t="shared" si="38"/>
        <v>55.853400000000001</v>
      </c>
      <c r="U125" s="324">
        <v>416</v>
      </c>
      <c r="V125" s="324">
        <v>328</v>
      </c>
      <c r="W125" s="324">
        <f t="shared" si="35"/>
        <v>0.55913978494623651</v>
      </c>
      <c r="X125" s="324">
        <f t="shared" si="36"/>
        <v>0.44086021505376344</v>
      </c>
      <c r="AB125" s="4">
        <f t="shared" si="39"/>
        <v>2015</v>
      </c>
      <c r="AC125" s="394">
        <f t="shared" si="40"/>
        <v>42064</v>
      </c>
      <c r="AD125" s="135">
        <f t="shared" si="37"/>
        <v>7.3165687873844494</v>
      </c>
      <c r="AE125" s="136">
        <v>7.3165687873844494</v>
      </c>
      <c r="AG125" s="4">
        <f t="shared" si="30"/>
        <v>2014</v>
      </c>
      <c r="AH125" s="394">
        <v>41670</v>
      </c>
      <c r="AI125" s="4">
        <f t="shared" si="31"/>
        <v>5.4399999999999995</v>
      </c>
      <c r="AJ125" s="4">
        <v>5.39</v>
      </c>
      <c r="AK125" s="4">
        <v>5.49</v>
      </c>
      <c r="AM125" s="4">
        <f t="shared" si="32"/>
        <v>2017</v>
      </c>
      <c r="AN125" s="337">
        <v>43070</v>
      </c>
      <c r="AO125" s="4">
        <f t="shared" si="33"/>
        <v>10.27</v>
      </c>
      <c r="AP125" s="4">
        <v>10.24</v>
      </c>
      <c r="AQ125" s="4">
        <v>10.3</v>
      </c>
    </row>
    <row r="126" spans="16:43">
      <c r="P126" s="4">
        <f t="shared" si="34"/>
        <v>2015</v>
      </c>
      <c r="Q126" s="396">
        <f t="shared" si="41"/>
        <v>42095</v>
      </c>
      <c r="R126" s="136">
        <v>53.61</v>
      </c>
      <c r="S126" s="136">
        <v>49.9</v>
      </c>
      <c r="T126" s="338">
        <f t="shared" si="38"/>
        <v>52.014699999999998</v>
      </c>
      <c r="U126" s="324">
        <v>416</v>
      </c>
      <c r="V126" s="324">
        <v>304</v>
      </c>
      <c r="W126" s="324">
        <f t="shared" si="35"/>
        <v>0.57777777777777772</v>
      </c>
      <c r="X126" s="324">
        <f t="shared" si="36"/>
        <v>0.42222222222222222</v>
      </c>
      <c r="AB126" s="4">
        <f t="shared" si="39"/>
        <v>2015</v>
      </c>
      <c r="AC126" s="394">
        <f t="shared" si="40"/>
        <v>42095</v>
      </c>
      <c r="AD126" s="135">
        <f t="shared" si="37"/>
        <v>6.9223327895595439</v>
      </c>
      <c r="AE126" s="136">
        <v>6.9223327895595439</v>
      </c>
      <c r="AG126" s="4">
        <f t="shared" si="30"/>
        <v>2014</v>
      </c>
      <c r="AH126" s="394">
        <v>41698</v>
      </c>
      <c r="AI126" s="4">
        <f t="shared" si="31"/>
        <v>5.0600000000000005</v>
      </c>
      <c r="AJ126" s="4">
        <v>5.04</v>
      </c>
      <c r="AK126" s="4">
        <v>5.08</v>
      </c>
      <c r="AM126" s="4">
        <f t="shared" si="32"/>
        <v>2018</v>
      </c>
      <c r="AN126" s="337">
        <v>43101</v>
      </c>
      <c r="AO126" s="4">
        <f t="shared" si="33"/>
        <v>12.93</v>
      </c>
      <c r="AP126" s="4">
        <v>13.65</v>
      </c>
      <c r="AQ126" s="4">
        <v>12.21</v>
      </c>
    </row>
    <row r="127" spans="16:43">
      <c r="P127" s="4">
        <f t="shared" si="34"/>
        <v>2015</v>
      </c>
      <c r="Q127" s="396">
        <f t="shared" si="41"/>
        <v>42125</v>
      </c>
      <c r="R127" s="136">
        <v>51.33</v>
      </c>
      <c r="S127" s="136">
        <v>43.22</v>
      </c>
      <c r="T127" s="338">
        <f t="shared" si="38"/>
        <v>47.842699999999994</v>
      </c>
      <c r="U127" s="324">
        <v>400</v>
      </c>
      <c r="V127" s="324">
        <v>344</v>
      </c>
      <c r="W127" s="324">
        <f t="shared" si="35"/>
        <v>0.5376344086021505</v>
      </c>
      <c r="X127" s="324">
        <f t="shared" si="36"/>
        <v>0.46236559139784944</v>
      </c>
      <c r="AB127" s="4">
        <f t="shared" si="39"/>
        <v>2015</v>
      </c>
      <c r="AC127" s="394">
        <f t="shared" si="40"/>
        <v>42125</v>
      </c>
      <c r="AD127" s="135">
        <f t="shared" si="37"/>
        <v>6.8509624796084836</v>
      </c>
      <c r="AE127" s="136">
        <v>6.8509624796084836</v>
      </c>
      <c r="AG127" s="4">
        <f t="shared" si="30"/>
        <v>2014</v>
      </c>
      <c r="AH127" s="394">
        <v>41729</v>
      </c>
      <c r="AI127" s="4">
        <f t="shared" si="31"/>
        <v>4.75</v>
      </c>
      <c r="AJ127" s="4">
        <v>4.7699999999999996</v>
      </c>
      <c r="AK127" s="4">
        <v>4.7300000000000004</v>
      </c>
      <c r="AM127" s="4">
        <f t="shared" si="32"/>
        <v>2018</v>
      </c>
      <c r="AN127" s="337">
        <v>43132</v>
      </c>
      <c r="AO127" s="4">
        <f t="shared" si="33"/>
        <v>12.04</v>
      </c>
      <c r="AP127" s="4">
        <v>12.79</v>
      </c>
      <c r="AQ127" s="4">
        <v>11.29</v>
      </c>
    </row>
    <row r="128" spans="16:43">
      <c r="P128" s="4">
        <f t="shared" si="34"/>
        <v>2015</v>
      </c>
      <c r="Q128" s="396">
        <f t="shared" si="41"/>
        <v>42156</v>
      </c>
      <c r="R128" s="136">
        <v>53.35</v>
      </c>
      <c r="S128" s="136">
        <v>41.68</v>
      </c>
      <c r="T128" s="338">
        <f t="shared" si="38"/>
        <v>48.331899999999997</v>
      </c>
      <c r="U128" s="324">
        <v>416</v>
      </c>
      <c r="V128" s="324">
        <v>304</v>
      </c>
      <c r="W128" s="324">
        <f t="shared" si="35"/>
        <v>0.57777777777777772</v>
      </c>
      <c r="X128" s="324">
        <f t="shared" si="36"/>
        <v>0.42222222222222222</v>
      </c>
      <c r="AB128" s="4">
        <f t="shared" si="39"/>
        <v>2015</v>
      </c>
      <c r="AC128" s="394">
        <f t="shared" si="40"/>
        <v>42156</v>
      </c>
      <c r="AD128" s="135">
        <f t="shared" si="37"/>
        <v>6.9631158238172919</v>
      </c>
      <c r="AE128" s="136">
        <v>6.9631158238172919</v>
      </c>
      <c r="AG128" s="4">
        <f t="shared" si="30"/>
        <v>2014</v>
      </c>
      <c r="AH128" s="394">
        <v>41759</v>
      </c>
      <c r="AI128" s="4">
        <f t="shared" si="31"/>
        <v>4.4399999999999995</v>
      </c>
      <c r="AJ128" s="4">
        <v>4.5</v>
      </c>
      <c r="AK128" s="4">
        <v>4.38</v>
      </c>
      <c r="AM128" s="4">
        <f t="shared" si="32"/>
        <v>2018</v>
      </c>
      <c r="AN128" s="337">
        <v>43160</v>
      </c>
      <c r="AO128" s="4">
        <f t="shared" si="33"/>
        <v>11.305</v>
      </c>
      <c r="AP128" s="4">
        <v>12.1</v>
      </c>
      <c r="AQ128" s="4">
        <v>10.51</v>
      </c>
    </row>
    <row r="129" spans="16:43">
      <c r="P129" s="4">
        <f t="shared" si="34"/>
        <v>2015</v>
      </c>
      <c r="Q129" s="396">
        <f t="shared" si="41"/>
        <v>42186</v>
      </c>
      <c r="R129" s="136">
        <v>57.01</v>
      </c>
      <c r="S129" s="136">
        <v>47.45</v>
      </c>
      <c r="T129" s="338">
        <f t="shared" si="38"/>
        <v>52.8992</v>
      </c>
      <c r="U129" s="324">
        <v>416</v>
      </c>
      <c r="V129" s="324">
        <v>328</v>
      </c>
      <c r="W129" s="324">
        <f t="shared" si="35"/>
        <v>0.55913978494623651</v>
      </c>
      <c r="X129" s="324">
        <f t="shared" si="36"/>
        <v>0.44086021505376344</v>
      </c>
      <c r="AB129" s="4">
        <f t="shared" si="39"/>
        <v>2015</v>
      </c>
      <c r="AC129" s="394">
        <f t="shared" si="40"/>
        <v>42186</v>
      </c>
      <c r="AD129" s="135">
        <f t="shared" si="37"/>
        <v>7.0650734094616654</v>
      </c>
      <c r="AE129" s="136">
        <v>7.0650734094616654</v>
      </c>
      <c r="AG129" s="4">
        <f t="shared" si="30"/>
        <v>2014</v>
      </c>
      <c r="AH129" s="394">
        <v>41790</v>
      </c>
      <c r="AI129" s="4">
        <f t="shared" si="31"/>
        <v>4.4399999999999995</v>
      </c>
      <c r="AJ129" s="4">
        <v>4.5</v>
      </c>
      <c r="AK129" s="4">
        <v>4.38</v>
      </c>
      <c r="AM129" s="4">
        <f t="shared" si="32"/>
        <v>2018</v>
      </c>
      <c r="AN129" s="337">
        <v>43191</v>
      </c>
      <c r="AO129" s="4">
        <f t="shared" si="33"/>
        <v>10.574999999999999</v>
      </c>
      <c r="AP129" s="4">
        <v>11.41</v>
      </c>
      <c r="AQ129" s="4">
        <v>9.74</v>
      </c>
    </row>
    <row r="130" spans="16:43">
      <c r="P130" s="4">
        <f t="shared" si="34"/>
        <v>2015</v>
      </c>
      <c r="Q130" s="396">
        <f t="shared" si="41"/>
        <v>42217</v>
      </c>
      <c r="R130" s="136">
        <v>61.56</v>
      </c>
      <c r="S130" s="136">
        <v>51.08</v>
      </c>
      <c r="T130" s="338">
        <f t="shared" si="38"/>
        <v>57.053599999999996</v>
      </c>
      <c r="U130" s="324">
        <v>416</v>
      </c>
      <c r="V130" s="324">
        <v>328</v>
      </c>
      <c r="W130" s="324">
        <f t="shared" si="35"/>
        <v>0.55913978494623651</v>
      </c>
      <c r="X130" s="324">
        <f t="shared" si="36"/>
        <v>0.44086021505376344</v>
      </c>
      <c r="AB130" s="4">
        <f t="shared" si="39"/>
        <v>2015</v>
      </c>
      <c r="AC130" s="394">
        <f t="shared" si="40"/>
        <v>42217</v>
      </c>
      <c r="AD130" s="135">
        <f t="shared" si="37"/>
        <v>7.0650734094616654</v>
      </c>
      <c r="AE130" s="136">
        <v>7.0650734094616654</v>
      </c>
      <c r="AG130" s="4">
        <f t="shared" si="30"/>
        <v>2014</v>
      </c>
      <c r="AH130" s="394">
        <v>41820</v>
      </c>
      <c r="AI130" s="4">
        <f t="shared" si="31"/>
        <v>4.51</v>
      </c>
      <c r="AJ130" s="4">
        <v>4.57</v>
      </c>
      <c r="AK130" s="4">
        <v>4.45</v>
      </c>
      <c r="AM130" s="4">
        <f t="shared" si="32"/>
        <v>2018</v>
      </c>
      <c r="AN130" s="337">
        <v>43221</v>
      </c>
      <c r="AO130" s="4">
        <f t="shared" si="33"/>
        <v>10.574999999999999</v>
      </c>
      <c r="AP130" s="4">
        <v>11.41</v>
      </c>
      <c r="AQ130" s="4">
        <v>9.74</v>
      </c>
    </row>
    <row r="131" spans="16:43">
      <c r="P131" s="4">
        <f t="shared" si="34"/>
        <v>2015</v>
      </c>
      <c r="Q131" s="396">
        <f t="shared" si="41"/>
        <v>42248</v>
      </c>
      <c r="R131" s="136">
        <v>63.63</v>
      </c>
      <c r="S131" s="136">
        <v>50.26</v>
      </c>
      <c r="T131" s="338">
        <f t="shared" si="38"/>
        <v>57.880899999999997</v>
      </c>
      <c r="U131" s="324">
        <v>400</v>
      </c>
      <c r="V131" s="324">
        <v>320</v>
      </c>
      <c r="W131" s="324">
        <f t="shared" si="35"/>
        <v>0.55555555555555558</v>
      </c>
      <c r="X131" s="324">
        <f t="shared" si="36"/>
        <v>0.44444444444444442</v>
      </c>
      <c r="AB131" s="4">
        <f t="shared" si="39"/>
        <v>2015</v>
      </c>
      <c r="AC131" s="394">
        <f t="shared" si="40"/>
        <v>42248</v>
      </c>
      <c r="AD131" s="135">
        <f t="shared" si="37"/>
        <v>7.0650734094616654</v>
      </c>
      <c r="AE131" s="136">
        <v>7.0650734094616654</v>
      </c>
      <c r="AG131" s="4">
        <f t="shared" si="30"/>
        <v>2014</v>
      </c>
      <c r="AH131" s="394">
        <v>41851</v>
      </c>
      <c r="AI131" s="4">
        <f t="shared" si="31"/>
        <v>4.58</v>
      </c>
      <c r="AJ131" s="4">
        <v>4.6399999999999997</v>
      </c>
      <c r="AK131" s="4">
        <v>4.5199999999999996</v>
      </c>
      <c r="AM131" s="4">
        <f t="shared" si="32"/>
        <v>2018</v>
      </c>
      <c r="AN131" s="337">
        <v>43252</v>
      </c>
      <c r="AO131" s="4">
        <f t="shared" si="33"/>
        <v>10.734999999999999</v>
      </c>
      <c r="AP131" s="4">
        <v>11.58</v>
      </c>
      <c r="AQ131" s="4">
        <v>9.89</v>
      </c>
    </row>
    <row r="132" spans="16:43">
      <c r="P132" s="4">
        <f t="shared" si="34"/>
        <v>2015</v>
      </c>
      <c r="Q132" s="396">
        <f t="shared" si="41"/>
        <v>42278</v>
      </c>
      <c r="R132" s="136">
        <v>57.59</v>
      </c>
      <c r="S132" s="136">
        <v>45.7</v>
      </c>
      <c r="T132" s="338">
        <f t="shared" si="38"/>
        <v>52.4773</v>
      </c>
      <c r="U132" s="324">
        <v>432</v>
      </c>
      <c r="V132" s="324">
        <v>312</v>
      </c>
      <c r="W132" s="324">
        <f t="shared" si="35"/>
        <v>0.58064516129032262</v>
      </c>
      <c r="X132" s="324">
        <f t="shared" si="36"/>
        <v>0.41935483870967744</v>
      </c>
      <c r="AB132" s="4">
        <f t="shared" si="39"/>
        <v>2015</v>
      </c>
      <c r="AC132" s="394">
        <f t="shared" si="40"/>
        <v>42278</v>
      </c>
      <c r="AD132" s="135">
        <f t="shared" si="37"/>
        <v>7.3165687873844494</v>
      </c>
      <c r="AE132" s="136">
        <v>7.3165687873844494</v>
      </c>
      <c r="AG132" s="4">
        <f t="shared" si="30"/>
        <v>2014</v>
      </c>
      <c r="AH132" s="394">
        <v>41882</v>
      </c>
      <c r="AI132" s="4">
        <f t="shared" si="31"/>
        <v>4.58</v>
      </c>
      <c r="AJ132" s="4">
        <v>4.6399999999999997</v>
      </c>
      <c r="AK132" s="4">
        <v>4.5199999999999996</v>
      </c>
      <c r="AM132" s="4">
        <f t="shared" si="32"/>
        <v>2018</v>
      </c>
      <c r="AN132" s="337">
        <v>43282</v>
      </c>
      <c r="AO132" s="4">
        <f t="shared" si="33"/>
        <v>10.9</v>
      </c>
      <c r="AP132" s="4">
        <v>11.75</v>
      </c>
      <c r="AQ132" s="4">
        <v>10.050000000000001</v>
      </c>
    </row>
    <row r="133" spans="16:43">
      <c r="P133" s="4">
        <f t="shared" si="34"/>
        <v>2015</v>
      </c>
      <c r="Q133" s="396">
        <f t="shared" si="41"/>
        <v>42309</v>
      </c>
      <c r="R133" s="136">
        <v>63.29</v>
      </c>
      <c r="S133" s="136">
        <v>54.41</v>
      </c>
      <c r="T133" s="338">
        <f t="shared" si="38"/>
        <v>59.471599999999995</v>
      </c>
      <c r="U133" s="324">
        <v>384</v>
      </c>
      <c r="V133" s="324">
        <v>336</v>
      </c>
      <c r="W133" s="324">
        <f t="shared" si="35"/>
        <v>0.53333333333333333</v>
      </c>
      <c r="X133" s="324">
        <f t="shared" si="36"/>
        <v>0.46666666666666667</v>
      </c>
      <c r="AB133" s="4">
        <f t="shared" si="39"/>
        <v>2015</v>
      </c>
      <c r="AC133" s="394">
        <f t="shared" si="40"/>
        <v>42309</v>
      </c>
      <c r="AD133" s="135">
        <f t="shared" si="37"/>
        <v>7.421924959216966</v>
      </c>
      <c r="AE133" s="136">
        <v>7.421924959216966</v>
      </c>
      <c r="AG133" s="4">
        <f t="shared" si="30"/>
        <v>2014</v>
      </c>
      <c r="AH133" s="394">
        <v>41912</v>
      </c>
      <c r="AI133" s="4">
        <f t="shared" si="31"/>
        <v>4.58</v>
      </c>
      <c r="AJ133" s="4">
        <v>4.6399999999999997</v>
      </c>
      <c r="AK133" s="4">
        <v>4.5199999999999996</v>
      </c>
      <c r="AM133" s="4">
        <f t="shared" si="32"/>
        <v>2018</v>
      </c>
      <c r="AN133" s="337">
        <v>43313</v>
      </c>
      <c r="AO133" s="4">
        <f t="shared" si="33"/>
        <v>10.9</v>
      </c>
      <c r="AP133" s="4">
        <v>11.75</v>
      </c>
      <c r="AQ133" s="4">
        <v>10.050000000000001</v>
      </c>
    </row>
    <row r="134" spans="16:43">
      <c r="P134" s="4">
        <f t="shared" si="34"/>
        <v>2015</v>
      </c>
      <c r="Q134" s="396">
        <f t="shared" si="41"/>
        <v>42339</v>
      </c>
      <c r="R134" s="136">
        <v>68.81</v>
      </c>
      <c r="S134" s="136">
        <v>57.92</v>
      </c>
      <c r="T134" s="338">
        <f t="shared" si="38"/>
        <v>64.127299999999991</v>
      </c>
      <c r="U134" s="324">
        <v>416</v>
      </c>
      <c r="V134" s="324">
        <v>328</v>
      </c>
      <c r="W134" s="324">
        <f t="shared" si="35"/>
        <v>0.55913978494623651</v>
      </c>
      <c r="X134" s="324">
        <f t="shared" si="36"/>
        <v>0.44086021505376344</v>
      </c>
      <c r="AB134" s="4">
        <f t="shared" si="39"/>
        <v>2015</v>
      </c>
      <c r="AC134" s="394">
        <f t="shared" si="40"/>
        <v>42339</v>
      </c>
      <c r="AD134" s="135">
        <f t="shared" si="37"/>
        <v>7.7753779227841218</v>
      </c>
      <c r="AE134" s="136">
        <v>7.7753779227841218</v>
      </c>
      <c r="AG134" s="4">
        <f t="shared" si="30"/>
        <v>2014</v>
      </c>
      <c r="AH134" s="394">
        <v>41943</v>
      </c>
      <c r="AI134" s="4">
        <f t="shared" si="31"/>
        <v>4.75</v>
      </c>
      <c r="AJ134" s="4">
        <v>4.7699999999999996</v>
      </c>
      <c r="AK134" s="4">
        <v>4.7300000000000004</v>
      </c>
      <c r="AM134" s="4">
        <f t="shared" si="32"/>
        <v>2018</v>
      </c>
      <c r="AN134" s="337">
        <v>43344</v>
      </c>
      <c r="AO134" s="4">
        <f t="shared" si="33"/>
        <v>10.9</v>
      </c>
      <c r="AP134" s="4">
        <v>11.75</v>
      </c>
      <c r="AQ134" s="4">
        <v>10.050000000000001</v>
      </c>
    </row>
    <row r="135" spans="16:43">
      <c r="P135" s="4">
        <f t="shared" si="34"/>
        <v>2016</v>
      </c>
      <c r="Q135" s="396">
        <f t="shared" si="41"/>
        <v>42370</v>
      </c>
      <c r="R135" s="136">
        <v>70.930000000000007</v>
      </c>
      <c r="S135" s="136">
        <v>56.19</v>
      </c>
      <c r="T135" s="338">
        <f t="shared" si="38"/>
        <v>64.591800000000006</v>
      </c>
      <c r="U135" s="324">
        <v>400</v>
      </c>
      <c r="V135" s="324">
        <v>344</v>
      </c>
      <c r="W135" s="324">
        <f t="shared" si="35"/>
        <v>0.5376344086021505</v>
      </c>
      <c r="X135" s="324">
        <f t="shared" si="36"/>
        <v>0.46236559139784944</v>
      </c>
      <c r="AB135" s="4">
        <f t="shared" si="39"/>
        <v>2016</v>
      </c>
      <c r="AC135" s="394">
        <f t="shared" si="40"/>
        <v>42370</v>
      </c>
      <c r="AD135" s="135">
        <f t="shared" si="37"/>
        <v>8.9546873300706888</v>
      </c>
      <c r="AE135" s="136">
        <v>8.9546873300706888</v>
      </c>
      <c r="AG135" s="4">
        <f t="shared" si="30"/>
        <v>2014</v>
      </c>
      <c r="AH135" s="394">
        <v>41973</v>
      </c>
      <c r="AI135" s="4">
        <f t="shared" si="31"/>
        <v>4.82</v>
      </c>
      <c r="AJ135" s="4">
        <v>4.84</v>
      </c>
      <c r="AK135" s="4">
        <v>4.8</v>
      </c>
      <c r="AM135" s="4">
        <f t="shared" si="32"/>
        <v>2018</v>
      </c>
      <c r="AN135" s="337">
        <v>43374</v>
      </c>
      <c r="AO135" s="4">
        <f t="shared" si="33"/>
        <v>11.305</v>
      </c>
      <c r="AP135" s="4">
        <v>12.1</v>
      </c>
      <c r="AQ135" s="4">
        <v>10.51</v>
      </c>
    </row>
    <row r="136" spans="16:43">
      <c r="P136" s="4">
        <f t="shared" si="34"/>
        <v>2016</v>
      </c>
      <c r="Q136" s="396">
        <f t="shared" si="41"/>
        <v>42401</v>
      </c>
      <c r="R136" s="136">
        <v>71.5</v>
      </c>
      <c r="S136" s="136">
        <v>61.63</v>
      </c>
      <c r="T136" s="338">
        <f t="shared" si="38"/>
        <v>67.255899999999997</v>
      </c>
      <c r="U136" s="324">
        <v>400</v>
      </c>
      <c r="V136" s="324">
        <v>296</v>
      </c>
      <c r="W136" s="324">
        <f t="shared" si="35"/>
        <v>0.57471264367816088</v>
      </c>
      <c r="X136" s="324">
        <f t="shared" si="36"/>
        <v>0.42528735632183906</v>
      </c>
      <c r="AB136" s="4">
        <f t="shared" si="39"/>
        <v>2016</v>
      </c>
      <c r="AC136" s="394">
        <f t="shared" si="40"/>
        <v>42401</v>
      </c>
      <c r="AD136" s="135">
        <f t="shared" si="37"/>
        <v>8.4177107123436645</v>
      </c>
      <c r="AE136" s="136">
        <v>8.4177107123436645</v>
      </c>
      <c r="AG136" s="4">
        <f t="shared" si="30"/>
        <v>2014</v>
      </c>
      <c r="AH136" s="394">
        <v>42004</v>
      </c>
      <c r="AI136" s="4">
        <f t="shared" si="31"/>
        <v>5.0600000000000005</v>
      </c>
      <c r="AJ136" s="4">
        <v>5.04</v>
      </c>
      <c r="AK136" s="4">
        <v>5.08</v>
      </c>
      <c r="AM136" s="4">
        <f t="shared" si="32"/>
        <v>2018</v>
      </c>
      <c r="AN136" s="337">
        <v>43405</v>
      </c>
      <c r="AO136" s="4">
        <f t="shared" si="33"/>
        <v>11.469999999999999</v>
      </c>
      <c r="AP136" s="4">
        <v>12.27</v>
      </c>
      <c r="AQ136" s="4">
        <v>10.67</v>
      </c>
    </row>
    <row r="137" spans="16:43">
      <c r="P137" s="4">
        <f t="shared" si="34"/>
        <v>2016</v>
      </c>
      <c r="Q137" s="396">
        <f t="shared" si="41"/>
        <v>42430</v>
      </c>
      <c r="R137" s="136">
        <v>63.74</v>
      </c>
      <c r="S137" s="136">
        <v>55.85</v>
      </c>
      <c r="T137" s="338">
        <f t="shared" si="38"/>
        <v>60.347300000000004</v>
      </c>
      <c r="U137" s="324">
        <v>432</v>
      </c>
      <c r="V137" s="324">
        <v>312</v>
      </c>
      <c r="W137" s="324">
        <f t="shared" si="35"/>
        <v>0.58064516129032262</v>
      </c>
      <c r="X137" s="324">
        <f t="shared" si="36"/>
        <v>0.41935483870967744</v>
      </c>
      <c r="AB137" s="4">
        <f t="shared" si="39"/>
        <v>2016</v>
      </c>
      <c r="AC137" s="394">
        <f t="shared" si="40"/>
        <v>42430</v>
      </c>
      <c r="AD137" s="135">
        <f t="shared" si="37"/>
        <v>7.9181185426862433</v>
      </c>
      <c r="AE137" s="136">
        <v>7.9181185426862433</v>
      </c>
      <c r="AG137" s="4">
        <f t="shared" si="30"/>
        <v>2015</v>
      </c>
      <c r="AH137" s="394">
        <v>42035</v>
      </c>
      <c r="AI137" s="4">
        <f t="shared" si="31"/>
        <v>5.5549999999999997</v>
      </c>
      <c r="AJ137" s="4">
        <v>5.5</v>
      </c>
      <c r="AK137" s="4">
        <v>5.61</v>
      </c>
      <c r="AM137" s="4">
        <f t="shared" si="32"/>
        <v>2018</v>
      </c>
      <c r="AN137" s="337">
        <v>43435</v>
      </c>
      <c r="AO137" s="4">
        <f t="shared" si="33"/>
        <v>12.04</v>
      </c>
      <c r="AP137" s="4">
        <v>12.79</v>
      </c>
      <c r="AQ137" s="4">
        <v>11.29</v>
      </c>
    </row>
    <row r="138" spans="16:43">
      <c r="P138" s="4">
        <f t="shared" si="34"/>
        <v>2016</v>
      </c>
      <c r="Q138" s="396">
        <f t="shared" si="41"/>
        <v>42461</v>
      </c>
      <c r="R138" s="136">
        <v>58.89</v>
      </c>
      <c r="S138" s="136">
        <v>52.61</v>
      </c>
      <c r="T138" s="338">
        <f t="shared" si="38"/>
        <v>56.189599999999999</v>
      </c>
      <c r="U138" s="324">
        <v>416</v>
      </c>
      <c r="V138" s="324">
        <v>304</v>
      </c>
      <c r="W138" s="324">
        <f t="shared" si="35"/>
        <v>0.57777777777777772</v>
      </c>
      <c r="X138" s="324">
        <f t="shared" si="36"/>
        <v>0.42222222222222222</v>
      </c>
      <c r="AB138" s="4">
        <f t="shared" si="39"/>
        <v>2016</v>
      </c>
      <c r="AC138" s="394">
        <f t="shared" si="40"/>
        <v>42461</v>
      </c>
      <c r="AD138" s="135">
        <f t="shared" si="37"/>
        <v>7.4966938553561722</v>
      </c>
      <c r="AE138" s="136">
        <v>7.4966938553561722</v>
      </c>
      <c r="AG138" s="4">
        <f t="shared" si="30"/>
        <v>2015</v>
      </c>
      <c r="AH138" s="394">
        <v>42063</v>
      </c>
      <c r="AI138" s="4">
        <f t="shared" si="31"/>
        <v>5.17</v>
      </c>
      <c r="AJ138" s="4">
        <v>5.15</v>
      </c>
      <c r="AK138" s="4">
        <v>5.19</v>
      </c>
      <c r="AM138" s="4">
        <f t="shared" si="32"/>
        <v>2019</v>
      </c>
      <c r="AN138" s="337">
        <v>43466</v>
      </c>
      <c r="AO138" s="4">
        <f t="shared" si="33"/>
        <v>13.445</v>
      </c>
      <c r="AP138" s="4">
        <v>14.16</v>
      </c>
      <c r="AQ138" s="4">
        <v>12.73</v>
      </c>
    </row>
    <row r="139" spans="16:43">
      <c r="P139" s="4">
        <f t="shared" si="34"/>
        <v>2016</v>
      </c>
      <c r="Q139" s="396">
        <f t="shared" si="41"/>
        <v>42491</v>
      </c>
      <c r="R139" s="136">
        <v>55.45</v>
      </c>
      <c r="S139" s="136">
        <v>43.74</v>
      </c>
      <c r="T139" s="338">
        <f t="shared" si="38"/>
        <v>50.414699999999996</v>
      </c>
      <c r="U139" s="324">
        <v>400</v>
      </c>
      <c r="V139" s="324">
        <v>344</v>
      </c>
      <c r="W139" s="324">
        <f t="shared" si="35"/>
        <v>0.5376344086021505</v>
      </c>
      <c r="X139" s="324">
        <f t="shared" si="36"/>
        <v>0.46236559139784944</v>
      </c>
      <c r="AB139" s="4">
        <f t="shared" si="39"/>
        <v>2016</v>
      </c>
      <c r="AC139" s="394">
        <f t="shared" si="40"/>
        <v>42491</v>
      </c>
      <c r="AD139" s="135">
        <f t="shared" si="37"/>
        <v>7.4185263730288202</v>
      </c>
      <c r="AE139" s="136">
        <v>7.4185263730288202</v>
      </c>
      <c r="AG139" s="4">
        <f t="shared" si="30"/>
        <v>2015</v>
      </c>
      <c r="AH139" s="394">
        <v>42094</v>
      </c>
      <c r="AI139" s="4">
        <f t="shared" si="31"/>
        <v>4.8499999999999996</v>
      </c>
      <c r="AJ139" s="4">
        <v>4.87</v>
      </c>
      <c r="AK139" s="4">
        <v>4.83</v>
      </c>
      <c r="AM139" s="4">
        <f t="shared" si="32"/>
        <v>2019</v>
      </c>
      <c r="AN139" s="337">
        <v>43497</v>
      </c>
      <c r="AO139" s="4">
        <f t="shared" si="33"/>
        <v>12.515000000000001</v>
      </c>
      <c r="AP139" s="4">
        <v>13.27</v>
      </c>
      <c r="AQ139" s="4">
        <v>11.76</v>
      </c>
    </row>
    <row r="140" spans="16:43">
      <c r="P140" s="4">
        <f t="shared" si="34"/>
        <v>2016</v>
      </c>
      <c r="Q140" s="396">
        <f t="shared" si="41"/>
        <v>42522</v>
      </c>
      <c r="R140" s="136">
        <v>60.8</v>
      </c>
      <c r="S140" s="136">
        <v>43.73</v>
      </c>
      <c r="T140" s="338">
        <f t="shared" si="38"/>
        <v>53.459899999999998</v>
      </c>
      <c r="U140" s="324">
        <v>416</v>
      </c>
      <c r="V140" s="324">
        <v>304</v>
      </c>
      <c r="W140" s="324">
        <f t="shared" si="35"/>
        <v>0.57777777777777772</v>
      </c>
      <c r="X140" s="324">
        <f t="shared" si="36"/>
        <v>0.42222222222222222</v>
      </c>
      <c r="AB140" s="4">
        <f t="shared" si="39"/>
        <v>2016</v>
      </c>
      <c r="AC140" s="394">
        <f t="shared" si="40"/>
        <v>42522</v>
      </c>
      <c r="AD140" s="135">
        <f t="shared" si="37"/>
        <v>7.5306797172376294</v>
      </c>
      <c r="AE140" s="136">
        <v>7.5306797172376294</v>
      </c>
      <c r="AG140" s="4">
        <f t="shared" si="30"/>
        <v>2015</v>
      </c>
      <c r="AH140" s="394">
        <v>42124</v>
      </c>
      <c r="AI140" s="4">
        <f t="shared" si="31"/>
        <v>4.5350000000000001</v>
      </c>
      <c r="AJ140" s="4">
        <v>4.59</v>
      </c>
      <c r="AK140" s="4">
        <v>4.4800000000000004</v>
      </c>
      <c r="AM140" s="4">
        <f t="shared" si="32"/>
        <v>2019</v>
      </c>
      <c r="AN140" s="337">
        <v>43525</v>
      </c>
      <c r="AO140" s="4">
        <f t="shared" si="33"/>
        <v>11.75</v>
      </c>
      <c r="AP140" s="4">
        <v>12.55</v>
      </c>
      <c r="AQ140" s="4">
        <v>10.95</v>
      </c>
    </row>
    <row r="141" spans="16:43">
      <c r="P141" s="4">
        <f t="shared" si="34"/>
        <v>2016</v>
      </c>
      <c r="Q141" s="396">
        <f t="shared" si="41"/>
        <v>42552</v>
      </c>
      <c r="R141" s="136">
        <v>61.66</v>
      </c>
      <c r="S141" s="136">
        <v>51.14</v>
      </c>
      <c r="T141" s="338">
        <f t="shared" si="38"/>
        <v>57.136399999999995</v>
      </c>
      <c r="U141" s="324">
        <v>400</v>
      </c>
      <c r="V141" s="324">
        <v>344</v>
      </c>
      <c r="W141" s="324">
        <f t="shared" si="35"/>
        <v>0.5376344086021505</v>
      </c>
      <c r="X141" s="324">
        <f t="shared" si="36"/>
        <v>0.46236559139784944</v>
      </c>
      <c r="AB141" s="4">
        <f t="shared" si="39"/>
        <v>2016</v>
      </c>
      <c r="AC141" s="394">
        <f t="shared" si="40"/>
        <v>42552</v>
      </c>
      <c r="AD141" s="135">
        <f t="shared" si="37"/>
        <v>7.6496302338227302</v>
      </c>
      <c r="AE141" s="136">
        <v>7.6496302338227302</v>
      </c>
      <c r="AG141" s="4">
        <f t="shared" ref="AG141:AG204" si="42">YEAR(AH141)</f>
        <v>2015</v>
      </c>
      <c r="AH141" s="394">
        <v>42155</v>
      </c>
      <c r="AI141" s="4">
        <f t="shared" ref="AI141:AI204" si="43">AVERAGE(AJ141:AK141)</f>
        <v>4.5350000000000001</v>
      </c>
      <c r="AJ141" s="4">
        <v>4.59</v>
      </c>
      <c r="AK141" s="4">
        <v>4.4800000000000004</v>
      </c>
      <c r="AM141" s="4">
        <f t="shared" ref="AM141:AM204" si="44">YEAR(AN141)</f>
        <v>2019</v>
      </c>
      <c r="AN141" s="337">
        <v>43556</v>
      </c>
      <c r="AO141" s="4">
        <f t="shared" ref="AO141:AO204" si="45">AVERAGE(AP141:AQ141)</f>
        <v>10.99</v>
      </c>
      <c r="AP141" s="4">
        <v>11.83</v>
      </c>
      <c r="AQ141" s="4">
        <v>10.15</v>
      </c>
    </row>
    <row r="142" spans="16:43">
      <c r="P142" s="4">
        <f t="shared" si="34"/>
        <v>2016</v>
      </c>
      <c r="Q142" s="396">
        <f t="shared" si="41"/>
        <v>42583</v>
      </c>
      <c r="R142" s="136">
        <v>69.25</v>
      </c>
      <c r="S142" s="136">
        <v>57.96</v>
      </c>
      <c r="T142" s="338">
        <f t="shared" si="38"/>
        <v>64.395299999999992</v>
      </c>
      <c r="U142" s="324">
        <v>432</v>
      </c>
      <c r="V142" s="324">
        <v>312</v>
      </c>
      <c r="W142" s="324">
        <f t="shared" si="35"/>
        <v>0.58064516129032262</v>
      </c>
      <c r="X142" s="324">
        <f t="shared" si="36"/>
        <v>0.41935483870967744</v>
      </c>
      <c r="AB142" s="4">
        <f t="shared" si="39"/>
        <v>2016</v>
      </c>
      <c r="AC142" s="394">
        <f t="shared" si="40"/>
        <v>42583</v>
      </c>
      <c r="AD142" s="135">
        <f t="shared" si="37"/>
        <v>7.6496302338227302</v>
      </c>
      <c r="AE142" s="136">
        <v>7.6496302338227302</v>
      </c>
      <c r="AG142" s="4">
        <f t="shared" si="42"/>
        <v>2015</v>
      </c>
      <c r="AH142" s="394">
        <v>42185</v>
      </c>
      <c r="AI142" s="4">
        <f t="shared" si="43"/>
        <v>4.6050000000000004</v>
      </c>
      <c r="AJ142" s="4">
        <v>4.66</v>
      </c>
      <c r="AK142" s="4">
        <v>4.55</v>
      </c>
      <c r="AM142" s="4">
        <f t="shared" si="44"/>
        <v>2019</v>
      </c>
      <c r="AN142" s="337">
        <v>43586</v>
      </c>
      <c r="AO142" s="4">
        <f t="shared" si="45"/>
        <v>10.99</v>
      </c>
      <c r="AP142" s="4">
        <v>11.83</v>
      </c>
      <c r="AQ142" s="4">
        <v>10.15</v>
      </c>
    </row>
    <row r="143" spans="16:43">
      <c r="P143" s="4">
        <f t="shared" si="34"/>
        <v>2016</v>
      </c>
      <c r="Q143" s="396">
        <f t="shared" si="41"/>
        <v>42614</v>
      </c>
      <c r="R143" s="136">
        <v>68.94</v>
      </c>
      <c r="S143" s="136">
        <v>55.06</v>
      </c>
      <c r="T143" s="338">
        <f t="shared" si="38"/>
        <v>62.971599999999995</v>
      </c>
      <c r="U143" s="324">
        <v>400</v>
      </c>
      <c r="V143" s="324">
        <v>320</v>
      </c>
      <c r="W143" s="324">
        <f t="shared" si="35"/>
        <v>0.55555555555555558</v>
      </c>
      <c r="X143" s="324">
        <f t="shared" si="36"/>
        <v>0.44444444444444442</v>
      </c>
      <c r="AB143" s="4">
        <f t="shared" si="39"/>
        <v>2016</v>
      </c>
      <c r="AC143" s="394">
        <f t="shared" si="40"/>
        <v>42614</v>
      </c>
      <c r="AD143" s="135">
        <f t="shared" si="37"/>
        <v>7.6496302338227302</v>
      </c>
      <c r="AE143" s="136">
        <v>7.6496302338227302</v>
      </c>
      <c r="AG143" s="4">
        <f t="shared" si="42"/>
        <v>2015</v>
      </c>
      <c r="AH143" s="394">
        <v>42216</v>
      </c>
      <c r="AI143" s="4">
        <f t="shared" si="43"/>
        <v>4.6750000000000007</v>
      </c>
      <c r="AJ143" s="4">
        <v>4.7300000000000004</v>
      </c>
      <c r="AK143" s="4">
        <v>4.62</v>
      </c>
      <c r="AM143" s="4">
        <f t="shared" si="44"/>
        <v>2019</v>
      </c>
      <c r="AN143" s="337">
        <v>43617</v>
      </c>
      <c r="AO143" s="4">
        <f t="shared" si="45"/>
        <v>11.16</v>
      </c>
      <c r="AP143" s="4">
        <v>12.01</v>
      </c>
      <c r="AQ143" s="4">
        <v>10.31</v>
      </c>
    </row>
    <row r="144" spans="16:43">
      <c r="P144" s="4">
        <f t="shared" ref="P144:P207" si="46">+YEAR(Q144)</f>
        <v>2016</v>
      </c>
      <c r="Q144" s="396">
        <f t="shared" si="41"/>
        <v>42644</v>
      </c>
      <c r="R144" s="136">
        <v>63.52</v>
      </c>
      <c r="S144" s="136">
        <v>49.1</v>
      </c>
      <c r="T144" s="338">
        <f t="shared" si="38"/>
        <v>57.319400000000002</v>
      </c>
      <c r="U144" s="324">
        <v>416</v>
      </c>
      <c r="V144" s="324">
        <v>328</v>
      </c>
      <c r="W144" s="324">
        <f t="shared" ref="W144:W207" si="47">U144/(U144+V144)</f>
        <v>0.55913978494623651</v>
      </c>
      <c r="X144" s="324">
        <f t="shared" ref="X144:X207" si="48">V144/(U144+V144)</f>
        <v>0.44086021505376344</v>
      </c>
      <c r="AB144" s="4">
        <f t="shared" si="39"/>
        <v>2016</v>
      </c>
      <c r="AC144" s="394">
        <f t="shared" si="40"/>
        <v>42644</v>
      </c>
      <c r="AD144" s="135">
        <f t="shared" ref="AD144:AD207" si="49">AE144</f>
        <v>7.9181185426862433</v>
      </c>
      <c r="AE144" s="136">
        <v>7.9181185426862433</v>
      </c>
      <c r="AG144" s="4">
        <f t="shared" si="42"/>
        <v>2015</v>
      </c>
      <c r="AH144" s="394">
        <v>42247</v>
      </c>
      <c r="AI144" s="4">
        <f t="shared" si="43"/>
        <v>4.6750000000000007</v>
      </c>
      <c r="AJ144" s="4">
        <v>4.7300000000000004</v>
      </c>
      <c r="AK144" s="4">
        <v>4.62</v>
      </c>
      <c r="AM144" s="4">
        <f t="shared" si="44"/>
        <v>2019</v>
      </c>
      <c r="AN144" s="337">
        <v>43647</v>
      </c>
      <c r="AO144" s="4">
        <f t="shared" si="45"/>
        <v>11.33</v>
      </c>
      <c r="AP144" s="4">
        <v>12.19</v>
      </c>
      <c r="AQ144" s="4">
        <v>10.47</v>
      </c>
    </row>
    <row r="145" spans="16:43">
      <c r="P145" s="4">
        <f t="shared" si="46"/>
        <v>2016</v>
      </c>
      <c r="Q145" s="396">
        <f t="shared" si="41"/>
        <v>42675</v>
      </c>
      <c r="R145" s="136">
        <v>70.37</v>
      </c>
      <c r="S145" s="136">
        <v>59.53</v>
      </c>
      <c r="T145" s="338">
        <f t="shared" si="38"/>
        <v>65.708799999999997</v>
      </c>
      <c r="U145" s="324">
        <v>400</v>
      </c>
      <c r="V145" s="324">
        <v>320</v>
      </c>
      <c r="W145" s="324">
        <f t="shared" si="47"/>
        <v>0.55555555555555558</v>
      </c>
      <c r="X145" s="324">
        <f t="shared" si="48"/>
        <v>0.44444444444444442</v>
      </c>
      <c r="AB145" s="4">
        <f t="shared" si="39"/>
        <v>2016</v>
      </c>
      <c r="AC145" s="394">
        <f t="shared" si="40"/>
        <v>42675</v>
      </c>
      <c r="AD145" s="135">
        <f t="shared" si="49"/>
        <v>8.0336704730831965</v>
      </c>
      <c r="AE145" s="136">
        <v>8.0336704730831965</v>
      </c>
      <c r="AG145" s="4">
        <f t="shared" si="42"/>
        <v>2015</v>
      </c>
      <c r="AH145" s="394">
        <v>42277</v>
      </c>
      <c r="AI145" s="4">
        <f t="shared" si="43"/>
        <v>4.6750000000000007</v>
      </c>
      <c r="AJ145" s="4">
        <v>4.7300000000000004</v>
      </c>
      <c r="AK145" s="4">
        <v>4.62</v>
      </c>
      <c r="AM145" s="4">
        <f t="shared" si="44"/>
        <v>2019</v>
      </c>
      <c r="AN145" s="337">
        <v>43678</v>
      </c>
      <c r="AO145" s="4">
        <f t="shared" si="45"/>
        <v>11.33</v>
      </c>
      <c r="AP145" s="4">
        <v>12.19</v>
      </c>
      <c r="AQ145" s="4">
        <v>10.47</v>
      </c>
    </row>
    <row r="146" spans="16:43">
      <c r="P146" s="4">
        <f t="shared" si="46"/>
        <v>2016</v>
      </c>
      <c r="Q146" s="396">
        <f t="shared" si="41"/>
        <v>42705</v>
      </c>
      <c r="R146" s="136">
        <v>71.209999999999994</v>
      </c>
      <c r="S146" s="136">
        <v>58.72</v>
      </c>
      <c r="T146" s="338">
        <f t="shared" si="38"/>
        <v>65.839299999999994</v>
      </c>
      <c r="U146" s="324">
        <v>416</v>
      </c>
      <c r="V146" s="324">
        <v>328</v>
      </c>
      <c r="W146" s="324">
        <f t="shared" si="47"/>
        <v>0.55913978494623651</v>
      </c>
      <c r="X146" s="324">
        <f t="shared" si="48"/>
        <v>0.44086021505376344</v>
      </c>
      <c r="AB146" s="4">
        <f t="shared" si="39"/>
        <v>2016</v>
      </c>
      <c r="AC146" s="394">
        <f t="shared" si="40"/>
        <v>42705</v>
      </c>
      <c r="AD146" s="135">
        <f t="shared" si="49"/>
        <v>8.4177107123436645</v>
      </c>
      <c r="AE146" s="136">
        <v>8.4177107123436645</v>
      </c>
      <c r="AG146" s="4">
        <f t="shared" si="42"/>
        <v>2015</v>
      </c>
      <c r="AH146" s="394">
        <v>42308</v>
      </c>
      <c r="AI146" s="4">
        <f t="shared" si="43"/>
        <v>4.8499999999999996</v>
      </c>
      <c r="AJ146" s="4">
        <v>4.87</v>
      </c>
      <c r="AK146" s="4">
        <v>4.83</v>
      </c>
      <c r="AM146" s="4">
        <f t="shared" si="44"/>
        <v>2019</v>
      </c>
      <c r="AN146" s="337">
        <v>43709</v>
      </c>
      <c r="AO146" s="4">
        <f t="shared" si="45"/>
        <v>11.33</v>
      </c>
      <c r="AP146" s="4">
        <v>12.19</v>
      </c>
      <c r="AQ146" s="4">
        <v>10.47</v>
      </c>
    </row>
    <row r="147" spans="16:43">
      <c r="P147" s="4">
        <f t="shared" si="46"/>
        <v>2017</v>
      </c>
      <c r="Q147" s="396">
        <f t="shared" si="41"/>
        <v>42736</v>
      </c>
      <c r="R147" s="136">
        <v>79.83</v>
      </c>
      <c r="S147" s="136">
        <v>65.11</v>
      </c>
      <c r="T147" s="338">
        <f t="shared" si="38"/>
        <v>73.500399999999999</v>
      </c>
      <c r="U147" s="324">
        <v>400</v>
      </c>
      <c r="V147" s="324">
        <v>344</v>
      </c>
      <c r="W147" s="324">
        <f t="shared" si="47"/>
        <v>0.5376344086021505</v>
      </c>
      <c r="X147" s="324">
        <f t="shared" si="48"/>
        <v>0.46236559139784944</v>
      </c>
      <c r="AB147" s="4">
        <f t="shared" si="39"/>
        <v>2017</v>
      </c>
      <c r="AC147" s="394">
        <f t="shared" si="40"/>
        <v>42736</v>
      </c>
      <c r="AD147" s="135">
        <f t="shared" si="49"/>
        <v>9.6683904295812955</v>
      </c>
      <c r="AE147" s="136">
        <v>9.6683904295812955</v>
      </c>
      <c r="AG147" s="4">
        <f t="shared" si="42"/>
        <v>2015</v>
      </c>
      <c r="AH147" s="394">
        <v>42338</v>
      </c>
      <c r="AI147" s="4">
        <f t="shared" si="43"/>
        <v>4.92</v>
      </c>
      <c r="AJ147" s="4">
        <v>4.9400000000000004</v>
      </c>
      <c r="AK147" s="4">
        <v>4.9000000000000004</v>
      </c>
      <c r="AM147" s="4">
        <f t="shared" si="44"/>
        <v>2019</v>
      </c>
      <c r="AN147" s="337">
        <v>43739</v>
      </c>
      <c r="AO147" s="4">
        <f t="shared" si="45"/>
        <v>11.75</v>
      </c>
      <c r="AP147" s="4">
        <v>12.55</v>
      </c>
      <c r="AQ147" s="4">
        <v>10.95</v>
      </c>
    </row>
    <row r="148" spans="16:43">
      <c r="P148" s="4">
        <f t="shared" si="46"/>
        <v>2017</v>
      </c>
      <c r="Q148" s="396">
        <f t="shared" si="41"/>
        <v>42767</v>
      </c>
      <c r="R148" s="136">
        <v>73.38</v>
      </c>
      <c r="S148" s="136">
        <v>62.64</v>
      </c>
      <c r="T148" s="338">
        <f t="shared" si="38"/>
        <v>68.761799999999994</v>
      </c>
      <c r="U148" s="324">
        <v>384</v>
      </c>
      <c r="V148" s="324">
        <v>288</v>
      </c>
      <c r="W148" s="324">
        <f t="shared" si="47"/>
        <v>0.5714285714285714</v>
      </c>
      <c r="X148" s="324">
        <f t="shared" si="48"/>
        <v>0.42857142857142855</v>
      </c>
      <c r="AB148" s="4">
        <f t="shared" si="39"/>
        <v>2017</v>
      </c>
      <c r="AC148" s="394">
        <f t="shared" si="40"/>
        <v>42767</v>
      </c>
      <c r="AD148" s="135">
        <f t="shared" si="49"/>
        <v>9.083833605220228</v>
      </c>
      <c r="AE148" s="136">
        <v>9.083833605220228</v>
      </c>
      <c r="AG148" s="4">
        <f t="shared" si="42"/>
        <v>2015</v>
      </c>
      <c r="AH148" s="394">
        <v>42369</v>
      </c>
      <c r="AI148" s="4">
        <f t="shared" si="43"/>
        <v>5.17</v>
      </c>
      <c r="AJ148" s="4">
        <v>5.15</v>
      </c>
      <c r="AK148" s="4">
        <v>5.19</v>
      </c>
      <c r="AM148" s="4">
        <f t="shared" si="44"/>
        <v>2019</v>
      </c>
      <c r="AN148" s="337">
        <v>43770</v>
      </c>
      <c r="AO148" s="4">
        <f t="shared" si="45"/>
        <v>11.92</v>
      </c>
      <c r="AP148" s="4">
        <v>12.73</v>
      </c>
      <c r="AQ148" s="4">
        <v>11.11</v>
      </c>
    </row>
    <row r="149" spans="16:43">
      <c r="P149" s="4">
        <f t="shared" si="46"/>
        <v>2017</v>
      </c>
      <c r="Q149" s="396">
        <f t="shared" si="41"/>
        <v>42795</v>
      </c>
      <c r="R149" s="136">
        <v>69.77</v>
      </c>
      <c r="S149" s="136">
        <v>62.99</v>
      </c>
      <c r="T149" s="338">
        <f t="shared" si="38"/>
        <v>66.854599999999991</v>
      </c>
      <c r="U149" s="324">
        <v>432</v>
      </c>
      <c r="V149" s="324">
        <v>312</v>
      </c>
      <c r="W149" s="324">
        <f t="shared" si="47"/>
        <v>0.58064516129032262</v>
      </c>
      <c r="X149" s="324">
        <f t="shared" si="48"/>
        <v>0.41935483870967744</v>
      </c>
      <c r="AB149" s="4">
        <f t="shared" si="39"/>
        <v>2017</v>
      </c>
      <c r="AC149" s="394">
        <f t="shared" si="40"/>
        <v>42795</v>
      </c>
      <c r="AD149" s="135">
        <f t="shared" si="49"/>
        <v>8.5434584013050561</v>
      </c>
      <c r="AE149" s="136">
        <v>8.5434584013050561</v>
      </c>
      <c r="AG149" s="4">
        <f t="shared" si="42"/>
        <v>2016</v>
      </c>
      <c r="AH149" s="394">
        <v>42400</v>
      </c>
      <c r="AI149" s="4">
        <f t="shared" si="43"/>
        <v>5.73</v>
      </c>
      <c r="AJ149" s="4">
        <v>5.67</v>
      </c>
      <c r="AK149" s="4">
        <v>5.79</v>
      </c>
      <c r="AM149" s="4">
        <f t="shared" si="44"/>
        <v>2019</v>
      </c>
      <c r="AN149" s="337">
        <v>43800</v>
      </c>
      <c r="AO149" s="4">
        <f t="shared" si="45"/>
        <v>12.515000000000001</v>
      </c>
      <c r="AP149" s="4">
        <v>13.27</v>
      </c>
      <c r="AQ149" s="4">
        <v>11.76</v>
      </c>
    </row>
    <row r="150" spans="16:43">
      <c r="P150" s="4">
        <f t="shared" si="46"/>
        <v>2017</v>
      </c>
      <c r="Q150" s="396">
        <f t="shared" si="41"/>
        <v>42826</v>
      </c>
      <c r="R150" s="136">
        <v>64.25</v>
      </c>
      <c r="S150" s="136">
        <v>59.01</v>
      </c>
      <c r="T150" s="338">
        <f t="shared" si="38"/>
        <v>61.996799999999993</v>
      </c>
      <c r="U150" s="324">
        <v>400</v>
      </c>
      <c r="V150" s="324">
        <v>320</v>
      </c>
      <c r="W150" s="324">
        <f t="shared" si="47"/>
        <v>0.55555555555555558</v>
      </c>
      <c r="X150" s="324">
        <f t="shared" si="48"/>
        <v>0.44444444444444442</v>
      </c>
      <c r="AB150" s="4">
        <f t="shared" si="39"/>
        <v>2017</v>
      </c>
      <c r="AC150" s="394">
        <f t="shared" si="40"/>
        <v>42826</v>
      </c>
      <c r="AD150" s="135">
        <f t="shared" si="49"/>
        <v>8.0880478520935277</v>
      </c>
      <c r="AE150" s="136">
        <v>8.0880478520935277</v>
      </c>
      <c r="AG150" s="4">
        <f t="shared" si="42"/>
        <v>2016</v>
      </c>
      <c r="AH150" s="394">
        <v>42429</v>
      </c>
      <c r="AI150" s="4">
        <f t="shared" si="43"/>
        <v>5.33</v>
      </c>
      <c r="AJ150" s="4">
        <v>5.31</v>
      </c>
      <c r="AK150" s="4">
        <v>5.35</v>
      </c>
      <c r="AM150" s="4">
        <f t="shared" si="44"/>
        <v>2020</v>
      </c>
      <c r="AN150" s="337">
        <v>43831</v>
      </c>
      <c r="AO150" s="4">
        <f t="shared" si="45"/>
        <v>13.14</v>
      </c>
      <c r="AP150" s="4">
        <v>12.97</v>
      </c>
      <c r="AQ150" s="4">
        <v>13.31</v>
      </c>
    </row>
    <row r="151" spans="16:43">
      <c r="P151" s="4">
        <f t="shared" si="46"/>
        <v>2017</v>
      </c>
      <c r="Q151" s="396">
        <f t="shared" si="41"/>
        <v>42856</v>
      </c>
      <c r="R151" s="136">
        <v>66.900000000000006</v>
      </c>
      <c r="S151" s="136">
        <v>52.32</v>
      </c>
      <c r="T151" s="338">
        <f t="shared" si="38"/>
        <v>60.630600000000001</v>
      </c>
      <c r="U151" s="324">
        <v>416</v>
      </c>
      <c r="V151" s="324">
        <v>328</v>
      </c>
      <c r="W151" s="324">
        <f t="shared" si="47"/>
        <v>0.55913978494623651</v>
      </c>
      <c r="X151" s="324">
        <f t="shared" si="48"/>
        <v>0.44086021505376344</v>
      </c>
      <c r="AB151" s="4">
        <f t="shared" si="39"/>
        <v>2017</v>
      </c>
      <c r="AC151" s="394">
        <f t="shared" si="40"/>
        <v>42856</v>
      </c>
      <c r="AD151" s="135">
        <f t="shared" si="49"/>
        <v>8.0064817835780318</v>
      </c>
      <c r="AE151" s="136">
        <v>8.0064817835780318</v>
      </c>
      <c r="AG151" s="4">
        <f t="shared" si="42"/>
        <v>2016</v>
      </c>
      <c r="AH151" s="394">
        <v>42460</v>
      </c>
      <c r="AI151" s="4">
        <f t="shared" si="43"/>
        <v>5</v>
      </c>
      <c r="AJ151" s="4">
        <v>5.0199999999999996</v>
      </c>
      <c r="AK151" s="4">
        <v>4.9800000000000004</v>
      </c>
      <c r="AM151" s="4">
        <f t="shared" si="44"/>
        <v>2020</v>
      </c>
      <c r="AN151" s="337">
        <v>43862</v>
      </c>
      <c r="AO151" s="4">
        <f t="shared" si="45"/>
        <v>12.225000000000001</v>
      </c>
      <c r="AP151" s="4">
        <v>12.15</v>
      </c>
      <c r="AQ151" s="4">
        <v>12.3</v>
      </c>
    </row>
    <row r="152" spans="16:43">
      <c r="P152" s="4">
        <f t="shared" si="46"/>
        <v>2017</v>
      </c>
      <c r="Q152" s="396">
        <f t="shared" si="41"/>
        <v>42887</v>
      </c>
      <c r="R152" s="136">
        <v>71.150000000000006</v>
      </c>
      <c r="S152" s="136">
        <v>52.95</v>
      </c>
      <c r="T152" s="338">
        <f t="shared" ref="T152:T215" si="50">R152*0.57+S152*0.43</f>
        <v>63.323999999999998</v>
      </c>
      <c r="U152" s="324">
        <v>416</v>
      </c>
      <c r="V152" s="324">
        <v>304</v>
      </c>
      <c r="W152" s="324">
        <f t="shared" si="47"/>
        <v>0.57777777777777772</v>
      </c>
      <c r="X152" s="324">
        <f t="shared" si="48"/>
        <v>0.42222222222222222</v>
      </c>
      <c r="AB152" s="4">
        <f t="shared" si="39"/>
        <v>2017</v>
      </c>
      <c r="AC152" s="394">
        <f t="shared" si="40"/>
        <v>42887</v>
      </c>
      <c r="AD152" s="135">
        <f t="shared" si="49"/>
        <v>8.1288308863512757</v>
      </c>
      <c r="AE152" s="136">
        <v>8.1288308863512757</v>
      </c>
      <c r="AG152" s="4">
        <f t="shared" si="42"/>
        <v>2016</v>
      </c>
      <c r="AH152" s="394">
        <v>42490</v>
      </c>
      <c r="AI152" s="4">
        <f t="shared" si="43"/>
        <v>4.68</v>
      </c>
      <c r="AJ152" s="4">
        <v>4.74</v>
      </c>
      <c r="AK152" s="4">
        <v>4.62</v>
      </c>
      <c r="AM152" s="4">
        <f t="shared" si="44"/>
        <v>2020</v>
      </c>
      <c r="AN152" s="337">
        <v>43891</v>
      </c>
      <c r="AO152" s="4">
        <f t="shared" si="45"/>
        <v>11.475000000000001</v>
      </c>
      <c r="AP152" s="4">
        <v>11.49</v>
      </c>
      <c r="AQ152" s="4">
        <v>11.46</v>
      </c>
    </row>
    <row r="153" spans="16:43">
      <c r="P153" s="4">
        <f t="shared" si="46"/>
        <v>2017</v>
      </c>
      <c r="Q153" s="396">
        <f t="shared" si="41"/>
        <v>42917</v>
      </c>
      <c r="R153" s="136">
        <v>67.239999999999995</v>
      </c>
      <c r="S153" s="136">
        <v>59.21</v>
      </c>
      <c r="T153" s="338">
        <f t="shared" si="50"/>
        <v>63.787099999999995</v>
      </c>
      <c r="U153" s="324">
        <v>400</v>
      </c>
      <c r="V153" s="324">
        <v>344</v>
      </c>
      <c r="W153" s="324">
        <f t="shared" si="47"/>
        <v>0.5376344086021505</v>
      </c>
      <c r="X153" s="324">
        <f t="shared" si="48"/>
        <v>0.46236559139784944</v>
      </c>
      <c r="AB153" s="4">
        <f t="shared" si="39"/>
        <v>2017</v>
      </c>
      <c r="AC153" s="394">
        <f t="shared" si="40"/>
        <v>42917</v>
      </c>
      <c r="AD153" s="135">
        <f t="shared" si="49"/>
        <v>8.254578575312669</v>
      </c>
      <c r="AE153" s="136">
        <v>8.254578575312669</v>
      </c>
      <c r="AG153" s="4">
        <f t="shared" si="42"/>
        <v>2016</v>
      </c>
      <c r="AH153" s="394">
        <v>42521</v>
      </c>
      <c r="AI153" s="4">
        <f t="shared" si="43"/>
        <v>4.68</v>
      </c>
      <c r="AJ153" s="4">
        <v>4.74</v>
      </c>
      <c r="AK153" s="4">
        <v>4.62</v>
      </c>
      <c r="AM153" s="4">
        <f t="shared" si="44"/>
        <v>2020</v>
      </c>
      <c r="AN153" s="337">
        <v>43922</v>
      </c>
      <c r="AO153" s="4">
        <f t="shared" si="45"/>
        <v>10.725</v>
      </c>
      <c r="AP153" s="4">
        <v>10.83</v>
      </c>
      <c r="AQ153" s="4">
        <v>10.62</v>
      </c>
    </row>
    <row r="154" spans="16:43">
      <c r="P154" s="4">
        <f t="shared" si="46"/>
        <v>2017</v>
      </c>
      <c r="Q154" s="396">
        <f t="shared" si="41"/>
        <v>42948</v>
      </c>
      <c r="R154" s="136">
        <v>78.47</v>
      </c>
      <c r="S154" s="136">
        <v>63.76</v>
      </c>
      <c r="T154" s="338">
        <f t="shared" si="50"/>
        <v>72.1447</v>
      </c>
      <c r="U154" s="324">
        <v>432</v>
      </c>
      <c r="V154" s="324">
        <v>312</v>
      </c>
      <c r="W154" s="324">
        <f t="shared" si="47"/>
        <v>0.58064516129032262</v>
      </c>
      <c r="X154" s="324">
        <f t="shared" si="48"/>
        <v>0.41935483870967744</v>
      </c>
      <c r="AB154" s="4">
        <f t="shared" si="39"/>
        <v>2017</v>
      </c>
      <c r="AC154" s="394">
        <f t="shared" si="40"/>
        <v>42948</v>
      </c>
      <c r="AD154" s="135">
        <f t="shared" si="49"/>
        <v>8.254578575312669</v>
      </c>
      <c r="AE154" s="136">
        <v>8.254578575312669</v>
      </c>
      <c r="AG154" s="4">
        <f t="shared" si="42"/>
        <v>2016</v>
      </c>
      <c r="AH154" s="394">
        <v>42551</v>
      </c>
      <c r="AI154" s="4">
        <f t="shared" si="43"/>
        <v>4.75</v>
      </c>
      <c r="AJ154" s="4">
        <v>4.8099999999999996</v>
      </c>
      <c r="AK154" s="4">
        <v>4.6900000000000004</v>
      </c>
      <c r="AM154" s="4">
        <f t="shared" si="44"/>
        <v>2020</v>
      </c>
      <c r="AN154" s="337">
        <v>43952</v>
      </c>
      <c r="AO154" s="4">
        <f t="shared" si="45"/>
        <v>10.725</v>
      </c>
      <c r="AP154" s="4">
        <v>10.83</v>
      </c>
      <c r="AQ154" s="4">
        <v>10.62</v>
      </c>
    </row>
    <row r="155" spans="16:43">
      <c r="P155" s="4">
        <f t="shared" si="46"/>
        <v>2017</v>
      </c>
      <c r="Q155" s="396">
        <f t="shared" si="41"/>
        <v>42979</v>
      </c>
      <c r="R155" s="136">
        <v>72.84</v>
      </c>
      <c r="S155" s="136">
        <v>60.93</v>
      </c>
      <c r="T155" s="338">
        <f t="shared" si="50"/>
        <v>67.718699999999998</v>
      </c>
      <c r="U155" s="324">
        <v>400</v>
      </c>
      <c r="V155" s="324">
        <v>320</v>
      </c>
      <c r="W155" s="324">
        <f t="shared" si="47"/>
        <v>0.55555555555555558</v>
      </c>
      <c r="X155" s="324">
        <f t="shared" si="48"/>
        <v>0.44444444444444442</v>
      </c>
      <c r="AB155" s="4">
        <f t="shared" si="39"/>
        <v>2017</v>
      </c>
      <c r="AC155" s="394">
        <f t="shared" si="40"/>
        <v>42979</v>
      </c>
      <c r="AD155" s="135">
        <f t="shared" si="49"/>
        <v>8.254578575312669</v>
      </c>
      <c r="AE155" s="136">
        <v>8.254578575312669</v>
      </c>
      <c r="AG155" s="4">
        <f t="shared" si="42"/>
        <v>2016</v>
      </c>
      <c r="AH155" s="394">
        <v>42582</v>
      </c>
      <c r="AI155" s="4">
        <f t="shared" si="43"/>
        <v>4.82</v>
      </c>
      <c r="AJ155" s="4">
        <v>4.88</v>
      </c>
      <c r="AK155" s="4">
        <v>4.76</v>
      </c>
      <c r="AM155" s="4">
        <f t="shared" si="44"/>
        <v>2020</v>
      </c>
      <c r="AN155" s="337">
        <v>43983</v>
      </c>
      <c r="AO155" s="4">
        <f t="shared" si="45"/>
        <v>10.89</v>
      </c>
      <c r="AP155" s="4">
        <v>11</v>
      </c>
      <c r="AQ155" s="4">
        <v>10.78</v>
      </c>
    </row>
    <row r="156" spans="16:43">
      <c r="P156" s="4">
        <f t="shared" si="46"/>
        <v>2017</v>
      </c>
      <c r="Q156" s="396">
        <f t="shared" si="41"/>
        <v>43009</v>
      </c>
      <c r="R156" s="136">
        <v>68.95</v>
      </c>
      <c r="S156" s="136">
        <v>54.58</v>
      </c>
      <c r="T156" s="338">
        <f t="shared" si="50"/>
        <v>62.770899999999997</v>
      </c>
      <c r="U156" s="324">
        <v>416</v>
      </c>
      <c r="V156" s="324">
        <v>328</v>
      </c>
      <c r="W156" s="324">
        <f t="shared" si="47"/>
        <v>0.55913978494623651</v>
      </c>
      <c r="X156" s="324">
        <f t="shared" si="48"/>
        <v>0.44086021505376344</v>
      </c>
      <c r="AB156" s="4">
        <f t="shared" ref="AB156:AB219" si="51">+YEAR(AC156)</f>
        <v>2017</v>
      </c>
      <c r="AC156" s="394">
        <f t="shared" si="40"/>
        <v>43009</v>
      </c>
      <c r="AD156" s="135">
        <f t="shared" si="49"/>
        <v>8.5434584013050561</v>
      </c>
      <c r="AE156" s="136">
        <v>8.5434584013050561</v>
      </c>
      <c r="AG156" s="4">
        <f t="shared" si="42"/>
        <v>2016</v>
      </c>
      <c r="AH156" s="394">
        <v>42613</v>
      </c>
      <c r="AI156" s="4">
        <f t="shared" si="43"/>
        <v>4.82</v>
      </c>
      <c r="AJ156" s="4">
        <v>4.88</v>
      </c>
      <c r="AK156" s="4">
        <v>4.76</v>
      </c>
      <c r="AM156" s="4">
        <f t="shared" si="44"/>
        <v>2020</v>
      </c>
      <c r="AN156" s="337">
        <v>44013</v>
      </c>
      <c r="AO156" s="4">
        <f t="shared" si="45"/>
        <v>11.055</v>
      </c>
      <c r="AP156" s="4">
        <v>11.16</v>
      </c>
      <c r="AQ156" s="4">
        <v>10.95</v>
      </c>
    </row>
    <row r="157" spans="16:43">
      <c r="P157" s="4">
        <f t="shared" si="46"/>
        <v>2017</v>
      </c>
      <c r="Q157" s="396">
        <f t="shared" si="41"/>
        <v>43040</v>
      </c>
      <c r="R157" s="136">
        <v>76.59</v>
      </c>
      <c r="S157" s="136">
        <v>64.33</v>
      </c>
      <c r="T157" s="338">
        <f t="shared" si="50"/>
        <v>71.318200000000004</v>
      </c>
      <c r="U157" s="324">
        <v>400</v>
      </c>
      <c r="V157" s="324">
        <v>320</v>
      </c>
      <c r="W157" s="324">
        <f t="shared" si="47"/>
        <v>0.55555555555555558</v>
      </c>
      <c r="X157" s="324">
        <f t="shared" si="48"/>
        <v>0.44444444444444442</v>
      </c>
      <c r="AB157" s="4">
        <f t="shared" si="51"/>
        <v>2017</v>
      </c>
      <c r="AC157" s="394">
        <f t="shared" ref="AC157:AC220" si="52">EOMONTH(AC156,0)+1</f>
        <v>43040</v>
      </c>
      <c r="AD157" s="135">
        <f t="shared" si="49"/>
        <v>8.6692060902664494</v>
      </c>
      <c r="AE157" s="136">
        <v>8.6692060902664494</v>
      </c>
      <c r="AG157" s="4">
        <f t="shared" si="42"/>
        <v>2016</v>
      </c>
      <c r="AH157" s="394">
        <v>42643</v>
      </c>
      <c r="AI157" s="4">
        <f t="shared" si="43"/>
        <v>4.82</v>
      </c>
      <c r="AJ157" s="4">
        <v>4.88</v>
      </c>
      <c r="AK157" s="4">
        <v>4.76</v>
      </c>
      <c r="AM157" s="4">
        <f t="shared" si="44"/>
        <v>2020</v>
      </c>
      <c r="AN157" s="337">
        <v>44044</v>
      </c>
      <c r="AO157" s="4">
        <f t="shared" si="45"/>
        <v>11.055</v>
      </c>
      <c r="AP157" s="4">
        <v>11.16</v>
      </c>
      <c r="AQ157" s="4">
        <v>10.95</v>
      </c>
    </row>
    <row r="158" spans="16:43">
      <c r="P158" s="4">
        <f t="shared" si="46"/>
        <v>2017</v>
      </c>
      <c r="Q158" s="396">
        <f t="shared" si="41"/>
        <v>43070</v>
      </c>
      <c r="R158" s="136">
        <v>77.13</v>
      </c>
      <c r="S158" s="136">
        <v>64.42</v>
      </c>
      <c r="T158" s="338">
        <f t="shared" si="50"/>
        <v>71.664699999999996</v>
      </c>
      <c r="U158" s="324">
        <v>400</v>
      </c>
      <c r="V158" s="324">
        <v>344</v>
      </c>
      <c r="W158" s="324">
        <f t="shared" si="47"/>
        <v>0.5376344086021505</v>
      </c>
      <c r="X158" s="324">
        <f t="shared" si="48"/>
        <v>0.46236559139784944</v>
      </c>
      <c r="AB158" s="4">
        <f t="shared" si="51"/>
        <v>2017</v>
      </c>
      <c r="AC158" s="394">
        <f t="shared" si="52"/>
        <v>43070</v>
      </c>
      <c r="AD158" s="135">
        <f t="shared" si="49"/>
        <v>9.083833605220228</v>
      </c>
      <c r="AE158" s="136">
        <v>9.083833605220228</v>
      </c>
      <c r="AG158" s="4">
        <f t="shared" si="42"/>
        <v>2016</v>
      </c>
      <c r="AH158" s="394">
        <v>42674</v>
      </c>
      <c r="AI158" s="4">
        <f t="shared" si="43"/>
        <v>5</v>
      </c>
      <c r="AJ158" s="4">
        <v>5.0199999999999996</v>
      </c>
      <c r="AK158" s="4">
        <v>4.9800000000000004</v>
      </c>
      <c r="AM158" s="4">
        <f t="shared" si="44"/>
        <v>2020</v>
      </c>
      <c r="AN158" s="337">
        <v>44075</v>
      </c>
      <c r="AO158" s="4">
        <f t="shared" si="45"/>
        <v>11.055</v>
      </c>
      <c r="AP158" s="4">
        <v>11.16</v>
      </c>
      <c r="AQ158" s="4">
        <v>10.95</v>
      </c>
    </row>
    <row r="159" spans="16:43">
      <c r="P159" s="4">
        <f t="shared" si="46"/>
        <v>2018</v>
      </c>
      <c r="Q159" s="396">
        <f t="shared" si="41"/>
        <v>43101</v>
      </c>
      <c r="R159" s="136">
        <v>86.47</v>
      </c>
      <c r="S159" s="136">
        <v>74.489999999999995</v>
      </c>
      <c r="T159" s="338">
        <f t="shared" si="50"/>
        <v>81.318599999999989</v>
      </c>
      <c r="U159" s="324">
        <v>416</v>
      </c>
      <c r="V159" s="324">
        <v>328</v>
      </c>
      <c r="W159" s="324">
        <f t="shared" si="47"/>
        <v>0.55913978494623651</v>
      </c>
      <c r="X159" s="324">
        <f t="shared" si="48"/>
        <v>0.44086021505376344</v>
      </c>
      <c r="AB159" s="4">
        <f t="shared" si="51"/>
        <v>2018</v>
      </c>
      <c r="AC159" s="394">
        <f t="shared" si="52"/>
        <v>43101</v>
      </c>
      <c r="AD159" s="135">
        <f t="shared" si="49"/>
        <v>10.300527460576399</v>
      </c>
      <c r="AE159" s="136">
        <v>10.300527460576399</v>
      </c>
      <c r="AG159" s="4">
        <f t="shared" si="42"/>
        <v>2016</v>
      </c>
      <c r="AH159" s="394">
        <v>42704</v>
      </c>
      <c r="AI159" s="4">
        <f t="shared" si="43"/>
        <v>5.08</v>
      </c>
      <c r="AJ159" s="4">
        <v>5.0999999999999996</v>
      </c>
      <c r="AK159" s="4">
        <v>5.0599999999999996</v>
      </c>
      <c r="AM159" s="4">
        <f t="shared" si="44"/>
        <v>2020</v>
      </c>
      <c r="AN159" s="337">
        <v>44105</v>
      </c>
      <c r="AO159" s="4">
        <f t="shared" si="45"/>
        <v>11.475000000000001</v>
      </c>
      <c r="AP159" s="4">
        <v>11.49</v>
      </c>
      <c r="AQ159" s="4">
        <v>11.46</v>
      </c>
    </row>
    <row r="160" spans="16:43">
      <c r="P160" s="4">
        <f t="shared" si="46"/>
        <v>2018</v>
      </c>
      <c r="Q160" s="396">
        <f t="shared" si="41"/>
        <v>43132</v>
      </c>
      <c r="R160" s="136">
        <v>79.75</v>
      </c>
      <c r="S160" s="136">
        <v>68.38</v>
      </c>
      <c r="T160" s="338">
        <f t="shared" si="50"/>
        <v>74.860899999999987</v>
      </c>
      <c r="U160" s="324">
        <v>384</v>
      </c>
      <c r="V160" s="324">
        <v>288</v>
      </c>
      <c r="W160" s="324">
        <f t="shared" si="47"/>
        <v>0.5714285714285714</v>
      </c>
      <c r="X160" s="324">
        <f t="shared" si="48"/>
        <v>0.42857142857142855</v>
      </c>
      <c r="AB160" s="4">
        <f t="shared" si="51"/>
        <v>2018</v>
      </c>
      <c r="AC160" s="394">
        <f t="shared" si="52"/>
        <v>43132</v>
      </c>
      <c r="AD160" s="135">
        <f t="shared" si="49"/>
        <v>9.6785861881457311</v>
      </c>
      <c r="AE160" s="136">
        <v>9.6785861881457311</v>
      </c>
      <c r="AG160" s="4">
        <f t="shared" si="42"/>
        <v>2016</v>
      </c>
      <c r="AH160" s="394">
        <v>42735</v>
      </c>
      <c r="AI160" s="4">
        <f t="shared" si="43"/>
        <v>5.33</v>
      </c>
      <c r="AJ160" s="4">
        <v>5.31</v>
      </c>
      <c r="AK160" s="4">
        <v>5.35</v>
      </c>
      <c r="AM160" s="4">
        <f t="shared" si="44"/>
        <v>2020</v>
      </c>
      <c r="AN160" s="337">
        <v>44136</v>
      </c>
      <c r="AO160" s="4">
        <f t="shared" si="45"/>
        <v>11.64</v>
      </c>
      <c r="AP160" s="4">
        <v>11.65</v>
      </c>
      <c r="AQ160" s="4">
        <v>11.63</v>
      </c>
    </row>
    <row r="161" spans="16:43">
      <c r="P161" s="4">
        <f t="shared" si="46"/>
        <v>2018</v>
      </c>
      <c r="Q161" s="396">
        <f t="shared" si="41"/>
        <v>43160</v>
      </c>
      <c r="R161" s="136">
        <v>73.75</v>
      </c>
      <c r="S161" s="136">
        <v>65.930000000000007</v>
      </c>
      <c r="T161" s="338">
        <f t="shared" si="50"/>
        <v>70.3874</v>
      </c>
      <c r="U161" s="324">
        <v>432</v>
      </c>
      <c r="V161" s="324">
        <v>312</v>
      </c>
      <c r="W161" s="324">
        <f t="shared" si="47"/>
        <v>0.58064516129032262</v>
      </c>
      <c r="X161" s="324">
        <f t="shared" si="48"/>
        <v>0.41935483870967744</v>
      </c>
      <c r="AB161" s="4">
        <f t="shared" si="51"/>
        <v>2018</v>
      </c>
      <c r="AC161" s="394">
        <f t="shared" si="52"/>
        <v>43160</v>
      </c>
      <c r="AD161" s="135">
        <f t="shared" si="49"/>
        <v>9.1076237085372469</v>
      </c>
      <c r="AE161" s="136">
        <v>9.1076237085372469</v>
      </c>
      <c r="AG161" s="4">
        <f t="shared" si="42"/>
        <v>2017</v>
      </c>
      <c r="AH161" s="394">
        <v>42766</v>
      </c>
      <c r="AI161" s="4">
        <f t="shared" si="43"/>
        <v>5.91</v>
      </c>
      <c r="AJ161" s="4">
        <v>5.85</v>
      </c>
      <c r="AK161" s="4">
        <v>5.97</v>
      </c>
      <c r="AM161" s="4">
        <f t="shared" si="44"/>
        <v>2020</v>
      </c>
      <c r="AN161" s="337">
        <v>44166</v>
      </c>
      <c r="AO161" s="4">
        <f t="shared" si="45"/>
        <v>12.225000000000001</v>
      </c>
      <c r="AP161" s="4">
        <v>12.15</v>
      </c>
      <c r="AQ161" s="4">
        <v>12.3</v>
      </c>
    </row>
    <row r="162" spans="16:43">
      <c r="P162" s="4">
        <f t="shared" si="46"/>
        <v>2018</v>
      </c>
      <c r="Q162" s="396">
        <f t="shared" si="41"/>
        <v>43191</v>
      </c>
      <c r="R162" s="136">
        <v>72.760000000000005</v>
      </c>
      <c r="S162" s="136">
        <v>63.99</v>
      </c>
      <c r="T162" s="338">
        <f t="shared" si="50"/>
        <v>68.988900000000001</v>
      </c>
      <c r="U162" s="324">
        <v>400</v>
      </c>
      <c r="V162" s="324">
        <v>320</v>
      </c>
      <c r="W162" s="324">
        <f t="shared" si="47"/>
        <v>0.55555555555555558</v>
      </c>
      <c r="X162" s="324">
        <f t="shared" si="48"/>
        <v>0.44444444444444442</v>
      </c>
      <c r="AB162" s="4">
        <f t="shared" si="51"/>
        <v>2018</v>
      </c>
      <c r="AC162" s="394">
        <f t="shared" si="52"/>
        <v>43191</v>
      </c>
      <c r="AD162" s="135">
        <f t="shared" si="49"/>
        <v>8.6182272974442604</v>
      </c>
      <c r="AE162" s="136">
        <v>8.6182272974442604</v>
      </c>
      <c r="AG162" s="4">
        <f t="shared" si="42"/>
        <v>2017</v>
      </c>
      <c r="AH162" s="394">
        <v>42794</v>
      </c>
      <c r="AI162" s="4">
        <f t="shared" si="43"/>
        <v>5.5</v>
      </c>
      <c r="AJ162" s="4">
        <v>5.48</v>
      </c>
      <c r="AK162" s="4">
        <v>5.52</v>
      </c>
      <c r="AM162" s="4">
        <f t="shared" si="44"/>
        <v>2021</v>
      </c>
      <c r="AN162" s="337">
        <v>44197</v>
      </c>
      <c r="AO162" s="4">
        <f t="shared" si="45"/>
        <v>13.385000000000002</v>
      </c>
      <c r="AP162" s="4">
        <v>13.21</v>
      </c>
      <c r="AQ162" s="4">
        <v>13.56</v>
      </c>
    </row>
    <row r="163" spans="16:43">
      <c r="P163" s="4">
        <f t="shared" si="46"/>
        <v>2018</v>
      </c>
      <c r="Q163" s="396">
        <f t="shared" si="41"/>
        <v>43221</v>
      </c>
      <c r="R163" s="136">
        <v>72.59</v>
      </c>
      <c r="S163" s="136">
        <v>54.31</v>
      </c>
      <c r="T163" s="338">
        <f t="shared" si="50"/>
        <v>64.729600000000005</v>
      </c>
      <c r="U163" s="324">
        <v>416</v>
      </c>
      <c r="V163" s="324">
        <v>328</v>
      </c>
      <c r="W163" s="324">
        <f t="shared" si="47"/>
        <v>0.55913978494623651</v>
      </c>
      <c r="X163" s="324">
        <f t="shared" si="48"/>
        <v>0.44086021505376344</v>
      </c>
      <c r="AB163" s="4">
        <f t="shared" si="51"/>
        <v>2018</v>
      </c>
      <c r="AC163" s="394">
        <f t="shared" si="52"/>
        <v>43221</v>
      </c>
      <c r="AD163" s="135">
        <f t="shared" si="49"/>
        <v>8.5298640565524728</v>
      </c>
      <c r="AE163" s="136">
        <v>8.5298640565524728</v>
      </c>
      <c r="AG163" s="4">
        <f t="shared" si="42"/>
        <v>2017</v>
      </c>
      <c r="AH163" s="394">
        <v>42825</v>
      </c>
      <c r="AI163" s="4">
        <f t="shared" si="43"/>
        <v>5.16</v>
      </c>
      <c r="AJ163" s="4">
        <v>5.18</v>
      </c>
      <c r="AK163" s="4">
        <v>5.14</v>
      </c>
      <c r="AM163" s="4">
        <f t="shared" si="44"/>
        <v>2021</v>
      </c>
      <c r="AN163" s="337">
        <v>44228</v>
      </c>
      <c r="AO163" s="4">
        <f t="shared" si="45"/>
        <v>12.455</v>
      </c>
      <c r="AP163" s="4">
        <v>12.38</v>
      </c>
      <c r="AQ163" s="4">
        <v>12.53</v>
      </c>
    </row>
    <row r="164" spans="16:43">
      <c r="P164" s="4">
        <f t="shared" si="46"/>
        <v>2018</v>
      </c>
      <c r="Q164" s="396">
        <f t="shared" si="41"/>
        <v>43252</v>
      </c>
      <c r="R164" s="136">
        <v>75.28</v>
      </c>
      <c r="S164" s="136">
        <v>54.91</v>
      </c>
      <c r="T164" s="338">
        <f t="shared" si="50"/>
        <v>66.520899999999997</v>
      </c>
      <c r="U164" s="324">
        <v>416</v>
      </c>
      <c r="V164" s="324">
        <v>304</v>
      </c>
      <c r="W164" s="324">
        <f t="shared" si="47"/>
        <v>0.57777777777777772</v>
      </c>
      <c r="X164" s="324">
        <f t="shared" si="48"/>
        <v>0.42222222222222222</v>
      </c>
      <c r="AB164" s="4">
        <f t="shared" si="51"/>
        <v>2018</v>
      </c>
      <c r="AC164" s="394">
        <f t="shared" si="52"/>
        <v>43252</v>
      </c>
      <c r="AD164" s="135">
        <f t="shared" si="49"/>
        <v>8.6624089178901595</v>
      </c>
      <c r="AE164" s="136">
        <v>8.6624089178901595</v>
      </c>
      <c r="AG164" s="4">
        <f t="shared" si="42"/>
        <v>2017</v>
      </c>
      <c r="AH164" s="394">
        <v>42855</v>
      </c>
      <c r="AI164" s="4">
        <f t="shared" si="43"/>
        <v>4.8249999999999993</v>
      </c>
      <c r="AJ164" s="4">
        <v>4.8899999999999997</v>
      </c>
      <c r="AK164" s="4">
        <v>4.76</v>
      </c>
      <c r="AM164" s="4">
        <f t="shared" si="44"/>
        <v>2021</v>
      </c>
      <c r="AN164" s="337">
        <v>44256</v>
      </c>
      <c r="AO164" s="4">
        <f t="shared" si="45"/>
        <v>11.695</v>
      </c>
      <c r="AP164" s="4">
        <v>11.71</v>
      </c>
      <c r="AQ164" s="4">
        <v>11.68</v>
      </c>
    </row>
    <row r="165" spans="16:43">
      <c r="P165" s="4">
        <f t="shared" si="46"/>
        <v>2018</v>
      </c>
      <c r="Q165" s="396">
        <f t="shared" si="41"/>
        <v>43282</v>
      </c>
      <c r="R165" s="136">
        <v>75.73</v>
      </c>
      <c r="S165" s="136">
        <v>66</v>
      </c>
      <c r="T165" s="338">
        <f t="shared" si="50"/>
        <v>71.546099999999996</v>
      </c>
      <c r="U165" s="324">
        <v>400</v>
      </c>
      <c r="V165" s="324">
        <v>344</v>
      </c>
      <c r="W165" s="324">
        <f t="shared" si="47"/>
        <v>0.5376344086021505</v>
      </c>
      <c r="X165" s="324">
        <f t="shared" si="48"/>
        <v>0.46236559139784944</v>
      </c>
      <c r="AB165" s="4">
        <f t="shared" si="51"/>
        <v>2018</v>
      </c>
      <c r="AC165" s="394">
        <f t="shared" si="52"/>
        <v>43282</v>
      </c>
      <c r="AD165" s="135">
        <f t="shared" si="49"/>
        <v>8.7949537792278392</v>
      </c>
      <c r="AE165" s="136">
        <v>8.7949537792278392</v>
      </c>
      <c r="AG165" s="4">
        <f t="shared" si="42"/>
        <v>2017</v>
      </c>
      <c r="AH165" s="394">
        <v>42886</v>
      </c>
      <c r="AI165" s="4">
        <f t="shared" si="43"/>
        <v>4.8249999999999993</v>
      </c>
      <c r="AJ165" s="4">
        <v>4.8899999999999997</v>
      </c>
      <c r="AK165" s="4">
        <v>4.76</v>
      </c>
      <c r="AM165" s="4">
        <f t="shared" si="44"/>
        <v>2021</v>
      </c>
      <c r="AN165" s="337">
        <v>44287</v>
      </c>
      <c r="AO165" s="4">
        <f t="shared" si="45"/>
        <v>10.93</v>
      </c>
      <c r="AP165" s="4">
        <v>11.04</v>
      </c>
      <c r="AQ165" s="4">
        <v>10.82</v>
      </c>
    </row>
    <row r="166" spans="16:43">
      <c r="P166" s="4">
        <f t="shared" si="46"/>
        <v>2018</v>
      </c>
      <c r="Q166" s="396">
        <f t="shared" si="41"/>
        <v>43313</v>
      </c>
      <c r="R166" s="136">
        <v>89.84</v>
      </c>
      <c r="S166" s="136">
        <v>69.900000000000006</v>
      </c>
      <c r="T166" s="338">
        <f t="shared" si="50"/>
        <v>81.265799999999999</v>
      </c>
      <c r="U166" s="324">
        <v>432</v>
      </c>
      <c r="V166" s="324">
        <v>312</v>
      </c>
      <c r="W166" s="324">
        <f t="shared" si="47"/>
        <v>0.58064516129032262</v>
      </c>
      <c r="X166" s="324">
        <f t="shared" si="48"/>
        <v>0.41935483870967744</v>
      </c>
      <c r="AB166" s="4">
        <f t="shared" si="51"/>
        <v>2018</v>
      </c>
      <c r="AC166" s="394">
        <f t="shared" si="52"/>
        <v>43313</v>
      </c>
      <c r="AD166" s="135">
        <f t="shared" si="49"/>
        <v>8.7949537792278392</v>
      </c>
      <c r="AE166" s="136">
        <v>8.7949537792278392</v>
      </c>
      <c r="AG166" s="4">
        <f t="shared" si="42"/>
        <v>2017</v>
      </c>
      <c r="AH166" s="394">
        <v>42916</v>
      </c>
      <c r="AI166" s="4">
        <f t="shared" si="43"/>
        <v>4.9000000000000004</v>
      </c>
      <c r="AJ166" s="4">
        <v>4.96</v>
      </c>
      <c r="AK166" s="4">
        <v>4.84</v>
      </c>
      <c r="AM166" s="4">
        <f t="shared" si="44"/>
        <v>2021</v>
      </c>
      <c r="AN166" s="337">
        <v>44317</v>
      </c>
      <c r="AO166" s="4">
        <f t="shared" si="45"/>
        <v>10.93</v>
      </c>
      <c r="AP166" s="4">
        <v>11.04</v>
      </c>
      <c r="AQ166" s="4">
        <v>10.82</v>
      </c>
    </row>
    <row r="167" spans="16:43">
      <c r="P167" s="4">
        <f t="shared" si="46"/>
        <v>2018</v>
      </c>
      <c r="Q167" s="396">
        <f t="shared" si="41"/>
        <v>43344</v>
      </c>
      <c r="R167" s="136">
        <v>78.430000000000007</v>
      </c>
      <c r="S167" s="136">
        <v>65.8</v>
      </c>
      <c r="T167" s="338">
        <f t="shared" si="50"/>
        <v>72.999099999999999</v>
      </c>
      <c r="U167" s="324">
        <v>384</v>
      </c>
      <c r="V167" s="324">
        <v>336</v>
      </c>
      <c r="W167" s="324">
        <f t="shared" si="47"/>
        <v>0.53333333333333333</v>
      </c>
      <c r="X167" s="324">
        <f t="shared" si="48"/>
        <v>0.46666666666666667</v>
      </c>
      <c r="AB167" s="4">
        <f t="shared" si="51"/>
        <v>2018</v>
      </c>
      <c r="AC167" s="394">
        <f t="shared" si="52"/>
        <v>43344</v>
      </c>
      <c r="AD167" s="135">
        <f t="shared" si="49"/>
        <v>8.7949537792278392</v>
      </c>
      <c r="AE167" s="136">
        <v>8.7949537792278392</v>
      </c>
      <c r="AG167" s="4">
        <f t="shared" si="42"/>
        <v>2017</v>
      </c>
      <c r="AH167" s="394">
        <v>42947</v>
      </c>
      <c r="AI167" s="4">
        <f t="shared" si="43"/>
        <v>4.9749999999999996</v>
      </c>
      <c r="AJ167" s="4">
        <v>5.04</v>
      </c>
      <c r="AK167" s="4">
        <v>4.91</v>
      </c>
      <c r="AM167" s="4">
        <f t="shared" si="44"/>
        <v>2021</v>
      </c>
      <c r="AN167" s="337">
        <v>44348</v>
      </c>
      <c r="AO167" s="4">
        <f t="shared" si="45"/>
        <v>11.100000000000001</v>
      </c>
      <c r="AP167" s="4">
        <v>11.21</v>
      </c>
      <c r="AQ167" s="4">
        <v>10.99</v>
      </c>
    </row>
    <row r="168" spans="16:43">
      <c r="P168" s="4">
        <f t="shared" si="46"/>
        <v>2018</v>
      </c>
      <c r="Q168" s="396">
        <f t="shared" ref="Q168:Q231" si="53">EOMONTH(Q167,0)+1</f>
        <v>43374</v>
      </c>
      <c r="R168" s="136">
        <v>76</v>
      </c>
      <c r="S168" s="136">
        <v>65.75</v>
      </c>
      <c r="T168" s="338">
        <f t="shared" si="50"/>
        <v>71.592500000000001</v>
      </c>
      <c r="U168" s="324">
        <v>432</v>
      </c>
      <c r="V168" s="324">
        <v>312</v>
      </c>
      <c r="W168" s="324">
        <f t="shared" si="47"/>
        <v>0.58064516129032262</v>
      </c>
      <c r="X168" s="324">
        <f t="shared" si="48"/>
        <v>0.41935483870967744</v>
      </c>
      <c r="AB168" s="4">
        <f t="shared" si="51"/>
        <v>2018</v>
      </c>
      <c r="AC168" s="394">
        <f t="shared" si="52"/>
        <v>43374</v>
      </c>
      <c r="AD168" s="135">
        <f t="shared" si="49"/>
        <v>9.1076237085372469</v>
      </c>
      <c r="AE168" s="136">
        <v>9.1076237085372469</v>
      </c>
      <c r="AG168" s="4">
        <f t="shared" si="42"/>
        <v>2017</v>
      </c>
      <c r="AH168" s="394">
        <v>42978</v>
      </c>
      <c r="AI168" s="4">
        <f t="shared" si="43"/>
        <v>4.9749999999999996</v>
      </c>
      <c r="AJ168" s="4">
        <v>5.04</v>
      </c>
      <c r="AK168" s="4">
        <v>4.91</v>
      </c>
      <c r="AM168" s="4">
        <f t="shared" si="44"/>
        <v>2021</v>
      </c>
      <c r="AN168" s="337">
        <v>44378</v>
      </c>
      <c r="AO168" s="4">
        <f t="shared" si="45"/>
        <v>11.265000000000001</v>
      </c>
      <c r="AP168" s="4">
        <v>11.37</v>
      </c>
      <c r="AQ168" s="4">
        <v>11.16</v>
      </c>
    </row>
    <row r="169" spans="16:43">
      <c r="P169" s="4">
        <f t="shared" si="46"/>
        <v>2018</v>
      </c>
      <c r="Q169" s="396">
        <f t="shared" si="53"/>
        <v>43405</v>
      </c>
      <c r="R169" s="136">
        <v>81.14</v>
      </c>
      <c r="S169" s="136">
        <v>60.15</v>
      </c>
      <c r="T169" s="338">
        <f t="shared" si="50"/>
        <v>72.114299999999986</v>
      </c>
      <c r="U169" s="324">
        <v>400</v>
      </c>
      <c r="V169" s="324">
        <v>320</v>
      </c>
      <c r="W169" s="324">
        <f t="shared" si="47"/>
        <v>0.55555555555555558</v>
      </c>
      <c r="X169" s="324">
        <f t="shared" si="48"/>
        <v>0.44444444444444442</v>
      </c>
      <c r="AB169" s="4">
        <f t="shared" si="51"/>
        <v>2018</v>
      </c>
      <c r="AC169" s="394">
        <f t="shared" si="52"/>
        <v>43405</v>
      </c>
      <c r="AD169" s="135">
        <f t="shared" si="49"/>
        <v>9.236769983686786</v>
      </c>
      <c r="AE169" s="136">
        <v>9.236769983686786</v>
      </c>
      <c r="AG169" s="4">
        <f t="shared" si="42"/>
        <v>2017</v>
      </c>
      <c r="AH169" s="394">
        <v>43008</v>
      </c>
      <c r="AI169" s="4">
        <f t="shared" si="43"/>
        <v>4.9749999999999996</v>
      </c>
      <c r="AJ169" s="4">
        <v>5.04</v>
      </c>
      <c r="AK169" s="4">
        <v>4.91</v>
      </c>
      <c r="AM169" s="4">
        <f t="shared" si="44"/>
        <v>2021</v>
      </c>
      <c r="AN169" s="337">
        <v>44409</v>
      </c>
      <c r="AO169" s="4">
        <f t="shared" si="45"/>
        <v>11.265000000000001</v>
      </c>
      <c r="AP169" s="4">
        <v>11.37</v>
      </c>
      <c r="AQ169" s="4">
        <v>11.16</v>
      </c>
    </row>
    <row r="170" spans="16:43">
      <c r="P170" s="4">
        <f t="shared" si="46"/>
        <v>2018</v>
      </c>
      <c r="Q170" s="396">
        <f t="shared" si="53"/>
        <v>43435</v>
      </c>
      <c r="R170" s="136">
        <v>81.13</v>
      </c>
      <c r="S170" s="136">
        <v>62.88</v>
      </c>
      <c r="T170" s="338">
        <f t="shared" si="50"/>
        <v>73.282499999999999</v>
      </c>
      <c r="U170" s="324">
        <v>400</v>
      </c>
      <c r="V170" s="324">
        <v>344</v>
      </c>
      <c r="W170" s="324">
        <f t="shared" si="47"/>
        <v>0.5376344086021505</v>
      </c>
      <c r="X170" s="324">
        <f t="shared" si="48"/>
        <v>0.46236559139784944</v>
      </c>
      <c r="AB170" s="4">
        <f t="shared" si="51"/>
        <v>2018</v>
      </c>
      <c r="AC170" s="394">
        <f t="shared" si="52"/>
        <v>43435</v>
      </c>
      <c r="AD170" s="135">
        <f t="shared" si="49"/>
        <v>9.6785861881457311</v>
      </c>
      <c r="AE170" s="136">
        <v>9.6785861881457311</v>
      </c>
      <c r="AG170" s="4">
        <f t="shared" si="42"/>
        <v>2017</v>
      </c>
      <c r="AH170" s="394">
        <v>43039</v>
      </c>
      <c r="AI170" s="4">
        <f t="shared" si="43"/>
        <v>5.16</v>
      </c>
      <c r="AJ170" s="4">
        <v>5.18</v>
      </c>
      <c r="AK170" s="4">
        <v>5.14</v>
      </c>
      <c r="AM170" s="4">
        <f t="shared" si="44"/>
        <v>2021</v>
      </c>
      <c r="AN170" s="337">
        <v>44440</v>
      </c>
      <c r="AO170" s="4">
        <f t="shared" si="45"/>
        <v>11.265000000000001</v>
      </c>
      <c r="AP170" s="4">
        <v>11.37</v>
      </c>
      <c r="AQ170" s="4">
        <v>11.16</v>
      </c>
    </row>
    <row r="171" spans="16:43">
      <c r="P171" s="4">
        <f t="shared" si="46"/>
        <v>2019</v>
      </c>
      <c r="Q171" s="396">
        <f t="shared" si="53"/>
        <v>43466</v>
      </c>
      <c r="R171" s="136">
        <v>92.72</v>
      </c>
      <c r="S171" s="136">
        <v>78.819999999999993</v>
      </c>
      <c r="T171" s="338">
        <f t="shared" si="50"/>
        <v>86.742999999999995</v>
      </c>
      <c r="U171" s="324">
        <v>416</v>
      </c>
      <c r="V171" s="324">
        <v>328</v>
      </c>
      <c r="W171" s="324">
        <f t="shared" si="47"/>
        <v>0.55913978494623651</v>
      </c>
      <c r="X171" s="324">
        <f t="shared" si="48"/>
        <v>0.44086021505376344</v>
      </c>
      <c r="AB171" s="4">
        <f t="shared" si="51"/>
        <v>2019</v>
      </c>
      <c r="AC171" s="394">
        <f t="shared" si="52"/>
        <v>43466</v>
      </c>
      <c r="AD171" s="135">
        <f t="shared" si="49"/>
        <v>11.004034801522566</v>
      </c>
      <c r="AE171" s="136">
        <v>11.004034801522566</v>
      </c>
      <c r="AG171" s="4">
        <f t="shared" si="42"/>
        <v>2017</v>
      </c>
      <c r="AH171" s="394">
        <v>43069</v>
      </c>
      <c r="AI171" s="4">
        <f t="shared" si="43"/>
        <v>5.24</v>
      </c>
      <c r="AJ171" s="4">
        <v>5.26</v>
      </c>
      <c r="AK171" s="4">
        <v>5.22</v>
      </c>
      <c r="AM171" s="4">
        <f t="shared" si="44"/>
        <v>2021</v>
      </c>
      <c r="AN171" s="337">
        <v>44470</v>
      </c>
      <c r="AO171" s="4">
        <f t="shared" si="45"/>
        <v>11.695</v>
      </c>
      <c r="AP171" s="4">
        <v>11.71</v>
      </c>
      <c r="AQ171" s="4">
        <v>11.68</v>
      </c>
    </row>
    <row r="172" spans="16:43">
      <c r="P172" s="4">
        <f t="shared" si="46"/>
        <v>2019</v>
      </c>
      <c r="Q172" s="396">
        <f t="shared" si="53"/>
        <v>43497</v>
      </c>
      <c r="R172" s="136">
        <v>83.94</v>
      </c>
      <c r="S172" s="136">
        <v>72.39</v>
      </c>
      <c r="T172" s="338">
        <f t="shared" si="50"/>
        <v>78.973500000000001</v>
      </c>
      <c r="U172" s="324">
        <v>384</v>
      </c>
      <c r="V172" s="324">
        <v>288</v>
      </c>
      <c r="W172" s="324">
        <f t="shared" si="47"/>
        <v>0.5714285714285714</v>
      </c>
      <c r="X172" s="324">
        <f t="shared" si="48"/>
        <v>0.42857142857142855</v>
      </c>
      <c r="AB172" s="4">
        <f t="shared" si="51"/>
        <v>2019</v>
      </c>
      <c r="AC172" s="394">
        <f t="shared" si="52"/>
        <v>43497</v>
      </c>
      <c r="AD172" s="135">
        <f t="shared" si="49"/>
        <v>10.341310494834149</v>
      </c>
      <c r="AE172" s="136">
        <v>10.341310494834149</v>
      </c>
      <c r="AG172" s="4">
        <f t="shared" si="42"/>
        <v>2017</v>
      </c>
      <c r="AH172" s="394">
        <v>43100</v>
      </c>
      <c r="AI172" s="4">
        <f t="shared" si="43"/>
        <v>5.5</v>
      </c>
      <c r="AJ172" s="4">
        <v>5.48</v>
      </c>
      <c r="AK172" s="4">
        <v>5.52</v>
      </c>
      <c r="AM172" s="4">
        <f t="shared" si="44"/>
        <v>2021</v>
      </c>
      <c r="AN172" s="337">
        <v>44501</v>
      </c>
      <c r="AO172" s="4">
        <f t="shared" si="45"/>
        <v>11.865</v>
      </c>
      <c r="AP172" s="4">
        <v>11.88</v>
      </c>
      <c r="AQ172" s="4">
        <v>11.85</v>
      </c>
    </row>
    <row r="173" spans="16:43">
      <c r="P173" s="4">
        <f t="shared" si="46"/>
        <v>2019</v>
      </c>
      <c r="Q173" s="396">
        <f t="shared" si="53"/>
        <v>43525</v>
      </c>
      <c r="R173" s="136">
        <v>77.650000000000006</v>
      </c>
      <c r="S173" s="136">
        <v>70.63</v>
      </c>
      <c r="T173" s="338">
        <f t="shared" si="50"/>
        <v>74.631399999999999</v>
      </c>
      <c r="U173" s="324">
        <v>416</v>
      </c>
      <c r="V173" s="324">
        <v>328</v>
      </c>
      <c r="W173" s="324">
        <f t="shared" si="47"/>
        <v>0.55913978494623651</v>
      </c>
      <c r="X173" s="324">
        <f t="shared" si="48"/>
        <v>0.44086021505376344</v>
      </c>
      <c r="AB173" s="4">
        <f t="shared" si="51"/>
        <v>2019</v>
      </c>
      <c r="AC173" s="394">
        <f t="shared" si="52"/>
        <v>43525</v>
      </c>
      <c r="AD173" s="135">
        <f t="shared" si="49"/>
        <v>9.7261663947797707</v>
      </c>
      <c r="AE173" s="136">
        <v>9.7261663947797707</v>
      </c>
      <c r="AG173" s="4">
        <f t="shared" si="42"/>
        <v>2018</v>
      </c>
      <c r="AH173" s="394">
        <v>43131</v>
      </c>
      <c r="AI173" s="4">
        <f t="shared" si="43"/>
        <v>6.1050000000000004</v>
      </c>
      <c r="AJ173" s="4">
        <v>6.04</v>
      </c>
      <c r="AK173" s="4">
        <v>6.17</v>
      </c>
      <c r="AM173" s="4">
        <f t="shared" si="44"/>
        <v>2021</v>
      </c>
      <c r="AN173" s="337">
        <v>44531</v>
      </c>
      <c r="AO173" s="4">
        <f t="shared" si="45"/>
        <v>12.455</v>
      </c>
      <c r="AP173" s="4">
        <v>12.38</v>
      </c>
      <c r="AQ173" s="4">
        <v>12.53</v>
      </c>
    </row>
    <row r="174" spans="16:43">
      <c r="P174" s="4">
        <f t="shared" si="46"/>
        <v>2019</v>
      </c>
      <c r="Q174" s="396">
        <f t="shared" si="53"/>
        <v>43556</v>
      </c>
      <c r="R174" s="136">
        <v>78.900000000000006</v>
      </c>
      <c r="S174" s="136">
        <v>68.09</v>
      </c>
      <c r="T174" s="338">
        <f t="shared" si="50"/>
        <v>74.2517</v>
      </c>
      <c r="U174" s="324">
        <v>416</v>
      </c>
      <c r="V174" s="324">
        <v>304</v>
      </c>
      <c r="W174" s="324">
        <f t="shared" si="47"/>
        <v>0.57777777777777772</v>
      </c>
      <c r="X174" s="324">
        <f t="shared" si="48"/>
        <v>0.42222222222222222</v>
      </c>
      <c r="AB174" s="4">
        <f t="shared" si="51"/>
        <v>2019</v>
      </c>
      <c r="AC174" s="394">
        <f t="shared" si="52"/>
        <v>43556</v>
      </c>
      <c r="AD174" s="135">
        <f t="shared" si="49"/>
        <v>9.2061827079934737</v>
      </c>
      <c r="AE174" s="136">
        <v>9.2061827079934737</v>
      </c>
      <c r="AG174" s="4">
        <f t="shared" si="42"/>
        <v>2018</v>
      </c>
      <c r="AH174" s="394">
        <v>43159</v>
      </c>
      <c r="AI174" s="4">
        <f t="shared" si="43"/>
        <v>5.68</v>
      </c>
      <c r="AJ174" s="4">
        <v>5.66</v>
      </c>
      <c r="AK174" s="4">
        <v>5.7</v>
      </c>
      <c r="AM174" s="4">
        <f t="shared" si="44"/>
        <v>2022</v>
      </c>
      <c r="AN174" s="337">
        <v>44562</v>
      </c>
      <c r="AO174" s="4">
        <f t="shared" si="45"/>
        <v>13.64</v>
      </c>
      <c r="AP174" s="4">
        <v>13.46</v>
      </c>
      <c r="AQ174" s="4">
        <v>13.82</v>
      </c>
    </row>
    <row r="175" spans="16:43">
      <c r="P175" s="4">
        <f t="shared" si="46"/>
        <v>2019</v>
      </c>
      <c r="Q175" s="396">
        <f t="shared" si="53"/>
        <v>43586</v>
      </c>
      <c r="R175" s="136">
        <v>80.52</v>
      </c>
      <c r="S175" s="136">
        <v>64.7</v>
      </c>
      <c r="T175" s="338">
        <f t="shared" si="50"/>
        <v>73.717399999999998</v>
      </c>
      <c r="U175" s="324">
        <v>416</v>
      </c>
      <c r="V175" s="324">
        <v>328</v>
      </c>
      <c r="W175" s="324">
        <f t="shared" si="47"/>
        <v>0.55913978494623651</v>
      </c>
      <c r="X175" s="324">
        <f t="shared" si="48"/>
        <v>0.44086021505376344</v>
      </c>
      <c r="AB175" s="4">
        <f t="shared" si="51"/>
        <v>2019</v>
      </c>
      <c r="AC175" s="394">
        <f t="shared" si="52"/>
        <v>43586</v>
      </c>
      <c r="AD175" s="135">
        <f t="shared" si="49"/>
        <v>9.1110222947253927</v>
      </c>
      <c r="AE175" s="136">
        <v>9.1110222947253927</v>
      </c>
      <c r="AG175" s="4">
        <f t="shared" si="42"/>
        <v>2018</v>
      </c>
      <c r="AH175" s="394">
        <v>43190</v>
      </c>
      <c r="AI175" s="4">
        <f t="shared" si="43"/>
        <v>5.335</v>
      </c>
      <c r="AJ175" s="4">
        <v>5.36</v>
      </c>
      <c r="AK175" s="4">
        <v>5.31</v>
      </c>
      <c r="AM175" s="4">
        <f t="shared" si="44"/>
        <v>2022</v>
      </c>
      <c r="AN175" s="337">
        <v>44593</v>
      </c>
      <c r="AO175" s="4">
        <f t="shared" si="45"/>
        <v>12.69</v>
      </c>
      <c r="AP175" s="4">
        <v>12.61</v>
      </c>
      <c r="AQ175" s="4">
        <v>12.77</v>
      </c>
    </row>
    <row r="176" spans="16:43">
      <c r="P176" s="4">
        <f t="shared" si="46"/>
        <v>2019</v>
      </c>
      <c r="Q176" s="396">
        <f t="shared" si="53"/>
        <v>43617</v>
      </c>
      <c r="R176" s="136">
        <v>84.14</v>
      </c>
      <c r="S176" s="136">
        <v>62.89</v>
      </c>
      <c r="T176" s="338">
        <f t="shared" si="50"/>
        <v>75.002499999999998</v>
      </c>
      <c r="U176" s="324">
        <v>400</v>
      </c>
      <c r="V176" s="324">
        <v>320</v>
      </c>
      <c r="W176" s="324">
        <f t="shared" si="47"/>
        <v>0.55555555555555558</v>
      </c>
      <c r="X176" s="324">
        <f t="shared" si="48"/>
        <v>0.44444444444444442</v>
      </c>
      <c r="AB176" s="4">
        <f t="shared" si="51"/>
        <v>2019</v>
      </c>
      <c r="AC176" s="394">
        <f t="shared" si="52"/>
        <v>43617</v>
      </c>
      <c r="AD176" s="135">
        <f t="shared" si="49"/>
        <v>9.2537629146275151</v>
      </c>
      <c r="AE176" s="136">
        <v>9.2537629146275151</v>
      </c>
      <c r="AG176" s="4">
        <f t="shared" si="42"/>
        <v>2018</v>
      </c>
      <c r="AH176" s="394">
        <v>43220</v>
      </c>
      <c r="AI176" s="4">
        <f t="shared" si="43"/>
        <v>4.9849999999999994</v>
      </c>
      <c r="AJ176" s="4">
        <v>5.05</v>
      </c>
      <c r="AK176" s="4">
        <v>4.92</v>
      </c>
      <c r="AM176" s="4">
        <f t="shared" si="44"/>
        <v>2022</v>
      </c>
      <c r="AN176" s="337">
        <v>44621</v>
      </c>
      <c r="AO176" s="4">
        <f t="shared" si="45"/>
        <v>11.914999999999999</v>
      </c>
      <c r="AP176" s="4">
        <v>11.93</v>
      </c>
      <c r="AQ176" s="4">
        <v>11.9</v>
      </c>
    </row>
    <row r="177" spans="16:43">
      <c r="P177" s="4">
        <f t="shared" si="46"/>
        <v>2019</v>
      </c>
      <c r="Q177" s="396">
        <f t="shared" si="53"/>
        <v>43647</v>
      </c>
      <c r="R177" s="136">
        <v>85.02</v>
      </c>
      <c r="S177" s="136">
        <v>71.39</v>
      </c>
      <c r="T177" s="338">
        <f t="shared" si="50"/>
        <v>79.159099999999995</v>
      </c>
      <c r="U177" s="324">
        <v>416</v>
      </c>
      <c r="V177" s="324">
        <v>328</v>
      </c>
      <c r="W177" s="324">
        <f t="shared" si="47"/>
        <v>0.55913978494623651</v>
      </c>
      <c r="X177" s="324">
        <f t="shared" si="48"/>
        <v>0.44086021505376344</v>
      </c>
      <c r="AB177" s="4">
        <f t="shared" si="51"/>
        <v>2019</v>
      </c>
      <c r="AC177" s="394">
        <f t="shared" si="52"/>
        <v>43647</v>
      </c>
      <c r="AD177" s="135">
        <f t="shared" si="49"/>
        <v>9.3965035345296339</v>
      </c>
      <c r="AE177" s="136">
        <v>9.3965035345296339</v>
      </c>
      <c r="AG177" s="4">
        <f t="shared" si="42"/>
        <v>2018</v>
      </c>
      <c r="AH177" s="394">
        <v>43251</v>
      </c>
      <c r="AI177" s="4">
        <f t="shared" si="43"/>
        <v>4.9849999999999994</v>
      </c>
      <c r="AJ177" s="4">
        <v>5.05</v>
      </c>
      <c r="AK177" s="4">
        <v>4.92</v>
      </c>
      <c r="AM177" s="4">
        <f t="shared" si="44"/>
        <v>2022</v>
      </c>
      <c r="AN177" s="337">
        <v>44652</v>
      </c>
      <c r="AO177" s="4">
        <f t="shared" si="45"/>
        <v>11.135</v>
      </c>
      <c r="AP177" s="4">
        <v>11.25</v>
      </c>
      <c r="AQ177" s="4">
        <v>11.02</v>
      </c>
    </row>
    <row r="178" spans="16:43">
      <c r="P178" s="4">
        <f t="shared" si="46"/>
        <v>2019</v>
      </c>
      <c r="Q178" s="396">
        <f t="shared" si="53"/>
        <v>43678</v>
      </c>
      <c r="R178" s="136">
        <v>96.57</v>
      </c>
      <c r="S178" s="136">
        <v>73.39</v>
      </c>
      <c r="T178" s="338">
        <f t="shared" si="50"/>
        <v>86.602599999999995</v>
      </c>
      <c r="U178" s="324">
        <v>432</v>
      </c>
      <c r="V178" s="324">
        <v>312</v>
      </c>
      <c r="W178" s="324">
        <f t="shared" si="47"/>
        <v>0.58064516129032262</v>
      </c>
      <c r="X178" s="324">
        <f t="shared" si="48"/>
        <v>0.41935483870967744</v>
      </c>
      <c r="AB178" s="4">
        <f t="shared" si="51"/>
        <v>2019</v>
      </c>
      <c r="AC178" s="394">
        <f t="shared" si="52"/>
        <v>43678</v>
      </c>
      <c r="AD178" s="135">
        <f t="shared" si="49"/>
        <v>9.3965035345296339</v>
      </c>
      <c r="AE178" s="136">
        <v>9.3965035345296339</v>
      </c>
      <c r="AG178" s="4">
        <f t="shared" si="42"/>
        <v>2018</v>
      </c>
      <c r="AH178" s="394">
        <v>43281</v>
      </c>
      <c r="AI178" s="4">
        <f t="shared" si="43"/>
        <v>5.0649999999999995</v>
      </c>
      <c r="AJ178" s="4">
        <v>5.13</v>
      </c>
      <c r="AK178" s="4">
        <v>5</v>
      </c>
      <c r="AM178" s="4">
        <f t="shared" si="44"/>
        <v>2022</v>
      </c>
      <c r="AN178" s="337">
        <v>44682</v>
      </c>
      <c r="AO178" s="4">
        <f t="shared" si="45"/>
        <v>11.135</v>
      </c>
      <c r="AP178" s="4">
        <v>11.25</v>
      </c>
      <c r="AQ178" s="4">
        <v>11.02</v>
      </c>
    </row>
    <row r="179" spans="16:43">
      <c r="P179" s="4">
        <f t="shared" si="46"/>
        <v>2019</v>
      </c>
      <c r="Q179" s="396">
        <f t="shared" si="53"/>
        <v>43709</v>
      </c>
      <c r="R179" s="136">
        <v>84.98</v>
      </c>
      <c r="S179" s="136">
        <v>71.78</v>
      </c>
      <c r="T179" s="338">
        <f t="shared" si="50"/>
        <v>79.304000000000002</v>
      </c>
      <c r="U179" s="324">
        <v>384</v>
      </c>
      <c r="V179" s="324">
        <v>336</v>
      </c>
      <c r="W179" s="324">
        <f t="shared" si="47"/>
        <v>0.53333333333333333</v>
      </c>
      <c r="X179" s="324">
        <f t="shared" si="48"/>
        <v>0.46666666666666667</v>
      </c>
      <c r="AB179" s="4">
        <f t="shared" si="51"/>
        <v>2019</v>
      </c>
      <c r="AC179" s="394">
        <f t="shared" si="52"/>
        <v>43709</v>
      </c>
      <c r="AD179" s="135">
        <f t="shared" si="49"/>
        <v>9.3965035345296339</v>
      </c>
      <c r="AE179" s="136">
        <v>9.3965035345296339</v>
      </c>
      <c r="AG179" s="4">
        <f t="shared" si="42"/>
        <v>2018</v>
      </c>
      <c r="AH179" s="394">
        <v>43312</v>
      </c>
      <c r="AI179" s="4">
        <f t="shared" si="43"/>
        <v>5.1400000000000006</v>
      </c>
      <c r="AJ179" s="4">
        <v>5.2</v>
      </c>
      <c r="AK179" s="4">
        <v>5.08</v>
      </c>
      <c r="AM179" s="4">
        <f t="shared" si="44"/>
        <v>2022</v>
      </c>
      <c r="AN179" s="337">
        <v>44713</v>
      </c>
      <c r="AO179" s="4">
        <f t="shared" si="45"/>
        <v>11.309999999999999</v>
      </c>
      <c r="AP179" s="4">
        <v>11.42</v>
      </c>
      <c r="AQ179" s="4">
        <v>11.2</v>
      </c>
    </row>
    <row r="180" spans="16:43">
      <c r="P180" s="4">
        <f t="shared" si="46"/>
        <v>2019</v>
      </c>
      <c r="Q180" s="396">
        <f t="shared" si="53"/>
        <v>43739</v>
      </c>
      <c r="R180" s="136">
        <v>81.56</v>
      </c>
      <c r="S180" s="136">
        <v>73.36</v>
      </c>
      <c r="T180" s="338">
        <f t="shared" si="50"/>
        <v>78.033999999999992</v>
      </c>
      <c r="U180" s="324">
        <v>432</v>
      </c>
      <c r="V180" s="324">
        <v>312</v>
      </c>
      <c r="W180" s="324">
        <f t="shared" si="47"/>
        <v>0.58064516129032262</v>
      </c>
      <c r="X180" s="324">
        <f t="shared" si="48"/>
        <v>0.41935483870967744</v>
      </c>
      <c r="AB180" s="4">
        <f t="shared" si="51"/>
        <v>2019</v>
      </c>
      <c r="AC180" s="394">
        <f t="shared" si="52"/>
        <v>43739</v>
      </c>
      <c r="AD180" s="135">
        <f t="shared" si="49"/>
        <v>9.7261663947797707</v>
      </c>
      <c r="AE180" s="136">
        <v>9.7261663947797707</v>
      </c>
      <c r="AG180" s="4">
        <f t="shared" si="42"/>
        <v>2018</v>
      </c>
      <c r="AH180" s="394">
        <v>43343</v>
      </c>
      <c r="AI180" s="4">
        <f t="shared" si="43"/>
        <v>5.1400000000000006</v>
      </c>
      <c r="AJ180" s="4">
        <v>5.2</v>
      </c>
      <c r="AK180" s="4">
        <v>5.08</v>
      </c>
      <c r="AM180" s="4">
        <f t="shared" si="44"/>
        <v>2022</v>
      </c>
      <c r="AN180" s="337">
        <v>44743</v>
      </c>
      <c r="AO180" s="4">
        <f t="shared" si="45"/>
        <v>11.48</v>
      </c>
      <c r="AP180" s="4">
        <v>11.59</v>
      </c>
      <c r="AQ180" s="4">
        <v>11.37</v>
      </c>
    </row>
    <row r="181" spans="16:43">
      <c r="P181" s="4">
        <f t="shared" si="46"/>
        <v>2019</v>
      </c>
      <c r="Q181" s="396">
        <f t="shared" si="53"/>
        <v>43770</v>
      </c>
      <c r="R181" s="136">
        <v>84.97</v>
      </c>
      <c r="S181" s="136">
        <v>57.39</v>
      </c>
      <c r="T181" s="338">
        <f t="shared" si="50"/>
        <v>73.110600000000005</v>
      </c>
      <c r="U181" s="324">
        <v>400</v>
      </c>
      <c r="V181" s="324">
        <v>320</v>
      </c>
      <c r="W181" s="324">
        <f t="shared" si="47"/>
        <v>0.55555555555555558</v>
      </c>
      <c r="X181" s="324">
        <f t="shared" si="48"/>
        <v>0.44444444444444442</v>
      </c>
      <c r="AB181" s="4">
        <f t="shared" si="51"/>
        <v>2019</v>
      </c>
      <c r="AC181" s="394">
        <f t="shared" si="52"/>
        <v>43770</v>
      </c>
      <c r="AD181" s="135">
        <f t="shared" si="49"/>
        <v>9.8689070146818896</v>
      </c>
      <c r="AE181" s="136">
        <v>9.8689070146818896</v>
      </c>
      <c r="AG181" s="4">
        <f t="shared" si="42"/>
        <v>2018</v>
      </c>
      <c r="AH181" s="394">
        <v>43373</v>
      </c>
      <c r="AI181" s="4">
        <f t="shared" si="43"/>
        <v>5.1400000000000006</v>
      </c>
      <c r="AJ181" s="4">
        <v>5.2</v>
      </c>
      <c r="AK181" s="4">
        <v>5.08</v>
      </c>
      <c r="AM181" s="4">
        <f t="shared" si="44"/>
        <v>2022</v>
      </c>
      <c r="AN181" s="337">
        <v>44774</v>
      </c>
      <c r="AO181" s="4">
        <f t="shared" si="45"/>
        <v>11.48</v>
      </c>
      <c r="AP181" s="4">
        <v>11.59</v>
      </c>
      <c r="AQ181" s="4">
        <v>11.37</v>
      </c>
    </row>
    <row r="182" spans="16:43">
      <c r="P182" s="4">
        <f t="shared" si="46"/>
        <v>2019</v>
      </c>
      <c r="Q182" s="396">
        <f t="shared" si="53"/>
        <v>43800</v>
      </c>
      <c r="R182" s="136">
        <v>87.56</v>
      </c>
      <c r="S182" s="136">
        <v>64.66</v>
      </c>
      <c r="T182" s="338">
        <f t="shared" si="50"/>
        <v>77.712999999999994</v>
      </c>
      <c r="U182" s="324">
        <v>400</v>
      </c>
      <c r="V182" s="324">
        <v>344</v>
      </c>
      <c r="W182" s="324">
        <f t="shared" si="47"/>
        <v>0.5376344086021505</v>
      </c>
      <c r="X182" s="324">
        <f t="shared" si="48"/>
        <v>0.46236559139784944</v>
      </c>
      <c r="AB182" s="4">
        <f t="shared" si="51"/>
        <v>2019</v>
      </c>
      <c r="AC182" s="394">
        <f t="shared" si="52"/>
        <v>43800</v>
      </c>
      <c r="AD182" s="135">
        <f t="shared" si="49"/>
        <v>10.341310494834149</v>
      </c>
      <c r="AE182" s="136">
        <v>10.341310494834149</v>
      </c>
      <c r="AG182" s="4">
        <f t="shared" si="42"/>
        <v>2018</v>
      </c>
      <c r="AH182" s="394">
        <v>43404</v>
      </c>
      <c r="AI182" s="4">
        <f t="shared" si="43"/>
        <v>5.335</v>
      </c>
      <c r="AJ182" s="4">
        <v>5.36</v>
      </c>
      <c r="AK182" s="4">
        <v>5.31</v>
      </c>
      <c r="AM182" s="4">
        <f t="shared" si="44"/>
        <v>2022</v>
      </c>
      <c r="AN182" s="337">
        <v>44805</v>
      </c>
      <c r="AO182" s="4">
        <f t="shared" si="45"/>
        <v>11.48</v>
      </c>
      <c r="AP182" s="4">
        <v>11.59</v>
      </c>
      <c r="AQ182" s="4">
        <v>11.37</v>
      </c>
    </row>
    <row r="183" spans="16:43">
      <c r="P183" s="4">
        <f t="shared" si="46"/>
        <v>2020</v>
      </c>
      <c r="Q183" s="396">
        <f t="shared" si="53"/>
        <v>43831</v>
      </c>
      <c r="R183" s="136">
        <v>96.21</v>
      </c>
      <c r="S183" s="136">
        <v>82.28</v>
      </c>
      <c r="T183" s="338">
        <f t="shared" si="50"/>
        <v>90.220100000000002</v>
      </c>
      <c r="U183" s="324">
        <v>416</v>
      </c>
      <c r="V183" s="324">
        <v>328</v>
      </c>
      <c r="W183" s="324">
        <f t="shared" si="47"/>
        <v>0.55913978494623651</v>
      </c>
      <c r="X183" s="324">
        <f t="shared" si="48"/>
        <v>0.44086021505376344</v>
      </c>
      <c r="AB183" s="4">
        <f t="shared" si="51"/>
        <v>2020</v>
      </c>
      <c r="AC183" s="394">
        <f t="shared" si="52"/>
        <v>43831</v>
      </c>
      <c r="AD183" s="135">
        <f t="shared" si="49"/>
        <v>11.428858075040782</v>
      </c>
      <c r="AE183" s="136">
        <v>11.428858075040782</v>
      </c>
      <c r="AG183" s="4">
        <f t="shared" si="42"/>
        <v>2018</v>
      </c>
      <c r="AH183" s="394">
        <v>43434</v>
      </c>
      <c r="AI183" s="4">
        <f t="shared" si="43"/>
        <v>5.41</v>
      </c>
      <c r="AJ183" s="4">
        <v>5.43</v>
      </c>
      <c r="AK183" s="4">
        <v>5.39</v>
      </c>
      <c r="AM183" s="4">
        <f t="shared" si="44"/>
        <v>2022</v>
      </c>
      <c r="AN183" s="337">
        <v>44835</v>
      </c>
      <c r="AO183" s="4">
        <f t="shared" si="45"/>
        <v>11.914999999999999</v>
      </c>
      <c r="AP183" s="4">
        <v>11.93</v>
      </c>
      <c r="AQ183" s="4">
        <v>11.9</v>
      </c>
    </row>
    <row r="184" spans="16:43">
      <c r="P184" s="4">
        <f t="shared" si="46"/>
        <v>2020</v>
      </c>
      <c r="Q184" s="396">
        <f t="shared" si="53"/>
        <v>43862</v>
      </c>
      <c r="R184" s="136">
        <v>93.39</v>
      </c>
      <c r="S184" s="136">
        <v>79.709999999999994</v>
      </c>
      <c r="T184" s="338">
        <f t="shared" si="50"/>
        <v>87.507599999999996</v>
      </c>
      <c r="U184" s="324">
        <v>400</v>
      </c>
      <c r="V184" s="324">
        <v>296</v>
      </c>
      <c r="W184" s="324">
        <f t="shared" si="47"/>
        <v>0.57471264367816088</v>
      </c>
      <c r="X184" s="324">
        <f t="shared" si="48"/>
        <v>0.42528735632183906</v>
      </c>
      <c r="AB184" s="4">
        <f t="shared" si="51"/>
        <v>2020</v>
      </c>
      <c r="AC184" s="394">
        <f t="shared" si="52"/>
        <v>43862</v>
      </c>
      <c r="AD184" s="135">
        <f t="shared" si="49"/>
        <v>10.742343665035344</v>
      </c>
      <c r="AE184" s="136">
        <v>10.742343665035344</v>
      </c>
      <c r="AG184" s="4">
        <f t="shared" si="42"/>
        <v>2018</v>
      </c>
      <c r="AH184" s="394">
        <v>43465</v>
      </c>
      <c r="AI184" s="4">
        <f t="shared" si="43"/>
        <v>5.68</v>
      </c>
      <c r="AJ184" s="4">
        <v>5.66</v>
      </c>
      <c r="AK184" s="4">
        <v>5.7</v>
      </c>
      <c r="AM184" s="4">
        <f t="shared" si="44"/>
        <v>2022</v>
      </c>
      <c r="AN184" s="337">
        <v>44866</v>
      </c>
      <c r="AO184" s="4">
        <f t="shared" si="45"/>
        <v>12.085000000000001</v>
      </c>
      <c r="AP184" s="4">
        <v>12.1</v>
      </c>
      <c r="AQ184" s="4">
        <v>12.07</v>
      </c>
    </row>
    <row r="185" spans="16:43">
      <c r="P185" s="4">
        <f t="shared" si="46"/>
        <v>2020</v>
      </c>
      <c r="Q185" s="396">
        <f t="shared" si="53"/>
        <v>43891</v>
      </c>
      <c r="R185" s="136">
        <v>81.08</v>
      </c>
      <c r="S185" s="136">
        <v>73.84</v>
      </c>
      <c r="T185" s="338">
        <f t="shared" si="50"/>
        <v>77.966799999999992</v>
      </c>
      <c r="U185" s="324">
        <v>416</v>
      </c>
      <c r="V185" s="324">
        <v>328</v>
      </c>
      <c r="W185" s="324">
        <f t="shared" si="47"/>
        <v>0.55913978494623651</v>
      </c>
      <c r="X185" s="324">
        <f t="shared" si="48"/>
        <v>0.44086021505376344</v>
      </c>
      <c r="AB185" s="4">
        <f t="shared" si="51"/>
        <v>2020</v>
      </c>
      <c r="AC185" s="394">
        <f t="shared" si="52"/>
        <v>43891</v>
      </c>
      <c r="AD185" s="135">
        <f t="shared" si="49"/>
        <v>10.103409461663947</v>
      </c>
      <c r="AE185" s="136">
        <v>10.103409461663947</v>
      </c>
      <c r="AG185" s="4">
        <f t="shared" si="42"/>
        <v>2019</v>
      </c>
      <c r="AH185" s="394">
        <v>43496</v>
      </c>
      <c r="AI185" s="4">
        <f t="shared" si="43"/>
        <v>6.3149999999999995</v>
      </c>
      <c r="AJ185" s="4">
        <v>6.25</v>
      </c>
      <c r="AK185" s="4">
        <v>6.38</v>
      </c>
      <c r="AM185" s="4">
        <f t="shared" si="44"/>
        <v>2022</v>
      </c>
      <c r="AN185" s="337">
        <v>44896</v>
      </c>
      <c r="AO185" s="4">
        <f t="shared" si="45"/>
        <v>12.69</v>
      </c>
      <c r="AP185" s="4">
        <v>12.61</v>
      </c>
      <c r="AQ185" s="4">
        <v>12.77</v>
      </c>
    </row>
    <row r="186" spans="16:43">
      <c r="P186" s="4">
        <f t="shared" si="46"/>
        <v>2020</v>
      </c>
      <c r="Q186" s="396">
        <f t="shared" si="53"/>
        <v>43922</v>
      </c>
      <c r="R186" s="136">
        <v>79.58</v>
      </c>
      <c r="S186" s="136">
        <v>70.930000000000007</v>
      </c>
      <c r="T186" s="338">
        <f t="shared" si="50"/>
        <v>75.860500000000002</v>
      </c>
      <c r="U186" s="324">
        <v>416</v>
      </c>
      <c r="V186" s="324">
        <v>304</v>
      </c>
      <c r="W186" s="324">
        <f t="shared" si="47"/>
        <v>0.57777777777777772</v>
      </c>
      <c r="X186" s="324">
        <f t="shared" si="48"/>
        <v>0.42222222222222222</v>
      </c>
      <c r="AB186" s="4">
        <f t="shared" si="51"/>
        <v>2020</v>
      </c>
      <c r="AC186" s="394">
        <f t="shared" si="52"/>
        <v>43922</v>
      </c>
      <c r="AD186" s="135">
        <f t="shared" si="49"/>
        <v>9.5630342577487752</v>
      </c>
      <c r="AE186" s="136">
        <v>9.5630342577487752</v>
      </c>
      <c r="AG186" s="4">
        <f t="shared" si="42"/>
        <v>2019</v>
      </c>
      <c r="AH186" s="394">
        <v>43524</v>
      </c>
      <c r="AI186" s="4">
        <f t="shared" si="43"/>
        <v>5.875</v>
      </c>
      <c r="AJ186" s="4">
        <v>5.85</v>
      </c>
      <c r="AK186" s="4">
        <v>5.9</v>
      </c>
      <c r="AM186" s="4">
        <f t="shared" si="44"/>
        <v>2023</v>
      </c>
      <c r="AN186" s="337">
        <v>44927</v>
      </c>
      <c r="AO186" s="4">
        <f t="shared" si="45"/>
        <v>13.9</v>
      </c>
      <c r="AP186" s="4">
        <v>13.72</v>
      </c>
      <c r="AQ186" s="4">
        <v>14.08</v>
      </c>
    </row>
    <row r="187" spans="16:43">
      <c r="P187" s="4">
        <f t="shared" si="46"/>
        <v>2020</v>
      </c>
      <c r="Q187" s="396">
        <f t="shared" si="53"/>
        <v>43952</v>
      </c>
      <c r="R187" s="136">
        <v>80.45</v>
      </c>
      <c r="S187" s="136">
        <v>62.17</v>
      </c>
      <c r="T187" s="338">
        <f t="shared" si="50"/>
        <v>72.58959999999999</v>
      </c>
      <c r="U187" s="324">
        <v>400</v>
      </c>
      <c r="V187" s="324">
        <v>344</v>
      </c>
      <c r="W187" s="324">
        <f t="shared" si="47"/>
        <v>0.5376344086021505</v>
      </c>
      <c r="X187" s="324">
        <f t="shared" si="48"/>
        <v>0.46236559139784944</v>
      </c>
      <c r="AB187" s="4">
        <f t="shared" si="51"/>
        <v>2020</v>
      </c>
      <c r="AC187" s="394">
        <f t="shared" si="52"/>
        <v>43952</v>
      </c>
      <c r="AD187" s="135">
        <f t="shared" si="49"/>
        <v>9.4644752582925484</v>
      </c>
      <c r="AE187" s="136">
        <v>9.4644752582925484</v>
      </c>
      <c r="AG187" s="4">
        <f t="shared" si="42"/>
        <v>2019</v>
      </c>
      <c r="AH187" s="394">
        <v>43555</v>
      </c>
      <c r="AI187" s="4">
        <f t="shared" si="43"/>
        <v>5.5150000000000006</v>
      </c>
      <c r="AJ187" s="4">
        <v>5.54</v>
      </c>
      <c r="AK187" s="4">
        <v>5.49</v>
      </c>
      <c r="AM187" s="4">
        <f t="shared" si="44"/>
        <v>2023</v>
      </c>
      <c r="AN187" s="337">
        <v>44958</v>
      </c>
      <c r="AO187" s="4">
        <f t="shared" si="45"/>
        <v>12.93</v>
      </c>
      <c r="AP187" s="4">
        <v>12.85</v>
      </c>
      <c r="AQ187" s="4">
        <v>13.01</v>
      </c>
    </row>
    <row r="188" spans="16:43">
      <c r="P188" s="4">
        <f t="shared" si="46"/>
        <v>2020</v>
      </c>
      <c r="Q188" s="396">
        <f t="shared" si="53"/>
        <v>43983</v>
      </c>
      <c r="R188" s="136">
        <v>84.91</v>
      </c>
      <c r="S188" s="136">
        <v>64.19</v>
      </c>
      <c r="T188" s="338">
        <f t="shared" si="50"/>
        <v>76.000399999999985</v>
      </c>
      <c r="U188" s="324">
        <v>416</v>
      </c>
      <c r="V188" s="324">
        <v>304</v>
      </c>
      <c r="W188" s="324">
        <f t="shared" si="47"/>
        <v>0.57777777777777772</v>
      </c>
      <c r="X188" s="324">
        <f t="shared" si="48"/>
        <v>0.42222222222222222</v>
      </c>
      <c r="AB188" s="4">
        <f t="shared" si="51"/>
        <v>2020</v>
      </c>
      <c r="AC188" s="394">
        <f t="shared" si="52"/>
        <v>43983</v>
      </c>
      <c r="AD188" s="135">
        <f t="shared" si="49"/>
        <v>9.6106144643828166</v>
      </c>
      <c r="AE188" s="136">
        <v>9.6106144643828166</v>
      </c>
      <c r="AG188" s="4">
        <f t="shared" si="42"/>
        <v>2019</v>
      </c>
      <c r="AH188" s="394">
        <v>43585</v>
      </c>
      <c r="AI188" s="4">
        <f t="shared" si="43"/>
        <v>5.1549999999999994</v>
      </c>
      <c r="AJ188" s="4">
        <v>5.22</v>
      </c>
      <c r="AK188" s="4">
        <v>5.09</v>
      </c>
      <c r="AM188" s="4">
        <f t="shared" si="44"/>
        <v>2023</v>
      </c>
      <c r="AN188" s="337">
        <v>44986</v>
      </c>
      <c r="AO188" s="4">
        <f t="shared" si="45"/>
        <v>12.14</v>
      </c>
      <c r="AP188" s="4">
        <v>12.16</v>
      </c>
      <c r="AQ188" s="4">
        <v>12.12</v>
      </c>
    </row>
    <row r="189" spans="16:43">
      <c r="P189" s="4">
        <f t="shared" si="46"/>
        <v>2020</v>
      </c>
      <c r="Q189" s="396">
        <f t="shared" si="53"/>
        <v>44013</v>
      </c>
      <c r="R189" s="136">
        <v>83.1</v>
      </c>
      <c r="S189" s="136">
        <v>74.44</v>
      </c>
      <c r="T189" s="338">
        <f t="shared" si="50"/>
        <v>79.376199999999983</v>
      </c>
      <c r="U189" s="324">
        <v>416</v>
      </c>
      <c r="V189" s="324">
        <v>328</v>
      </c>
      <c r="W189" s="324">
        <f t="shared" si="47"/>
        <v>0.55913978494623651</v>
      </c>
      <c r="X189" s="324">
        <f t="shared" si="48"/>
        <v>0.44086021505376344</v>
      </c>
      <c r="AB189" s="4">
        <f t="shared" si="51"/>
        <v>2020</v>
      </c>
      <c r="AC189" s="394">
        <f t="shared" si="52"/>
        <v>44013</v>
      </c>
      <c r="AD189" s="135">
        <f t="shared" si="49"/>
        <v>9.7601522566612289</v>
      </c>
      <c r="AE189" s="136">
        <v>9.7601522566612289</v>
      </c>
      <c r="AG189" s="4">
        <f t="shared" si="42"/>
        <v>2019</v>
      </c>
      <c r="AH189" s="394">
        <v>43616</v>
      </c>
      <c r="AI189" s="4">
        <f t="shared" si="43"/>
        <v>5.1549999999999994</v>
      </c>
      <c r="AJ189" s="4">
        <v>5.22</v>
      </c>
      <c r="AK189" s="4">
        <v>5.09</v>
      </c>
      <c r="AM189" s="4">
        <f t="shared" si="44"/>
        <v>2023</v>
      </c>
      <c r="AN189" s="337">
        <v>45017</v>
      </c>
      <c r="AO189" s="4">
        <f t="shared" si="45"/>
        <v>11.345000000000001</v>
      </c>
      <c r="AP189" s="4">
        <v>11.46</v>
      </c>
      <c r="AQ189" s="4">
        <v>11.23</v>
      </c>
    </row>
    <row r="190" spans="16:43">
      <c r="P190" s="4">
        <f t="shared" si="46"/>
        <v>2020</v>
      </c>
      <c r="Q190" s="396">
        <f t="shared" si="53"/>
        <v>44044</v>
      </c>
      <c r="R190" s="136">
        <v>87.27</v>
      </c>
      <c r="S190" s="136">
        <v>75.37</v>
      </c>
      <c r="T190" s="338">
        <f t="shared" si="50"/>
        <v>82.152999999999992</v>
      </c>
      <c r="U190" s="324">
        <v>416</v>
      </c>
      <c r="V190" s="324">
        <v>328</v>
      </c>
      <c r="W190" s="324">
        <f t="shared" si="47"/>
        <v>0.55913978494623651</v>
      </c>
      <c r="X190" s="324">
        <f t="shared" si="48"/>
        <v>0.44086021505376344</v>
      </c>
      <c r="AB190" s="4">
        <f t="shared" si="51"/>
        <v>2020</v>
      </c>
      <c r="AC190" s="394">
        <f t="shared" si="52"/>
        <v>44044</v>
      </c>
      <c r="AD190" s="135">
        <f t="shared" si="49"/>
        <v>9.7601522566612289</v>
      </c>
      <c r="AE190" s="136">
        <v>9.7601522566612289</v>
      </c>
      <c r="AG190" s="4">
        <f t="shared" si="42"/>
        <v>2019</v>
      </c>
      <c r="AH190" s="394">
        <v>43646</v>
      </c>
      <c r="AI190" s="4">
        <f t="shared" si="43"/>
        <v>5.2349999999999994</v>
      </c>
      <c r="AJ190" s="4">
        <v>5.3</v>
      </c>
      <c r="AK190" s="4">
        <v>5.17</v>
      </c>
      <c r="AM190" s="4">
        <f t="shared" si="44"/>
        <v>2023</v>
      </c>
      <c r="AN190" s="337">
        <v>45047</v>
      </c>
      <c r="AO190" s="4">
        <f t="shared" si="45"/>
        <v>11.345000000000001</v>
      </c>
      <c r="AP190" s="4">
        <v>11.46</v>
      </c>
      <c r="AQ190" s="4">
        <v>11.23</v>
      </c>
    </row>
    <row r="191" spans="16:43">
      <c r="P191" s="4">
        <f t="shared" si="46"/>
        <v>2020</v>
      </c>
      <c r="Q191" s="396">
        <f t="shared" si="53"/>
        <v>44075</v>
      </c>
      <c r="R191" s="136">
        <v>85.08</v>
      </c>
      <c r="S191" s="136">
        <v>73.92</v>
      </c>
      <c r="T191" s="338">
        <f t="shared" si="50"/>
        <v>80.281199999999998</v>
      </c>
      <c r="U191" s="324">
        <v>400</v>
      </c>
      <c r="V191" s="324">
        <v>320</v>
      </c>
      <c r="W191" s="324">
        <f t="shared" si="47"/>
        <v>0.55555555555555558</v>
      </c>
      <c r="X191" s="324">
        <f t="shared" si="48"/>
        <v>0.44444444444444442</v>
      </c>
      <c r="AB191" s="4">
        <f t="shared" si="51"/>
        <v>2020</v>
      </c>
      <c r="AC191" s="394">
        <f t="shared" si="52"/>
        <v>44075</v>
      </c>
      <c r="AD191" s="135">
        <f t="shared" si="49"/>
        <v>9.7601522566612289</v>
      </c>
      <c r="AE191" s="136">
        <v>9.7601522566612289</v>
      </c>
      <c r="AG191" s="4">
        <f t="shared" si="42"/>
        <v>2019</v>
      </c>
      <c r="AH191" s="394">
        <v>43677</v>
      </c>
      <c r="AI191" s="4">
        <f t="shared" si="43"/>
        <v>5.3149999999999995</v>
      </c>
      <c r="AJ191" s="4">
        <v>5.38</v>
      </c>
      <c r="AK191" s="4">
        <v>5.25</v>
      </c>
      <c r="AM191" s="4">
        <f t="shared" si="44"/>
        <v>2023</v>
      </c>
      <c r="AN191" s="337">
        <v>45078</v>
      </c>
      <c r="AO191" s="4">
        <f t="shared" si="45"/>
        <v>11.525</v>
      </c>
      <c r="AP191" s="4">
        <v>11.64</v>
      </c>
      <c r="AQ191" s="4">
        <v>11.41</v>
      </c>
    </row>
    <row r="192" spans="16:43">
      <c r="P192" s="4">
        <f t="shared" si="46"/>
        <v>2020</v>
      </c>
      <c r="Q192" s="396">
        <f t="shared" si="53"/>
        <v>44105</v>
      </c>
      <c r="R192" s="136">
        <v>80.75</v>
      </c>
      <c r="S192" s="136">
        <v>73.77</v>
      </c>
      <c r="T192" s="338">
        <f t="shared" si="50"/>
        <v>77.748599999999996</v>
      </c>
      <c r="U192" s="324">
        <v>432</v>
      </c>
      <c r="V192" s="324">
        <v>312</v>
      </c>
      <c r="W192" s="324">
        <f t="shared" si="47"/>
        <v>0.58064516129032262</v>
      </c>
      <c r="X192" s="324">
        <f t="shared" si="48"/>
        <v>0.41935483870967744</v>
      </c>
      <c r="AB192" s="4">
        <f t="shared" si="51"/>
        <v>2020</v>
      </c>
      <c r="AC192" s="394">
        <f t="shared" si="52"/>
        <v>44105</v>
      </c>
      <c r="AD192" s="135">
        <f t="shared" si="49"/>
        <v>10.103409461663947</v>
      </c>
      <c r="AE192" s="136">
        <v>10.103409461663947</v>
      </c>
      <c r="AG192" s="4">
        <f t="shared" si="42"/>
        <v>2019</v>
      </c>
      <c r="AH192" s="394">
        <v>43708</v>
      </c>
      <c r="AI192" s="4">
        <f t="shared" si="43"/>
        <v>5.3149999999999995</v>
      </c>
      <c r="AJ192" s="4">
        <v>5.38</v>
      </c>
      <c r="AK192" s="4">
        <v>5.25</v>
      </c>
      <c r="AM192" s="4">
        <f t="shared" si="44"/>
        <v>2023</v>
      </c>
      <c r="AN192" s="337">
        <v>45108</v>
      </c>
      <c r="AO192" s="4">
        <f t="shared" si="45"/>
        <v>11.7</v>
      </c>
      <c r="AP192" s="4">
        <v>11.81</v>
      </c>
      <c r="AQ192" s="4">
        <v>11.59</v>
      </c>
    </row>
    <row r="193" spans="16:43">
      <c r="P193" s="4">
        <f t="shared" si="46"/>
        <v>2020</v>
      </c>
      <c r="Q193" s="396">
        <f t="shared" si="53"/>
        <v>44136</v>
      </c>
      <c r="R193" s="136">
        <v>88.51</v>
      </c>
      <c r="S193" s="136">
        <v>67.099999999999994</v>
      </c>
      <c r="T193" s="338">
        <f t="shared" si="50"/>
        <v>79.303699999999992</v>
      </c>
      <c r="U193" s="324">
        <v>384</v>
      </c>
      <c r="V193" s="324">
        <v>336</v>
      </c>
      <c r="W193" s="324">
        <f t="shared" si="47"/>
        <v>0.53333333333333333</v>
      </c>
      <c r="X193" s="324">
        <f t="shared" si="48"/>
        <v>0.46666666666666667</v>
      </c>
      <c r="AB193" s="4">
        <f t="shared" si="51"/>
        <v>2020</v>
      </c>
      <c r="AC193" s="394">
        <f t="shared" si="52"/>
        <v>44136</v>
      </c>
      <c r="AD193" s="135">
        <f t="shared" si="49"/>
        <v>10.249548667754214</v>
      </c>
      <c r="AE193" s="136">
        <v>10.249548667754214</v>
      </c>
      <c r="AG193" s="4">
        <f t="shared" si="42"/>
        <v>2019</v>
      </c>
      <c r="AH193" s="394">
        <v>43738</v>
      </c>
      <c r="AI193" s="4">
        <f t="shared" si="43"/>
        <v>5.3149999999999995</v>
      </c>
      <c r="AJ193" s="4">
        <v>5.38</v>
      </c>
      <c r="AK193" s="4">
        <v>5.25</v>
      </c>
      <c r="AM193" s="4">
        <f t="shared" si="44"/>
        <v>2023</v>
      </c>
      <c r="AN193" s="337">
        <v>45139</v>
      </c>
      <c r="AO193" s="4">
        <f t="shared" si="45"/>
        <v>11.7</v>
      </c>
      <c r="AP193" s="4">
        <v>11.81</v>
      </c>
      <c r="AQ193" s="4">
        <v>11.59</v>
      </c>
    </row>
    <row r="194" spans="16:43">
      <c r="P194" s="4">
        <f t="shared" si="46"/>
        <v>2020</v>
      </c>
      <c r="Q194" s="396">
        <f t="shared" si="53"/>
        <v>44166</v>
      </c>
      <c r="R194" s="136">
        <v>89.48</v>
      </c>
      <c r="S194" s="136">
        <v>76.489999999999995</v>
      </c>
      <c r="T194" s="338">
        <f t="shared" si="50"/>
        <v>83.894299999999987</v>
      </c>
      <c r="U194" s="324">
        <v>416</v>
      </c>
      <c r="V194" s="324">
        <v>328</v>
      </c>
      <c r="W194" s="324">
        <f t="shared" si="47"/>
        <v>0.55913978494623651</v>
      </c>
      <c r="X194" s="324">
        <f t="shared" si="48"/>
        <v>0.44086021505376344</v>
      </c>
      <c r="AB194" s="4">
        <f t="shared" si="51"/>
        <v>2020</v>
      </c>
      <c r="AC194" s="394">
        <f t="shared" si="52"/>
        <v>44166</v>
      </c>
      <c r="AD194" s="135">
        <f t="shared" si="49"/>
        <v>10.742343665035344</v>
      </c>
      <c r="AE194" s="136">
        <v>10.742343665035344</v>
      </c>
      <c r="AG194" s="4">
        <f t="shared" si="42"/>
        <v>2019</v>
      </c>
      <c r="AH194" s="394">
        <v>43769</v>
      </c>
      <c r="AI194" s="4">
        <f t="shared" si="43"/>
        <v>5.5150000000000006</v>
      </c>
      <c r="AJ194" s="4">
        <v>5.54</v>
      </c>
      <c r="AK194" s="4">
        <v>5.49</v>
      </c>
      <c r="AM194" s="4">
        <f t="shared" si="44"/>
        <v>2023</v>
      </c>
      <c r="AN194" s="337">
        <v>45170</v>
      </c>
      <c r="AO194" s="4">
        <f t="shared" si="45"/>
        <v>11.7</v>
      </c>
      <c r="AP194" s="4">
        <v>11.81</v>
      </c>
      <c r="AQ194" s="4">
        <v>11.59</v>
      </c>
    </row>
    <row r="195" spans="16:43">
      <c r="P195" s="4">
        <f t="shared" si="46"/>
        <v>2021</v>
      </c>
      <c r="Q195" s="396">
        <f t="shared" si="53"/>
        <v>44197</v>
      </c>
      <c r="R195" s="136">
        <v>98.12</v>
      </c>
      <c r="S195" s="136">
        <v>85.14</v>
      </c>
      <c r="T195" s="338">
        <f t="shared" si="50"/>
        <v>92.538600000000002</v>
      </c>
      <c r="U195" s="324">
        <v>400</v>
      </c>
      <c r="V195" s="324">
        <v>344</v>
      </c>
      <c r="W195" s="324">
        <f t="shared" si="47"/>
        <v>0.5376344086021505</v>
      </c>
      <c r="X195" s="324">
        <f t="shared" si="48"/>
        <v>0.46236559139784944</v>
      </c>
      <c r="AB195" s="4">
        <f t="shared" si="51"/>
        <v>2021</v>
      </c>
      <c r="AC195" s="394">
        <f t="shared" si="52"/>
        <v>44197</v>
      </c>
      <c r="AD195" s="135">
        <f t="shared" si="49"/>
        <v>11.632773246329528</v>
      </c>
      <c r="AE195" s="136">
        <v>11.632773246329528</v>
      </c>
      <c r="AG195" s="4">
        <f t="shared" si="42"/>
        <v>2019</v>
      </c>
      <c r="AH195" s="394">
        <v>43799</v>
      </c>
      <c r="AI195" s="4">
        <f t="shared" si="43"/>
        <v>5.5950000000000006</v>
      </c>
      <c r="AJ195" s="4">
        <v>5.62</v>
      </c>
      <c r="AK195" s="4">
        <v>5.57</v>
      </c>
      <c r="AM195" s="4">
        <f t="shared" si="44"/>
        <v>2023</v>
      </c>
      <c r="AN195" s="337">
        <v>45200</v>
      </c>
      <c r="AO195" s="4">
        <f t="shared" si="45"/>
        <v>12.14</v>
      </c>
      <c r="AP195" s="4">
        <v>12.16</v>
      </c>
      <c r="AQ195" s="4">
        <v>12.12</v>
      </c>
    </row>
    <row r="196" spans="16:43">
      <c r="P196" s="4">
        <f t="shared" si="46"/>
        <v>2021</v>
      </c>
      <c r="Q196" s="396">
        <f t="shared" si="53"/>
        <v>44228</v>
      </c>
      <c r="R196" s="136">
        <v>92.51</v>
      </c>
      <c r="S196" s="136">
        <v>80.180000000000007</v>
      </c>
      <c r="T196" s="338">
        <f t="shared" si="50"/>
        <v>87.208100000000002</v>
      </c>
      <c r="U196" s="324">
        <v>384</v>
      </c>
      <c r="V196" s="324">
        <v>288</v>
      </c>
      <c r="W196" s="324">
        <f t="shared" si="47"/>
        <v>0.5714285714285714</v>
      </c>
      <c r="X196" s="324">
        <f t="shared" si="48"/>
        <v>0.42857142857142855</v>
      </c>
      <c r="AB196" s="4">
        <f t="shared" si="51"/>
        <v>2021</v>
      </c>
      <c r="AC196" s="394">
        <f t="shared" si="52"/>
        <v>44228</v>
      </c>
      <c r="AD196" s="135">
        <f t="shared" si="49"/>
        <v>10.932664491571506</v>
      </c>
      <c r="AE196" s="136">
        <v>10.932664491571506</v>
      </c>
      <c r="AG196" s="4">
        <f t="shared" si="42"/>
        <v>2019</v>
      </c>
      <c r="AH196" s="394">
        <v>43830</v>
      </c>
      <c r="AI196" s="4">
        <f t="shared" si="43"/>
        <v>5.875</v>
      </c>
      <c r="AJ196" s="4">
        <v>5.85</v>
      </c>
      <c r="AK196" s="4">
        <v>5.9</v>
      </c>
      <c r="AM196" s="4">
        <f t="shared" si="44"/>
        <v>2023</v>
      </c>
      <c r="AN196" s="337">
        <v>45231</v>
      </c>
      <c r="AO196" s="4">
        <f t="shared" si="45"/>
        <v>12.315000000000001</v>
      </c>
      <c r="AP196" s="4">
        <v>12.33</v>
      </c>
      <c r="AQ196" s="4">
        <v>12.3</v>
      </c>
    </row>
    <row r="197" spans="16:43">
      <c r="P197" s="4">
        <f t="shared" si="46"/>
        <v>2021</v>
      </c>
      <c r="Q197" s="396">
        <f t="shared" si="53"/>
        <v>44256</v>
      </c>
      <c r="R197" s="136">
        <v>80.59</v>
      </c>
      <c r="S197" s="136">
        <v>73.95</v>
      </c>
      <c r="T197" s="338">
        <f t="shared" si="50"/>
        <v>77.734799999999993</v>
      </c>
      <c r="U197" s="324">
        <v>432</v>
      </c>
      <c r="V197" s="324">
        <v>312</v>
      </c>
      <c r="W197" s="324">
        <f t="shared" si="47"/>
        <v>0.58064516129032262</v>
      </c>
      <c r="X197" s="324">
        <f t="shared" si="48"/>
        <v>0.41935483870967744</v>
      </c>
      <c r="AB197" s="4">
        <f t="shared" si="51"/>
        <v>2021</v>
      </c>
      <c r="AC197" s="394">
        <f t="shared" si="52"/>
        <v>44256</v>
      </c>
      <c r="AD197" s="135">
        <f t="shared" si="49"/>
        <v>10.283534529635672</v>
      </c>
      <c r="AE197" s="136">
        <v>10.283534529635672</v>
      </c>
      <c r="AG197" s="4">
        <f t="shared" si="42"/>
        <v>2020</v>
      </c>
      <c r="AH197" s="394">
        <v>43861</v>
      </c>
      <c r="AI197" s="4">
        <f t="shared" si="43"/>
        <v>6.5299999999999994</v>
      </c>
      <c r="AJ197" s="4">
        <v>6.46</v>
      </c>
      <c r="AK197" s="4">
        <v>6.6</v>
      </c>
      <c r="AM197" s="4">
        <f t="shared" si="44"/>
        <v>2023</v>
      </c>
      <c r="AN197" s="337">
        <v>45261</v>
      </c>
      <c r="AO197" s="4">
        <f t="shared" si="45"/>
        <v>12.93</v>
      </c>
      <c r="AP197" s="4">
        <v>12.85</v>
      </c>
      <c r="AQ197" s="4">
        <v>13.01</v>
      </c>
    </row>
    <row r="198" spans="16:43">
      <c r="P198" s="4">
        <f t="shared" si="46"/>
        <v>2021</v>
      </c>
      <c r="Q198" s="396">
        <f t="shared" si="53"/>
        <v>44287</v>
      </c>
      <c r="R198" s="136">
        <v>78.48</v>
      </c>
      <c r="S198" s="136">
        <v>72.069999999999993</v>
      </c>
      <c r="T198" s="338">
        <f t="shared" si="50"/>
        <v>75.723699999999994</v>
      </c>
      <c r="U198" s="324">
        <v>416</v>
      </c>
      <c r="V198" s="324">
        <v>304</v>
      </c>
      <c r="W198" s="324">
        <f t="shared" si="47"/>
        <v>0.57777777777777772</v>
      </c>
      <c r="X198" s="324">
        <f t="shared" si="48"/>
        <v>0.42222222222222222</v>
      </c>
      <c r="AB198" s="4">
        <f t="shared" si="51"/>
        <v>2021</v>
      </c>
      <c r="AC198" s="394">
        <f t="shared" si="52"/>
        <v>44287</v>
      </c>
      <c r="AD198" s="135">
        <f t="shared" si="49"/>
        <v>9.7363621533442082</v>
      </c>
      <c r="AE198" s="136">
        <v>9.7363621533442082</v>
      </c>
      <c r="AG198" s="4">
        <f t="shared" si="42"/>
        <v>2020</v>
      </c>
      <c r="AH198" s="394">
        <v>43890</v>
      </c>
      <c r="AI198" s="4">
        <f t="shared" si="43"/>
        <v>6.0749999999999993</v>
      </c>
      <c r="AJ198" s="4">
        <v>6.05</v>
      </c>
      <c r="AK198" s="4">
        <v>6.1</v>
      </c>
      <c r="AM198" s="4">
        <f t="shared" si="44"/>
        <v>2024</v>
      </c>
      <c r="AN198" s="337">
        <v>45292</v>
      </c>
      <c r="AO198" s="4">
        <f t="shared" si="45"/>
        <v>14.164999999999999</v>
      </c>
      <c r="AP198" s="4">
        <v>13.98</v>
      </c>
      <c r="AQ198" s="4">
        <v>14.35</v>
      </c>
    </row>
    <row r="199" spans="16:43">
      <c r="P199" s="4">
        <f t="shared" si="46"/>
        <v>2021</v>
      </c>
      <c r="Q199" s="396">
        <f t="shared" si="53"/>
        <v>44317</v>
      </c>
      <c r="R199" s="136">
        <v>82.61</v>
      </c>
      <c r="S199" s="136">
        <v>66.36</v>
      </c>
      <c r="T199" s="338">
        <f t="shared" si="50"/>
        <v>75.622500000000002</v>
      </c>
      <c r="U199" s="324">
        <v>400</v>
      </c>
      <c r="V199" s="324">
        <v>344</v>
      </c>
      <c r="W199" s="324">
        <f t="shared" si="47"/>
        <v>0.5376344086021505</v>
      </c>
      <c r="X199" s="324">
        <f t="shared" si="48"/>
        <v>0.46236559139784944</v>
      </c>
      <c r="AB199" s="4">
        <f t="shared" si="51"/>
        <v>2021</v>
      </c>
      <c r="AC199" s="394">
        <f t="shared" si="52"/>
        <v>44317</v>
      </c>
      <c r="AD199" s="135">
        <f t="shared" si="49"/>
        <v>9.6344045676998356</v>
      </c>
      <c r="AE199" s="136">
        <v>9.6344045676998356</v>
      </c>
      <c r="AG199" s="4">
        <f t="shared" si="42"/>
        <v>2020</v>
      </c>
      <c r="AH199" s="394">
        <v>43921</v>
      </c>
      <c r="AI199" s="4">
        <f t="shared" si="43"/>
        <v>5.7050000000000001</v>
      </c>
      <c r="AJ199" s="4">
        <v>5.73</v>
      </c>
      <c r="AK199" s="4">
        <v>5.68</v>
      </c>
      <c r="AM199" s="4">
        <f t="shared" si="44"/>
        <v>2024</v>
      </c>
      <c r="AN199" s="337">
        <v>45323</v>
      </c>
      <c r="AO199" s="4">
        <f t="shared" si="45"/>
        <v>13.18</v>
      </c>
      <c r="AP199" s="4">
        <v>13.1</v>
      </c>
      <c r="AQ199" s="4">
        <v>13.26</v>
      </c>
    </row>
    <row r="200" spans="16:43">
      <c r="P200" s="4">
        <f t="shared" si="46"/>
        <v>2021</v>
      </c>
      <c r="Q200" s="396">
        <f t="shared" si="53"/>
        <v>44348</v>
      </c>
      <c r="R200" s="136">
        <v>89.54</v>
      </c>
      <c r="S200" s="136">
        <v>70.75</v>
      </c>
      <c r="T200" s="338">
        <f t="shared" si="50"/>
        <v>81.460299999999989</v>
      </c>
      <c r="U200" s="324">
        <v>416</v>
      </c>
      <c r="V200" s="324">
        <v>304</v>
      </c>
      <c r="W200" s="324">
        <f t="shared" si="47"/>
        <v>0.57777777777777772</v>
      </c>
      <c r="X200" s="324">
        <f t="shared" si="48"/>
        <v>0.42222222222222222</v>
      </c>
      <c r="AB200" s="4">
        <f t="shared" si="51"/>
        <v>2021</v>
      </c>
      <c r="AC200" s="394">
        <f t="shared" si="52"/>
        <v>44348</v>
      </c>
      <c r="AD200" s="135">
        <f t="shared" si="49"/>
        <v>9.783942359978246</v>
      </c>
      <c r="AE200" s="136">
        <v>9.783942359978246</v>
      </c>
      <c r="AG200" s="4">
        <f t="shared" si="42"/>
        <v>2020</v>
      </c>
      <c r="AH200" s="394">
        <v>43951</v>
      </c>
      <c r="AI200" s="4">
        <f t="shared" si="43"/>
        <v>5.33</v>
      </c>
      <c r="AJ200" s="4">
        <v>5.4</v>
      </c>
      <c r="AK200" s="4">
        <v>5.26</v>
      </c>
      <c r="AM200" s="4">
        <f t="shared" si="44"/>
        <v>2024</v>
      </c>
      <c r="AN200" s="337">
        <v>45352</v>
      </c>
      <c r="AO200" s="4">
        <f t="shared" si="45"/>
        <v>12.370000000000001</v>
      </c>
      <c r="AP200" s="4">
        <v>12.39</v>
      </c>
      <c r="AQ200" s="4">
        <v>12.35</v>
      </c>
    </row>
    <row r="201" spans="16:43">
      <c r="P201" s="4">
        <f t="shared" si="46"/>
        <v>2021</v>
      </c>
      <c r="Q201" s="396">
        <f t="shared" si="53"/>
        <v>44378</v>
      </c>
      <c r="R201" s="136">
        <v>82.21</v>
      </c>
      <c r="S201" s="136">
        <v>76.510000000000005</v>
      </c>
      <c r="T201" s="338">
        <f t="shared" si="50"/>
        <v>79.758999999999986</v>
      </c>
      <c r="U201" s="324">
        <v>416</v>
      </c>
      <c r="V201" s="324">
        <v>328</v>
      </c>
      <c r="W201" s="324">
        <f t="shared" si="47"/>
        <v>0.55913978494623651</v>
      </c>
      <c r="X201" s="324">
        <f t="shared" si="48"/>
        <v>0.44086021505376344</v>
      </c>
      <c r="AB201" s="4">
        <f t="shared" si="51"/>
        <v>2021</v>
      </c>
      <c r="AC201" s="394">
        <f t="shared" si="52"/>
        <v>44378</v>
      </c>
      <c r="AD201" s="135">
        <f t="shared" si="49"/>
        <v>9.93348015225666</v>
      </c>
      <c r="AE201" s="136">
        <v>9.93348015225666</v>
      </c>
      <c r="AG201" s="4">
        <f t="shared" si="42"/>
        <v>2020</v>
      </c>
      <c r="AH201" s="394">
        <v>43982</v>
      </c>
      <c r="AI201" s="4">
        <f t="shared" si="43"/>
        <v>5.33</v>
      </c>
      <c r="AJ201" s="4">
        <v>5.4</v>
      </c>
      <c r="AK201" s="4">
        <v>5.26</v>
      </c>
      <c r="AM201" s="4">
        <f t="shared" si="44"/>
        <v>2024</v>
      </c>
      <c r="AN201" s="337">
        <v>45383</v>
      </c>
      <c r="AO201" s="4">
        <f t="shared" si="45"/>
        <v>11.565</v>
      </c>
      <c r="AP201" s="4">
        <v>11.68</v>
      </c>
      <c r="AQ201" s="4">
        <v>11.45</v>
      </c>
    </row>
    <row r="202" spans="16:43">
      <c r="P202" s="4">
        <f t="shared" si="46"/>
        <v>2021</v>
      </c>
      <c r="Q202" s="396">
        <f t="shared" si="53"/>
        <v>44409</v>
      </c>
      <c r="R202" s="136">
        <v>84.98</v>
      </c>
      <c r="S202" s="136">
        <v>76.510000000000005</v>
      </c>
      <c r="T202" s="338">
        <f t="shared" si="50"/>
        <v>81.337900000000005</v>
      </c>
      <c r="U202" s="324">
        <v>416</v>
      </c>
      <c r="V202" s="324">
        <v>328</v>
      </c>
      <c r="W202" s="324">
        <f t="shared" si="47"/>
        <v>0.55913978494623651</v>
      </c>
      <c r="X202" s="324">
        <f t="shared" si="48"/>
        <v>0.44086021505376344</v>
      </c>
      <c r="AB202" s="4">
        <f t="shared" si="51"/>
        <v>2021</v>
      </c>
      <c r="AC202" s="394">
        <f t="shared" si="52"/>
        <v>44409</v>
      </c>
      <c r="AD202" s="135">
        <f t="shared" si="49"/>
        <v>9.93348015225666</v>
      </c>
      <c r="AE202" s="136">
        <v>9.93348015225666</v>
      </c>
      <c r="AG202" s="4">
        <f t="shared" si="42"/>
        <v>2020</v>
      </c>
      <c r="AH202" s="394">
        <v>44012</v>
      </c>
      <c r="AI202" s="4">
        <f t="shared" si="43"/>
        <v>5.41</v>
      </c>
      <c r="AJ202" s="4">
        <v>5.48</v>
      </c>
      <c r="AK202" s="4">
        <v>5.34</v>
      </c>
      <c r="AM202" s="4">
        <f t="shared" si="44"/>
        <v>2024</v>
      </c>
      <c r="AN202" s="337">
        <v>45413</v>
      </c>
      <c r="AO202" s="4">
        <f t="shared" si="45"/>
        <v>11.565</v>
      </c>
      <c r="AP202" s="4">
        <v>11.68</v>
      </c>
      <c r="AQ202" s="4">
        <v>11.45</v>
      </c>
    </row>
    <row r="203" spans="16:43">
      <c r="P203" s="4">
        <f t="shared" si="46"/>
        <v>2021</v>
      </c>
      <c r="Q203" s="396">
        <f t="shared" si="53"/>
        <v>44440</v>
      </c>
      <c r="R203" s="136">
        <v>83.53</v>
      </c>
      <c r="S203" s="136">
        <v>74.64</v>
      </c>
      <c r="T203" s="338">
        <f t="shared" si="50"/>
        <v>79.707300000000004</v>
      </c>
      <c r="U203" s="324">
        <v>400</v>
      </c>
      <c r="V203" s="324">
        <v>320</v>
      </c>
      <c r="W203" s="324">
        <f t="shared" si="47"/>
        <v>0.55555555555555558</v>
      </c>
      <c r="X203" s="324">
        <f t="shared" si="48"/>
        <v>0.44444444444444442</v>
      </c>
      <c r="AB203" s="4">
        <f t="shared" si="51"/>
        <v>2021</v>
      </c>
      <c r="AC203" s="394">
        <f t="shared" si="52"/>
        <v>44440</v>
      </c>
      <c r="AD203" s="135">
        <f t="shared" si="49"/>
        <v>9.93348015225666</v>
      </c>
      <c r="AE203" s="136">
        <v>9.93348015225666</v>
      </c>
      <c r="AG203" s="4">
        <f t="shared" si="42"/>
        <v>2020</v>
      </c>
      <c r="AH203" s="394">
        <v>44043</v>
      </c>
      <c r="AI203" s="4">
        <f t="shared" si="43"/>
        <v>5.4949999999999992</v>
      </c>
      <c r="AJ203" s="4">
        <v>5.56</v>
      </c>
      <c r="AK203" s="4">
        <v>5.43</v>
      </c>
      <c r="AM203" s="4">
        <f t="shared" si="44"/>
        <v>2024</v>
      </c>
      <c r="AN203" s="337">
        <v>45444</v>
      </c>
      <c r="AO203" s="4">
        <f t="shared" si="45"/>
        <v>11.745000000000001</v>
      </c>
      <c r="AP203" s="4">
        <v>11.86</v>
      </c>
      <c r="AQ203" s="4">
        <v>11.63</v>
      </c>
    </row>
    <row r="204" spans="16:43">
      <c r="P204" s="4">
        <f t="shared" si="46"/>
        <v>2021</v>
      </c>
      <c r="Q204" s="396">
        <f t="shared" si="53"/>
        <v>44470</v>
      </c>
      <c r="R204" s="136">
        <v>81.45</v>
      </c>
      <c r="S204" s="136">
        <v>74.209999999999994</v>
      </c>
      <c r="T204" s="338">
        <f t="shared" si="50"/>
        <v>78.336799999999997</v>
      </c>
      <c r="U204" s="324">
        <v>416</v>
      </c>
      <c r="V204" s="324">
        <v>328</v>
      </c>
      <c r="W204" s="324">
        <f t="shared" si="47"/>
        <v>0.55913978494623651</v>
      </c>
      <c r="X204" s="324">
        <f t="shared" si="48"/>
        <v>0.44086021505376344</v>
      </c>
      <c r="AB204" s="4">
        <f t="shared" si="51"/>
        <v>2021</v>
      </c>
      <c r="AC204" s="394">
        <f t="shared" si="52"/>
        <v>44470</v>
      </c>
      <c r="AD204" s="135">
        <f t="shared" si="49"/>
        <v>10.283534529635672</v>
      </c>
      <c r="AE204" s="136">
        <v>10.283534529635672</v>
      </c>
      <c r="AG204" s="4">
        <f t="shared" si="42"/>
        <v>2020</v>
      </c>
      <c r="AH204" s="394">
        <v>44074</v>
      </c>
      <c r="AI204" s="4">
        <f t="shared" si="43"/>
        <v>5.4949999999999992</v>
      </c>
      <c r="AJ204" s="4">
        <v>5.56</v>
      </c>
      <c r="AK204" s="4">
        <v>5.43</v>
      </c>
      <c r="AM204" s="4">
        <f t="shared" si="44"/>
        <v>2024</v>
      </c>
      <c r="AN204" s="337">
        <v>45474</v>
      </c>
      <c r="AO204" s="4">
        <f t="shared" si="45"/>
        <v>11.92</v>
      </c>
      <c r="AP204" s="4">
        <v>12.03</v>
      </c>
      <c r="AQ204" s="4">
        <v>11.81</v>
      </c>
    </row>
    <row r="205" spans="16:43">
      <c r="P205" s="4">
        <f t="shared" si="46"/>
        <v>2021</v>
      </c>
      <c r="Q205" s="396">
        <f t="shared" si="53"/>
        <v>44501</v>
      </c>
      <c r="R205" s="136">
        <v>88.01</v>
      </c>
      <c r="S205" s="136">
        <v>66.94</v>
      </c>
      <c r="T205" s="338">
        <f t="shared" si="50"/>
        <v>78.9499</v>
      </c>
      <c r="U205" s="324">
        <v>400</v>
      </c>
      <c r="V205" s="324">
        <v>320</v>
      </c>
      <c r="W205" s="324">
        <f t="shared" si="47"/>
        <v>0.55555555555555558</v>
      </c>
      <c r="X205" s="324">
        <f t="shared" si="48"/>
        <v>0.44444444444444442</v>
      </c>
      <c r="AB205" s="4">
        <f t="shared" si="51"/>
        <v>2021</v>
      </c>
      <c r="AC205" s="394">
        <f t="shared" si="52"/>
        <v>44501</v>
      </c>
      <c r="AD205" s="135">
        <f t="shared" si="49"/>
        <v>10.436470908102228</v>
      </c>
      <c r="AE205" s="136">
        <v>10.436470908102228</v>
      </c>
      <c r="AG205" s="4">
        <f t="shared" ref="AG205:AG268" si="54">YEAR(AH205)</f>
        <v>2020</v>
      </c>
      <c r="AH205" s="394">
        <v>44104</v>
      </c>
      <c r="AI205" s="4">
        <f t="shared" ref="AI205:AI268" si="55">AVERAGE(AJ205:AK205)</f>
        <v>5.4949999999999992</v>
      </c>
      <c r="AJ205" s="4">
        <v>5.56</v>
      </c>
      <c r="AK205" s="4">
        <v>5.43</v>
      </c>
      <c r="AM205" s="4">
        <f t="shared" ref="AM205:AM268" si="56">YEAR(AN205)</f>
        <v>2024</v>
      </c>
      <c r="AN205" s="337">
        <v>45505</v>
      </c>
      <c r="AO205" s="4">
        <f t="shared" ref="AO205:AO268" si="57">AVERAGE(AP205:AQ205)</f>
        <v>11.92</v>
      </c>
      <c r="AP205" s="4">
        <v>12.03</v>
      </c>
      <c r="AQ205" s="4">
        <v>11.81</v>
      </c>
    </row>
    <row r="206" spans="16:43">
      <c r="P206" s="4">
        <f t="shared" si="46"/>
        <v>2021</v>
      </c>
      <c r="Q206" s="396">
        <f t="shared" si="53"/>
        <v>44531</v>
      </c>
      <c r="R206" s="136">
        <v>90.64</v>
      </c>
      <c r="S206" s="136">
        <v>75.510000000000005</v>
      </c>
      <c r="T206" s="338">
        <f t="shared" si="50"/>
        <v>84.134099999999989</v>
      </c>
      <c r="U206" s="324">
        <v>416</v>
      </c>
      <c r="V206" s="324">
        <v>328</v>
      </c>
      <c r="W206" s="324">
        <f t="shared" si="47"/>
        <v>0.55913978494623651</v>
      </c>
      <c r="X206" s="324">
        <f t="shared" si="48"/>
        <v>0.44086021505376344</v>
      </c>
      <c r="AB206" s="4">
        <f t="shared" si="51"/>
        <v>2021</v>
      </c>
      <c r="AC206" s="394">
        <f t="shared" si="52"/>
        <v>44531</v>
      </c>
      <c r="AD206" s="135">
        <f t="shared" si="49"/>
        <v>10.932664491571506</v>
      </c>
      <c r="AE206" s="136">
        <v>10.932664491571506</v>
      </c>
      <c r="AG206" s="4">
        <f t="shared" si="54"/>
        <v>2020</v>
      </c>
      <c r="AH206" s="394">
        <v>44135</v>
      </c>
      <c r="AI206" s="4">
        <f t="shared" si="55"/>
        <v>5.7050000000000001</v>
      </c>
      <c r="AJ206" s="4">
        <v>5.73</v>
      </c>
      <c r="AK206" s="4">
        <v>5.68</v>
      </c>
      <c r="AM206" s="4">
        <f t="shared" si="56"/>
        <v>2024</v>
      </c>
      <c r="AN206" s="337">
        <v>45536</v>
      </c>
      <c r="AO206" s="4">
        <f t="shared" si="57"/>
        <v>11.92</v>
      </c>
      <c r="AP206" s="4">
        <v>12.03</v>
      </c>
      <c r="AQ206" s="4">
        <v>11.81</v>
      </c>
    </row>
    <row r="207" spans="16:43">
      <c r="P207" s="4">
        <f t="shared" si="46"/>
        <v>2022</v>
      </c>
      <c r="Q207" s="396">
        <f t="shared" si="53"/>
        <v>44562</v>
      </c>
      <c r="R207" s="136">
        <v>96.97</v>
      </c>
      <c r="S207" s="136">
        <v>86.9</v>
      </c>
      <c r="T207" s="338">
        <f t="shared" si="50"/>
        <v>92.639899999999997</v>
      </c>
      <c r="U207" s="324">
        <v>400</v>
      </c>
      <c r="V207" s="324">
        <v>344</v>
      </c>
      <c r="W207" s="324">
        <f t="shared" si="47"/>
        <v>0.5376344086021505</v>
      </c>
      <c r="X207" s="324">
        <f t="shared" si="48"/>
        <v>0.46236559139784944</v>
      </c>
      <c r="AB207" s="4">
        <f t="shared" si="51"/>
        <v>2022</v>
      </c>
      <c r="AC207" s="394">
        <f t="shared" si="52"/>
        <v>44562</v>
      </c>
      <c r="AD207" s="135">
        <f t="shared" si="49"/>
        <v>11.853681348558998</v>
      </c>
      <c r="AE207" s="136">
        <v>11.853681348558998</v>
      </c>
      <c r="AG207" s="4">
        <f t="shared" si="54"/>
        <v>2020</v>
      </c>
      <c r="AH207" s="394">
        <v>44165</v>
      </c>
      <c r="AI207" s="4">
        <f t="shared" si="55"/>
        <v>5.7850000000000001</v>
      </c>
      <c r="AJ207" s="4">
        <v>5.81</v>
      </c>
      <c r="AK207" s="4">
        <v>5.76</v>
      </c>
      <c r="AM207" s="4">
        <f t="shared" si="56"/>
        <v>2024</v>
      </c>
      <c r="AN207" s="337">
        <v>45566</v>
      </c>
      <c r="AO207" s="4">
        <f t="shared" si="57"/>
        <v>12.370000000000001</v>
      </c>
      <c r="AP207" s="4">
        <v>12.39</v>
      </c>
      <c r="AQ207" s="4">
        <v>12.35</v>
      </c>
    </row>
    <row r="208" spans="16:43">
      <c r="P208" s="4">
        <f t="shared" ref="P208:P271" si="58">+YEAR(Q208)</f>
        <v>2022</v>
      </c>
      <c r="Q208" s="396">
        <f t="shared" si="53"/>
        <v>44593</v>
      </c>
      <c r="R208" s="136">
        <v>92.93</v>
      </c>
      <c r="S208" s="136">
        <v>79.819999999999993</v>
      </c>
      <c r="T208" s="338">
        <f t="shared" si="50"/>
        <v>87.292699999999996</v>
      </c>
      <c r="U208" s="324">
        <v>384</v>
      </c>
      <c r="V208" s="324">
        <v>288</v>
      </c>
      <c r="W208" s="324">
        <f t="shared" ref="W208:W271" si="59">U208/(U208+V208)</f>
        <v>0.5714285714285714</v>
      </c>
      <c r="X208" s="324">
        <f t="shared" ref="X208:X271" si="60">V208/(U208+V208)</f>
        <v>0.42857142857142855</v>
      </c>
      <c r="AB208" s="4">
        <f t="shared" si="51"/>
        <v>2022</v>
      </c>
      <c r="AC208" s="394">
        <f t="shared" si="52"/>
        <v>44593</v>
      </c>
      <c r="AD208" s="135">
        <f t="shared" ref="AD208:AD271" si="61">AE208</f>
        <v>11.143376835236541</v>
      </c>
      <c r="AE208" s="136">
        <v>11.143376835236541</v>
      </c>
      <c r="AG208" s="4">
        <f t="shared" si="54"/>
        <v>2020</v>
      </c>
      <c r="AH208" s="394">
        <v>44196</v>
      </c>
      <c r="AI208" s="4">
        <f t="shared" si="55"/>
        <v>6.0749999999999993</v>
      </c>
      <c r="AJ208" s="4">
        <v>6.05</v>
      </c>
      <c r="AK208" s="4">
        <v>6.1</v>
      </c>
      <c r="AM208" s="4">
        <f t="shared" si="56"/>
        <v>2024</v>
      </c>
      <c r="AN208" s="337">
        <v>45597</v>
      </c>
      <c r="AO208" s="4">
        <f t="shared" si="57"/>
        <v>12.555</v>
      </c>
      <c r="AP208" s="4">
        <v>12.57</v>
      </c>
      <c r="AQ208" s="4">
        <v>12.54</v>
      </c>
    </row>
    <row r="209" spans="16:43">
      <c r="P209" s="4">
        <f t="shared" si="58"/>
        <v>2022</v>
      </c>
      <c r="Q209" s="396">
        <f t="shared" si="53"/>
        <v>44621</v>
      </c>
      <c r="R209" s="136">
        <v>80.760000000000005</v>
      </c>
      <c r="S209" s="136">
        <v>74.260000000000005</v>
      </c>
      <c r="T209" s="338">
        <f t="shared" si="50"/>
        <v>77.965000000000003</v>
      </c>
      <c r="U209" s="324">
        <v>432</v>
      </c>
      <c r="V209" s="324">
        <v>312</v>
      </c>
      <c r="W209" s="324">
        <f t="shared" si="59"/>
        <v>0.58064516129032262</v>
      </c>
      <c r="X209" s="324">
        <f t="shared" si="60"/>
        <v>0.41935483870967744</v>
      </c>
      <c r="AB209" s="4">
        <f t="shared" si="51"/>
        <v>2022</v>
      </c>
      <c r="AC209" s="394">
        <f t="shared" si="52"/>
        <v>44621</v>
      </c>
      <c r="AD209" s="135">
        <f t="shared" si="61"/>
        <v>10.480652528548124</v>
      </c>
      <c r="AE209" s="136">
        <v>10.480652528548124</v>
      </c>
      <c r="AG209" s="4">
        <f t="shared" si="54"/>
        <v>2021</v>
      </c>
      <c r="AH209" s="394">
        <v>44227</v>
      </c>
      <c r="AI209" s="4">
        <f t="shared" si="55"/>
        <v>6.75</v>
      </c>
      <c r="AJ209" s="4">
        <v>6.68</v>
      </c>
      <c r="AK209" s="4">
        <v>6.82</v>
      </c>
      <c r="AM209" s="4">
        <f t="shared" si="56"/>
        <v>2024</v>
      </c>
      <c r="AN209" s="337">
        <v>45627</v>
      </c>
      <c r="AO209" s="4">
        <f t="shared" si="57"/>
        <v>13.18</v>
      </c>
      <c r="AP209" s="4">
        <v>13.1</v>
      </c>
      <c r="AQ209" s="4">
        <v>13.26</v>
      </c>
    </row>
    <row r="210" spans="16:43">
      <c r="P210" s="4">
        <f t="shared" si="58"/>
        <v>2022</v>
      </c>
      <c r="Q210" s="396">
        <f t="shared" si="53"/>
        <v>44652</v>
      </c>
      <c r="R210" s="136">
        <v>77.569999999999993</v>
      </c>
      <c r="S210" s="136">
        <v>73.2</v>
      </c>
      <c r="T210" s="338">
        <f t="shared" si="50"/>
        <v>75.690899999999999</v>
      </c>
      <c r="U210" s="324">
        <v>416</v>
      </c>
      <c r="V210" s="324">
        <v>304</v>
      </c>
      <c r="W210" s="324">
        <f t="shared" si="59"/>
        <v>0.57777777777777772</v>
      </c>
      <c r="X210" s="324">
        <f t="shared" si="60"/>
        <v>0.42222222222222222</v>
      </c>
      <c r="AB210" s="4">
        <f t="shared" si="51"/>
        <v>2022</v>
      </c>
      <c r="AC210" s="394">
        <f t="shared" si="52"/>
        <v>44652</v>
      </c>
      <c r="AD210" s="135">
        <f t="shared" si="61"/>
        <v>9.9164872213159327</v>
      </c>
      <c r="AE210" s="136">
        <v>9.9164872213159327</v>
      </c>
      <c r="AG210" s="4">
        <f t="shared" si="54"/>
        <v>2021</v>
      </c>
      <c r="AH210" s="394">
        <v>44255</v>
      </c>
      <c r="AI210" s="4">
        <f t="shared" si="55"/>
        <v>6.2799999999999994</v>
      </c>
      <c r="AJ210" s="4">
        <v>6.26</v>
      </c>
      <c r="AK210" s="4">
        <v>6.3</v>
      </c>
      <c r="AM210" s="4">
        <f t="shared" si="56"/>
        <v>2025</v>
      </c>
      <c r="AN210" s="337">
        <v>45658</v>
      </c>
      <c r="AO210" s="4">
        <f t="shared" si="57"/>
        <v>14.42</v>
      </c>
      <c r="AP210" s="4">
        <v>14.23</v>
      </c>
      <c r="AQ210" s="4">
        <v>14.61</v>
      </c>
    </row>
    <row r="211" spans="16:43">
      <c r="P211" s="4">
        <f t="shared" si="58"/>
        <v>2022</v>
      </c>
      <c r="Q211" s="396">
        <f t="shared" si="53"/>
        <v>44682</v>
      </c>
      <c r="R211" s="136">
        <v>82.12</v>
      </c>
      <c r="S211" s="136">
        <v>67.64</v>
      </c>
      <c r="T211" s="338">
        <f t="shared" si="50"/>
        <v>75.893599999999992</v>
      </c>
      <c r="U211" s="324">
        <v>400</v>
      </c>
      <c r="V211" s="324">
        <v>344</v>
      </c>
      <c r="W211" s="324">
        <f t="shared" si="59"/>
        <v>0.5376344086021505</v>
      </c>
      <c r="X211" s="324">
        <f t="shared" si="60"/>
        <v>0.46236559139784944</v>
      </c>
      <c r="AB211" s="4">
        <f t="shared" si="51"/>
        <v>2022</v>
      </c>
      <c r="AC211" s="394">
        <f t="shared" si="52"/>
        <v>44682</v>
      </c>
      <c r="AD211" s="135">
        <f t="shared" si="61"/>
        <v>9.8145296356715583</v>
      </c>
      <c r="AE211" s="136">
        <v>9.8145296356715583</v>
      </c>
      <c r="AG211" s="4">
        <f t="shared" si="54"/>
        <v>2021</v>
      </c>
      <c r="AH211" s="394">
        <v>44286</v>
      </c>
      <c r="AI211" s="4">
        <f t="shared" si="55"/>
        <v>5.8949999999999996</v>
      </c>
      <c r="AJ211" s="4">
        <v>5.92</v>
      </c>
      <c r="AK211" s="4">
        <v>5.87</v>
      </c>
      <c r="AM211" s="4">
        <f t="shared" si="56"/>
        <v>2025</v>
      </c>
      <c r="AN211" s="337">
        <v>45689</v>
      </c>
      <c r="AO211" s="4">
        <f t="shared" si="57"/>
        <v>13.414999999999999</v>
      </c>
      <c r="AP211" s="4">
        <v>13.33</v>
      </c>
      <c r="AQ211" s="4">
        <v>13.5</v>
      </c>
    </row>
    <row r="212" spans="16:43">
      <c r="P212" s="4">
        <f t="shared" si="58"/>
        <v>2022</v>
      </c>
      <c r="Q212" s="396">
        <f t="shared" si="53"/>
        <v>44713</v>
      </c>
      <c r="R212" s="136">
        <v>83.55</v>
      </c>
      <c r="S212" s="136">
        <v>71.86</v>
      </c>
      <c r="T212" s="338">
        <f t="shared" si="50"/>
        <v>78.523299999999992</v>
      </c>
      <c r="U212" s="324">
        <v>416</v>
      </c>
      <c r="V212" s="324">
        <v>304</v>
      </c>
      <c r="W212" s="324">
        <f t="shared" si="59"/>
        <v>0.57777777777777772</v>
      </c>
      <c r="X212" s="324">
        <f t="shared" si="60"/>
        <v>0.42222222222222222</v>
      </c>
      <c r="AB212" s="4">
        <f t="shared" si="51"/>
        <v>2022</v>
      </c>
      <c r="AC212" s="394">
        <f t="shared" si="52"/>
        <v>44713</v>
      </c>
      <c r="AD212" s="135">
        <f t="shared" si="61"/>
        <v>9.970864600326264</v>
      </c>
      <c r="AE212" s="136">
        <v>9.970864600326264</v>
      </c>
      <c r="AG212" s="4">
        <f t="shared" si="54"/>
        <v>2021</v>
      </c>
      <c r="AH212" s="394">
        <v>44316</v>
      </c>
      <c r="AI212" s="4">
        <f t="shared" si="55"/>
        <v>5.51</v>
      </c>
      <c r="AJ212" s="4">
        <v>5.58</v>
      </c>
      <c r="AK212" s="4">
        <v>5.44</v>
      </c>
      <c r="AM212" s="4">
        <f t="shared" si="56"/>
        <v>2025</v>
      </c>
      <c r="AN212" s="337">
        <v>45717</v>
      </c>
      <c r="AO212" s="4">
        <f t="shared" si="57"/>
        <v>12.594999999999999</v>
      </c>
      <c r="AP212" s="4">
        <v>12.61</v>
      </c>
      <c r="AQ212" s="4">
        <v>12.58</v>
      </c>
    </row>
    <row r="213" spans="16:43">
      <c r="P213" s="4">
        <f t="shared" si="58"/>
        <v>2022</v>
      </c>
      <c r="Q213" s="396">
        <f t="shared" si="53"/>
        <v>44743</v>
      </c>
      <c r="R213" s="136">
        <v>80.959999999999994</v>
      </c>
      <c r="S213" s="136">
        <v>77.08</v>
      </c>
      <c r="T213" s="338">
        <f t="shared" si="50"/>
        <v>79.291599999999988</v>
      </c>
      <c r="U213" s="324">
        <v>400</v>
      </c>
      <c r="V213" s="324">
        <v>344</v>
      </c>
      <c r="W213" s="324">
        <f t="shared" si="59"/>
        <v>0.5376344086021505</v>
      </c>
      <c r="X213" s="324">
        <f t="shared" si="60"/>
        <v>0.46236559139784944</v>
      </c>
      <c r="AB213" s="4">
        <f t="shared" si="51"/>
        <v>2022</v>
      </c>
      <c r="AC213" s="394">
        <f t="shared" si="52"/>
        <v>44743</v>
      </c>
      <c r="AD213" s="135">
        <f t="shared" si="61"/>
        <v>10.123800978792822</v>
      </c>
      <c r="AE213" s="136">
        <v>10.123800978792822</v>
      </c>
      <c r="AG213" s="4">
        <f t="shared" si="54"/>
        <v>2021</v>
      </c>
      <c r="AH213" s="394">
        <v>44347</v>
      </c>
      <c r="AI213" s="4">
        <f t="shared" si="55"/>
        <v>5.51</v>
      </c>
      <c r="AJ213" s="4">
        <v>5.58</v>
      </c>
      <c r="AK213" s="4">
        <v>5.44</v>
      </c>
      <c r="AM213" s="4">
        <f t="shared" si="56"/>
        <v>2025</v>
      </c>
      <c r="AN213" s="337">
        <v>45748</v>
      </c>
      <c r="AO213" s="4">
        <f t="shared" si="57"/>
        <v>11.77</v>
      </c>
      <c r="AP213" s="4">
        <v>11.89</v>
      </c>
      <c r="AQ213" s="4">
        <v>11.65</v>
      </c>
    </row>
    <row r="214" spans="16:43">
      <c r="P214" s="4">
        <f t="shared" si="58"/>
        <v>2022</v>
      </c>
      <c r="Q214" s="396">
        <f t="shared" si="53"/>
        <v>44774</v>
      </c>
      <c r="R214" s="136">
        <v>82.94</v>
      </c>
      <c r="S214" s="136">
        <v>77.73</v>
      </c>
      <c r="T214" s="338">
        <f t="shared" si="50"/>
        <v>80.699700000000007</v>
      </c>
      <c r="U214" s="324">
        <v>432</v>
      </c>
      <c r="V214" s="324">
        <v>312</v>
      </c>
      <c r="W214" s="324">
        <f t="shared" si="59"/>
        <v>0.58064516129032262</v>
      </c>
      <c r="X214" s="324">
        <f t="shared" si="60"/>
        <v>0.41935483870967744</v>
      </c>
      <c r="AB214" s="4">
        <f t="shared" si="51"/>
        <v>2022</v>
      </c>
      <c r="AC214" s="394">
        <f t="shared" si="52"/>
        <v>44774</v>
      </c>
      <c r="AD214" s="135">
        <f t="shared" si="61"/>
        <v>10.123800978792822</v>
      </c>
      <c r="AE214" s="136">
        <v>10.123800978792822</v>
      </c>
      <c r="AG214" s="4">
        <f t="shared" si="54"/>
        <v>2021</v>
      </c>
      <c r="AH214" s="394">
        <v>44377</v>
      </c>
      <c r="AI214" s="4">
        <f t="shared" si="55"/>
        <v>5.6</v>
      </c>
      <c r="AJ214" s="4">
        <v>5.67</v>
      </c>
      <c r="AK214" s="4">
        <v>5.53</v>
      </c>
      <c r="AM214" s="4">
        <f t="shared" si="56"/>
        <v>2025</v>
      </c>
      <c r="AN214" s="337">
        <v>45778</v>
      </c>
      <c r="AO214" s="4">
        <f t="shared" si="57"/>
        <v>11.77</v>
      </c>
      <c r="AP214" s="4">
        <v>11.89</v>
      </c>
      <c r="AQ214" s="4">
        <v>11.65</v>
      </c>
    </row>
    <row r="215" spans="16:43">
      <c r="P215" s="4">
        <f t="shared" si="58"/>
        <v>2022</v>
      </c>
      <c r="Q215" s="396">
        <f t="shared" si="53"/>
        <v>44805</v>
      </c>
      <c r="R215" s="136">
        <v>81.709999999999994</v>
      </c>
      <c r="S215" s="136">
        <v>76.489999999999995</v>
      </c>
      <c r="T215" s="338">
        <f t="shared" si="50"/>
        <v>79.465399999999988</v>
      </c>
      <c r="U215" s="324">
        <v>400</v>
      </c>
      <c r="V215" s="324">
        <v>320</v>
      </c>
      <c r="W215" s="324">
        <f t="shared" si="59"/>
        <v>0.55555555555555558</v>
      </c>
      <c r="X215" s="324">
        <f t="shared" si="60"/>
        <v>0.44444444444444442</v>
      </c>
      <c r="AB215" s="4">
        <f t="shared" si="51"/>
        <v>2022</v>
      </c>
      <c r="AC215" s="394">
        <f t="shared" si="52"/>
        <v>44805</v>
      </c>
      <c r="AD215" s="135">
        <f t="shared" si="61"/>
        <v>10.123800978792822</v>
      </c>
      <c r="AE215" s="136">
        <v>10.123800978792822</v>
      </c>
      <c r="AG215" s="4">
        <f t="shared" si="54"/>
        <v>2021</v>
      </c>
      <c r="AH215" s="394">
        <v>44408</v>
      </c>
      <c r="AI215" s="4">
        <f t="shared" si="55"/>
        <v>5.68</v>
      </c>
      <c r="AJ215" s="4">
        <v>5.75</v>
      </c>
      <c r="AK215" s="4">
        <v>5.61</v>
      </c>
      <c r="AM215" s="4">
        <f t="shared" si="56"/>
        <v>2025</v>
      </c>
      <c r="AN215" s="337">
        <v>45809</v>
      </c>
      <c r="AO215" s="4">
        <f t="shared" si="57"/>
        <v>11.955</v>
      </c>
      <c r="AP215" s="4">
        <v>12.07</v>
      </c>
      <c r="AQ215" s="4">
        <v>11.84</v>
      </c>
    </row>
    <row r="216" spans="16:43">
      <c r="P216" s="4">
        <f t="shared" si="58"/>
        <v>2022</v>
      </c>
      <c r="Q216" s="396">
        <f t="shared" si="53"/>
        <v>44835</v>
      </c>
      <c r="R216" s="136">
        <v>81.78</v>
      </c>
      <c r="S216" s="136">
        <v>74.319999999999993</v>
      </c>
      <c r="T216" s="338">
        <f t="shared" ref="T216:T279" si="62">R216*0.57+S216*0.43</f>
        <v>78.572199999999995</v>
      </c>
      <c r="U216" s="324">
        <v>416</v>
      </c>
      <c r="V216" s="324">
        <v>328</v>
      </c>
      <c r="W216" s="324">
        <f t="shared" si="59"/>
        <v>0.55913978494623651</v>
      </c>
      <c r="X216" s="324">
        <f t="shared" si="60"/>
        <v>0.44086021505376344</v>
      </c>
      <c r="AB216" s="4">
        <f t="shared" si="51"/>
        <v>2022</v>
      </c>
      <c r="AC216" s="394">
        <f t="shared" si="52"/>
        <v>44835</v>
      </c>
      <c r="AD216" s="135">
        <f t="shared" si="61"/>
        <v>10.480652528548124</v>
      </c>
      <c r="AE216" s="136">
        <v>10.480652528548124</v>
      </c>
      <c r="AG216" s="4">
        <f t="shared" si="54"/>
        <v>2021</v>
      </c>
      <c r="AH216" s="394">
        <v>44439</v>
      </c>
      <c r="AI216" s="4">
        <f t="shared" si="55"/>
        <v>5.68</v>
      </c>
      <c r="AJ216" s="4">
        <v>5.75</v>
      </c>
      <c r="AK216" s="4">
        <v>5.61</v>
      </c>
      <c r="AM216" s="4">
        <f t="shared" si="56"/>
        <v>2025</v>
      </c>
      <c r="AN216" s="337">
        <v>45839</v>
      </c>
      <c r="AO216" s="4">
        <f t="shared" si="57"/>
        <v>12.135</v>
      </c>
      <c r="AP216" s="4">
        <v>12.25</v>
      </c>
      <c r="AQ216" s="4">
        <v>12.02</v>
      </c>
    </row>
    <row r="217" spans="16:43">
      <c r="P217" s="4">
        <f t="shared" si="58"/>
        <v>2022</v>
      </c>
      <c r="Q217" s="396">
        <f t="shared" si="53"/>
        <v>44866</v>
      </c>
      <c r="R217" s="136">
        <v>90.34</v>
      </c>
      <c r="S217" s="136">
        <v>72.010000000000005</v>
      </c>
      <c r="T217" s="338">
        <f t="shared" si="62"/>
        <v>82.458100000000002</v>
      </c>
      <c r="U217" s="324">
        <v>400</v>
      </c>
      <c r="V217" s="324">
        <v>320</v>
      </c>
      <c r="W217" s="324">
        <f t="shared" si="59"/>
        <v>0.55555555555555558</v>
      </c>
      <c r="X217" s="324">
        <f t="shared" si="60"/>
        <v>0.44444444444444442</v>
      </c>
      <c r="AB217" s="4">
        <f t="shared" si="51"/>
        <v>2022</v>
      </c>
      <c r="AC217" s="394">
        <f t="shared" si="52"/>
        <v>44866</v>
      </c>
      <c r="AD217" s="135">
        <f t="shared" si="61"/>
        <v>10.630190320826536</v>
      </c>
      <c r="AE217" s="136">
        <v>10.630190320826536</v>
      </c>
      <c r="AG217" s="4">
        <f t="shared" si="54"/>
        <v>2021</v>
      </c>
      <c r="AH217" s="394">
        <v>44469</v>
      </c>
      <c r="AI217" s="4">
        <f t="shared" si="55"/>
        <v>5.68</v>
      </c>
      <c r="AJ217" s="4">
        <v>5.75</v>
      </c>
      <c r="AK217" s="4">
        <v>5.61</v>
      </c>
      <c r="AM217" s="4">
        <f t="shared" si="56"/>
        <v>2025</v>
      </c>
      <c r="AN217" s="337">
        <v>45870</v>
      </c>
      <c r="AO217" s="4">
        <f t="shared" si="57"/>
        <v>12.135</v>
      </c>
      <c r="AP217" s="4">
        <v>12.25</v>
      </c>
      <c r="AQ217" s="4">
        <v>12.02</v>
      </c>
    </row>
    <row r="218" spans="16:43">
      <c r="P218" s="4">
        <f t="shared" si="58"/>
        <v>2022</v>
      </c>
      <c r="Q218" s="396">
        <f t="shared" si="53"/>
        <v>44896</v>
      </c>
      <c r="R218" s="136">
        <v>91.48</v>
      </c>
      <c r="S218" s="136">
        <v>75.459999999999994</v>
      </c>
      <c r="T218" s="338">
        <f t="shared" si="62"/>
        <v>84.591399999999993</v>
      </c>
      <c r="U218" s="324">
        <v>416</v>
      </c>
      <c r="V218" s="324">
        <v>328</v>
      </c>
      <c r="W218" s="324">
        <f t="shared" si="59"/>
        <v>0.55913978494623651</v>
      </c>
      <c r="X218" s="324">
        <f t="shared" si="60"/>
        <v>0.44086021505376344</v>
      </c>
      <c r="AB218" s="4">
        <f t="shared" si="51"/>
        <v>2022</v>
      </c>
      <c r="AC218" s="394">
        <f t="shared" si="52"/>
        <v>44896</v>
      </c>
      <c r="AD218" s="135">
        <f t="shared" si="61"/>
        <v>11.143376835236541</v>
      </c>
      <c r="AE218" s="136">
        <v>11.143376835236541</v>
      </c>
      <c r="AG218" s="4">
        <f t="shared" si="54"/>
        <v>2021</v>
      </c>
      <c r="AH218" s="394">
        <v>44500</v>
      </c>
      <c r="AI218" s="4">
        <f t="shared" si="55"/>
        <v>5.8949999999999996</v>
      </c>
      <c r="AJ218" s="4">
        <v>5.92</v>
      </c>
      <c r="AK218" s="4">
        <v>5.87</v>
      </c>
      <c r="AM218" s="4">
        <f t="shared" si="56"/>
        <v>2025</v>
      </c>
      <c r="AN218" s="337">
        <v>45901</v>
      </c>
      <c r="AO218" s="4">
        <f t="shared" si="57"/>
        <v>12.135</v>
      </c>
      <c r="AP218" s="4">
        <v>12.25</v>
      </c>
      <c r="AQ218" s="4">
        <v>12.02</v>
      </c>
    </row>
    <row r="219" spans="16:43">
      <c r="P219" s="4">
        <f t="shared" si="58"/>
        <v>2023</v>
      </c>
      <c r="Q219" s="396">
        <f t="shared" si="53"/>
        <v>44927</v>
      </c>
      <c r="R219" s="136">
        <v>99.66</v>
      </c>
      <c r="S219" s="136">
        <v>87.05</v>
      </c>
      <c r="T219" s="338">
        <f t="shared" si="62"/>
        <v>94.23769999999999</v>
      </c>
      <c r="U219" s="324">
        <v>400</v>
      </c>
      <c r="V219" s="324">
        <v>344</v>
      </c>
      <c r="W219" s="324">
        <f t="shared" si="59"/>
        <v>0.5376344086021505</v>
      </c>
      <c r="X219" s="324">
        <f t="shared" si="60"/>
        <v>0.46236559139784944</v>
      </c>
      <c r="AB219" s="4">
        <f t="shared" si="51"/>
        <v>2023</v>
      </c>
      <c r="AC219" s="394">
        <f t="shared" si="52"/>
        <v>44927</v>
      </c>
      <c r="AD219" s="135">
        <f t="shared" si="61"/>
        <v>12.081386623164763</v>
      </c>
      <c r="AE219" s="136">
        <v>12.081386623164763</v>
      </c>
      <c r="AG219" s="4">
        <f t="shared" si="54"/>
        <v>2021</v>
      </c>
      <c r="AH219" s="394">
        <v>44530</v>
      </c>
      <c r="AI219" s="4">
        <f t="shared" si="55"/>
        <v>5.9849999999999994</v>
      </c>
      <c r="AJ219" s="4">
        <v>6.01</v>
      </c>
      <c r="AK219" s="4">
        <v>5.96</v>
      </c>
      <c r="AM219" s="4">
        <f t="shared" si="56"/>
        <v>2025</v>
      </c>
      <c r="AN219" s="337">
        <v>45931</v>
      </c>
      <c r="AO219" s="4">
        <f t="shared" si="57"/>
        <v>12.594999999999999</v>
      </c>
      <c r="AP219" s="4">
        <v>12.61</v>
      </c>
      <c r="AQ219" s="4">
        <v>12.58</v>
      </c>
    </row>
    <row r="220" spans="16:43">
      <c r="P220" s="4">
        <f t="shared" si="58"/>
        <v>2023</v>
      </c>
      <c r="Q220" s="396">
        <f t="shared" si="53"/>
        <v>44958</v>
      </c>
      <c r="R220" s="136">
        <v>93.42</v>
      </c>
      <c r="S220" s="136">
        <v>80.260000000000005</v>
      </c>
      <c r="T220" s="338">
        <f t="shared" si="62"/>
        <v>87.761200000000002</v>
      </c>
      <c r="U220" s="324">
        <v>384</v>
      </c>
      <c r="V220" s="324">
        <v>288</v>
      </c>
      <c r="W220" s="324">
        <f t="shared" si="59"/>
        <v>0.5714285714285714</v>
      </c>
      <c r="X220" s="324">
        <f t="shared" si="60"/>
        <v>0.42857142857142855</v>
      </c>
      <c r="AB220" s="4">
        <f t="shared" ref="AB220:AB283" si="63">+YEAR(AC220)</f>
        <v>2023</v>
      </c>
      <c r="AC220" s="394">
        <f t="shared" si="52"/>
        <v>44958</v>
      </c>
      <c r="AD220" s="135">
        <f t="shared" si="61"/>
        <v>11.354089178901576</v>
      </c>
      <c r="AE220" s="136">
        <v>11.354089178901576</v>
      </c>
      <c r="AG220" s="4">
        <f t="shared" si="54"/>
        <v>2021</v>
      </c>
      <c r="AH220" s="394">
        <v>44561</v>
      </c>
      <c r="AI220" s="4">
        <f t="shared" si="55"/>
        <v>6.2799999999999994</v>
      </c>
      <c r="AJ220" s="4">
        <v>6.26</v>
      </c>
      <c r="AK220" s="4">
        <v>6.3</v>
      </c>
      <c r="AM220" s="4">
        <f t="shared" si="56"/>
        <v>2025</v>
      </c>
      <c r="AN220" s="337">
        <v>45962</v>
      </c>
      <c r="AO220" s="4">
        <f t="shared" si="57"/>
        <v>12.774999999999999</v>
      </c>
      <c r="AP220" s="4">
        <v>12.79</v>
      </c>
      <c r="AQ220" s="4">
        <v>12.76</v>
      </c>
    </row>
    <row r="221" spans="16:43">
      <c r="P221" s="4">
        <f t="shared" si="58"/>
        <v>2023</v>
      </c>
      <c r="Q221" s="396">
        <f t="shared" si="53"/>
        <v>44986</v>
      </c>
      <c r="R221" s="136">
        <v>82.83</v>
      </c>
      <c r="S221" s="136">
        <v>75.17</v>
      </c>
      <c r="T221" s="338">
        <f t="shared" si="62"/>
        <v>79.536200000000008</v>
      </c>
      <c r="U221" s="324">
        <v>432</v>
      </c>
      <c r="V221" s="324">
        <v>312</v>
      </c>
      <c r="W221" s="324">
        <f t="shared" si="59"/>
        <v>0.58064516129032262</v>
      </c>
      <c r="X221" s="324">
        <f t="shared" si="60"/>
        <v>0.41935483870967744</v>
      </c>
      <c r="AB221" s="4">
        <f t="shared" si="63"/>
        <v>2023</v>
      </c>
      <c r="AC221" s="394">
        <f t="shared" ref="AC221:AC284" si="64">EOMONTH(AC220,0)+1</f>
        <v>44986</v>
      </c>
      <c r="AD221" s="135">
        <f t="shared" si="61"/>
        <v>10.677770527460575</v>
      </c>
      <c r="AE221" s="136">
        <v>10.677770527460575</v>
      </c>
      <c r="AG221" s="4">
        <f t="shared" si="54"/>
        <v>2022</v>
      </c>
      <c r="AH221" s="394">
        <v>44592</v>
      </c>
      <c r="AI221" s="4">
        <f t="shared" si="55"/>
        <v>6.99</v>
      </c>
      <c r="AJ221" s="4">
        <v>6.92</v>
      </c>
      <c r="AK221" s="4">
        <v>7.06</v>
      </c>
      <c r="AM221" s="4">
        <f t="shared" si="56"/>
        <v>2025</v>
      </c>
      <c r="AN221" s="337">
        <v>45992</v>
      </c>
      <c r="AO221" s="4">
        <f t="shared" si="57"/>
        <v>13.414999999999999</v>
      </c>
      <c r="AP221" s="4">
        <v>13.33</v>
      </c>
      <c r="AQ221" s="4">
        <v>13.5</v>
      </c>
    </row>
    <row r="222" spans="16:43">
      <c r="P222" s="4">
        <f t="shared" si="58"/>
        <v>2023</v>
      </c>
      <c r="Q222" s="396">
        <f t="shared" si="53"/>
        <v>45017</v>
      </c>
      <c r="R222" s="136">
        <v>79.45</v>
      </c>
      <c r="S222" s="136">
        <v>74.78</v>
      </c>
      <c r="T222" s="338">
        <f t="shared" si="62"/>
        <v>77.441900000000004</v>
      </c>
      <c r="U222" s="324">
        <v>400</v>
      </c>
      <c r="V222" s="324">
        <v>320</v>
      </c>
      <c r="W222" s="324">
        <f t="shared" si="59"/>
        <v>0.55555555555555558</v>
      </c>
      <c r="X222" s="324">
        <f t="shared" si="60"/>
        <v>0.44444444444444442</v>
      </c>
      <c r="AB222" s="4">
        <f t="shared" si="63"/>
        <v>2023</v>
      </c>
      <c r="AC222" s="394">
        <f t="shared" si="64"/>
        <v>45017</v>
      </c>
      <c r="AD222" s="135">
        <f t="shared" si="61"/>
        <v>10.106808047852095</v>
      </c>
      <c r="AE222" s="136">
        <v>10.106808047852095</v>
      </c>
      <c r="AG222" s="4">
        <f t="shared" si="54"/>
        <v>2022</v>
      </c>
      <c r="AH222" s="394">
        <v>44620</v>
      </c>
      <c r="AI222" s="4">
        <f t="shared" si="55"/>
        <v>6.5</v>
      </c>
      <c r="AJ222" s="4">
        <v>6.48</v>
      </c>
      <c r="AK222" s="4">
        <v>6.52</v>
      </c>
      <c r="AM222" s="4">
        <f t="shared" si="56"/>
        <v>2026</v>
      </c>
      <c r="AN222" s="337">
        <v>46023</v>
      </c>
      <c r="AO222" s="4">
        <f t="shared" si="57"/>
        <v>14.68</v>
      </c>
      <c r="AP222" s="4">
        <v>14.49</v>
      </c>
      <c r="AQ222" s="4">
        <v>14.87</v>
      </c>
    </row>
    <row r="223" spans="16:43">
      <c r="P223" s="4">
        <f t="shared" si="58"/>
        <v>2023</v>
      </c>
      <c r="Q223" s="396">
        <f t="shared" si="53"/>
        <v>45047</v>
      </c>
      <c r="R223" s="136">
        <v>83.71</v>
      </c>
      <c r="S223" s="136">
        <v>73.58</v>
      </c>
      <c r="T223" s="338">
        <f t="shared" si="62"/>
        <v>79.354099999999988</v>
      </c>
      <c r="U223" s="324">
        <v>416</v>
      </c>
      <c r="V223" s="324">
        <v>328</v>
      </c>
      <c r="W223" s="324">
        <f t="shared" si="59"/>
        <v>0.55913978494623651</v>
      </c>
      <c r="X223" s="324">
        <f t="shared" si="60"/>
        <v>0.44086021505376344</v>
      </c>
      <c r="AB223" s="4">
        <f t="shared" si="63"/>
        <v>2023</v>
      </c>
      <c r="AC223" s="394">
        <f t="shared" si="64"/>
        <v>45047</v>
      </c>
      <c r="AD223" s="135">
        <f t="shared" si="61"/>
        <v>10.00485046220772</v>
      </c>
      <c r="AE223" s="136">
        <v>10.00485046220772</v>
      </c>
      <c r="AG223" s="4">
        <f t="shared" si="54"/>
        <v>2022</v>
      </c>
      <c r="AH223" s="394">
        <v>44651</v>
      </c>
      <c r="AI223" s="4">
        <f t="shared" si="55"/>
        <v>6.1050000000000004</v>
      </c>
      <c r="AJ223" s="4">
        <v>6.13</v>
      </c>
      <c r="AK223" s="4">
        <v>6.08</v>
      </c>
      <c r="AM223" s="4">
        <f t="shared" si="56"/>
        <v>2026</v>
      </c>
      <c r="AN223" s="337">
        <v>46054</v>
      </c>
      <c r="AO223" s="4">
        <f t="shared" si="57"/>
        <v>13.655000000000001</v>
      </c>
      <c r="AP223" s="4">
        <v>13.57</v>
      </c>
      <c r="AQ223" s="4">
        <v>13.74</v>
      </c>
    </row>
    <row r="224" spans="16:43">
      <c r="P224" s="4">
        <f t="shared" si="58"/>
        <v>2023</v>
      </c>
      <c r="Q224" s="396">
        <f t="shared" si="53"/>
        <v>45078</v>
      </c>
      <c r="R224" s="136">
        <v>89.11</v>
      </c>
      <c r="S224" s="136">
        <v>76.38</v>
      </c>
      <c r="T224" s="338">
        <f t="shared" si="62"/>
        <v>83.636099999999999</v>
      </c>
      <c r="U224" s="324">
        <v>416</v>
      </c>
      <c r="V224" s="324">
        <v>304</v>
      </c>
      <c r="W224" s="324">
        <f t="shared" si="59"/>
        <v>0.57777777777777772</v>
      </c>
      <c r="X224" s="324">
        <f t="shared" si="60"/>
        <v>0.42222222222222222</v>
      </c>
      <c r="AB224" s="4">
        <f t="shared" si="63"/>
        <v>2023</v>
      </c>
      <c r="AC224" s="394">
        <f t="shared" si="64"/>
        <v>45078</v>
      </c>
      <c r="AD224" s="135">
        <f t="shared" si="61"/>
        <v>10.157786840674278</v>
      </c>
      <c r="AE224" s="136">
        <v>10.157786840674278</v>
      </c>
      <c r="AG224" s="4">
        <f t="shared" si="54"/>
        <v>2022</v>
      </c>
      <c r="AH224" s="394">
        <v>44681</v>
      </c>
      <c r="AI224" s="4">
        <f t="shared" si="55"/>
        <v>5.7050000000000001</v>
      </c>
      <c r="AJ224" s="4">
        <v>5.78</v>
      </c>
      <c r="AK224" s="4">
        <v>5.63</v>
      </c>
      <c r="AM224" s="4">
        <f t="shared" si="56"/>
        <v>2026</v>
      </c>
      <c r="AN224" s="337">
        <v>46082</v>
      </c>
      <c r="AO224" s="4">
        <f t="shared" si="57"/>
        <v>12.82</v>
      </c>
      <c r="AP224" s="4">
        <v>12.84</v>
      </c>
      <c r="AQ224" s="4">
        <v>12.8</v>
      </c>
    </row>
    <row r="225" spans="16:43">
      <c r="P225" s="4">
        <f t="shared" si="58"/>
        <v>2023</v>
      </c>
      <c r="Q225" s="396">
        <f t="shared" si="53"/>
        <v>45108</v>
      </c>
      <c r="R225" s="136">
        <v>81.98</v>
      </c>
      <c r="S225" s="136">
        <v>77.400000000000006</v>
      </c>
      <c r="T225" s="338">
        <f t="shared" si="62"/>
        <v>80.010600000000011</v>
      </c>
      <c r="U225" s="324">
        <v>400</v>
      </c>
      <c r="V225" s="324">
        <v>344</v>
      </c>
      <c r="W225" s="324">
        <f t="shared" si="59"/>
        <v>0.5376344086021505</v>
      </c>
      <c r="X225" s="324">
        <f t="shared" si="60"/>
        <v>0.46236559139784944</v>
      </c>
      <c r="AB225" s="4">
        <f t="shared" si="63"/>
        <v>2023</v>
      </c>
      <c r="AC225" s="394">
        <f t="shared" si="64"/>
        <v>45108</v>
      </c>
      <c r="AD225" s="135">
        <f t="shared" si="61"/>
        <v>10.310723219140835</v>
      </c>
      <c r="AE225" s="136">
        <v>10.310723219140835</v>
      </c>
      <c r="AG225" s="4">
        <f t="shared" si="54"/>
        <v>2022</v>
      </c>
      <c r="AH225" s="394">
        <v>44712</v>
      </c>
      <c r="AI225" s="4">
        <f t="shared" si="55"/>
        <v>5.7050000000000001</v>
      </c>
      <c r="AJ225" s="4">
        <v>5.78</v>
      </c>
      <c r="AK225" s="4">
        <v>5.63</v>
      </c>
      <c r="AM225" s="4">
        <f t="shared" si="56"/>
        <v>2026</v>
      </c>
      <c r="AN225" s="337">
        <v>46113</v>
      </c>
      <c r="AO225" s="4">
        <f t="shared" si="57"/>
        <v>11.98</v>
      </c>
      <c r="AP225" s="4">
        <v>12.1</v>
      </c>
      <c r="AQ225" s="4">
        <v>11.86</v>
      </c>
    </row>
    <row r="226" spans="16:43">
      <c r="P226" s="4">
        <f t="shared" si="58"/>
        <v>2023</v>
      </c>
      <c r="Q226" s="396">
        <f t="shared" si="53"/>
        <v>45139</v>
      </c>
      <c r="R226" s="136">
        <v>84.69</v>
      </c>
      <c r="S226" s="136">
        <v>78.900000000000006</v>
      </c>
      <c r="T226" s="338">
        <f t="shared" si="62"/>
        <v>82.200299999999999</v>
      </c>
      <c r="U226" s="324">
        <v>432</v>
      </c>
      <c r="V226" s="324">
        <v>312</v>
      </c>
      <c r="W226" s="324">
        <f t="shared" si="59"/>
        <v>0.58064516129032262</v>
      </c>
      <c r="X226" s="324">
        <f t="shared" si="60"/>
        <v>0.41935483870967744</v>
      </c>
      <c r="AB226" s="4">
        <f t="shared" si="63"/>
        <v>2023</v>
      </c>
      <c r="AC226" s="394">
        <f t="shared" si="64"/>
        <v>45139</v>
      </c>
      <c r="AD226" s="135">
        <f t="shared" si="61"/>
        <v>10.310723219140835</v>
      </c>
      <c r="AE226" s="136">
        <v>10.310723219140835</v>
      </c>
      <c r="AG226" s="4">
        <f t="shared" si="54"/>
        <v>2022</v>
      </c>
      <c r="AH226" s="394">
        <v>44742</v>
      </c>
      <c r="AI226" s="4">
        <f t="shared" si="55"/>
        <v>5.7949999999999999</v>
      </c>
      <c r="AJ226" s="4">
        <v>5.87</v>
      </c>
      <c r="AK226" s="4">
        <v>5.72</v>
      </c>
      <c r="AM226" s="4">
        <f t="shared" si="56"/>
        <v>2026</v>
      </c>
      <c r="AN226" s="337">
        <v>46143</v>
      </c>
      <c r="AO226" s="4">
        <f t="shared" si="57"/>
        <v>11.98</v>
      </c>
      <c r="AP226" s="4">
        <v>12.1</v>
      </c>
      <c r="AQ226" s="4">
        <v>11.86</v>
      </c>
    </row>
    <row r="227" spans="16:43">
      <c r="P227" s="4">
        <f t="shared" si="58"/>
        <v>2023</v>
      </c>
      <c r="Q227" s="396">
        <f t="shared" si="53"/>
        <v>45170</v>
      </c>
      <c r="R227" s="136">
        <v>85.19</v>
      </c>
      <c r="S227" s="136">
        <v>77.849999999999994</v>
      </c>
      <c r="T227" s="338">
        <f t="shared" si="62"/>
        <v>82.033799999999985</v>
      </c>
      <c r="U227" s="324">
        <v>400</v>
      </c>
      <c r="V227" s="324">
        <v>320</v>
      </c>
      <c r="W227" s="324">
        <f t="shared" si="59"/>
        <v>0.55555555555555558</v>
      </c>
      <c r="X227" s="324">
        <f t="shared" si="60"/>
        <v>0.44444444444444442</v>
      </c>
      <c r="AB227" s="4">
        <f t="shared" si="63"/>
        <v>2023</v>
      </c>
      <c r="AC227" s="394">
        <f t="shared" si="64"/>
        <v>45170</v>
      </c>
      <c r="AD227" s="135">
        <f t="shared" si="61"/>
        <v>10.310723219140835</v>
      </c>
      <c r="AE227" s="136">
        <v>10.310723219140835</v>
      </c>
      <c r="AG227" s="4">
        <f t="shared" si="54"/>
        <v>2022</v>
      </c>
      <c r="AH227" s="394">
        <v>44773</v>
      </c>
      <c r="AI227" s="4">
        <f t="shared" si="55"/>
        <v>5.88</v>
      </c>
      <c r="AJ227" s="4">
        <v>5.95</v>
      </c>
      <c r="AK227" s="4">
        <v>5.81</v>
      </c>
      <c r="AM227" s="4">
        <f t="shared" si="56"/>
        <v>2026</v>
      </c>
      <c r="AN227" s="337">
        <v>46174</v>
      </c>
      <c r="AO227" s="4">
        <f t="shared" si="57"/>
        <v>12.17</v>
      </c>
      <c r="AP227" s="4">
        <v>12.29</v>
      </c>
      <c r="AQ227" s="4">
        <v>12.05</v>
      </c>
    </row>
    <row r="228" spans="16:43">
      <c r="P228" s="4">
        <f t="shared" si="58"/>
        <v>2023</v>
      </c>
      <c r="Q228" s="396">
        <f t="shared" si="53"/>
        <v>45200</v>
      </c>
      <c r="R228" s="136">
        <v>83.47</v>
      </c>
      <c r="S228" s="136">
        <v>74.62</v>
      </c>
      <c r="T228" s="338">
        <f t="shared" si="62"/>
        <v>79.664500000000004</v>
      </c>
      <c r="U228" s="324">
        <v>416</v>
      </c>
      <c r="V228" s="324">
        <v>328</v>
      </c>
      <c r="W228" s="324">
        <f t="shared" si="59"/>
        <v>0.55913978494623651</v>
      </c>
      <c r="X228" s="324">
        <f t="shared" si="60"/>
        <v>0.44086021505376344</v>
      </c>
      <c r="AB228" s="4">
        <f t="shared" si="63"/>
        <v>2023</v>
      </c>
      <c r="AC228" s="394">
        <f t="shared" si="64"/>
        <v>45200</v>
      </c>
      <c r="AD228" s="135">
        <f t="shared" si="61"/>
        <v>10.677770527460575</v>
      </c>
      <c r="AE228" s="136">
        <v>10.677770527460575</v>
      </c>
      <c r="AG228" s="4">
        <f t="shared" si="54"/>
        <v>2022</v>
      </c>
      <c r="AH228" s="394">
        <v>44804</v>
      </c>
      <c r="AI228" s="4">
        <f t="shared" si="55"/>
        <v>5.88</v>
      </c>
      <c r="AJ228" s="4">
        <v>5.95</v>
      </c>
      <c r="AK228" s="4">
        <v>5.81</v>
      </c>
      <c r="AM228" s="4">
        <f t="shared" si="56"/>
        <v>2026</v>
      </c>
      <c r="AN228" s="337">
        <v>46204</v>
      </c>
      <c r="AO228" s="4">
        <f t="shared" si="57"/>
        <v>12.355</v>
      </c>
      <c r="AP228" s="4">
        <v>12.47</v>
      </c>
      <c r="AQ228" s="4">
        <v>12.24</v>
      </c>
    </row>
    <row r="229" spans="16:43">
      <c r="P229" s="4">
        <f t="shared" si="58"/>
        <v>2023</v>
      </c>
      <c r="Q229" s="396">
        <f t="shared" si="53"/>
        <v>45231</v>
      </c>
      <c r="R229" s="136">
        <v>90.25</v>
      </c>
      <c r="S229" s="136">
        <v>74.849999999999994</v>
      </c>
      <c r="T229" s="338">
        <f t="shared" si="62"/>
        <v>83.627999999999986</v>
      </c>
      <c r="U229" s="324">
        <v>400</v>
      </c>
      <c r="V229" s="324">
        <v>320</v>
      </c>
      <c r="W229" s="324">
        <f t="shared" si="59"/>
        <v>0.55555555555555558</v>
      </c>
      <c r="X229" s="324">
        <f t="shared" si="60"/>
        <v>0.44444444444444442</v>
      </c>
      <c r="AB229" s="4">
        <f t="shared" si="63"/>
        <v>2023</v>
      </c>
      <c r="AC229" s="394">
        <f t="shared" si="64"/>
        <v>45231</v>
      </c>
      <c r="AD229" s="135">
        <f t="shared" si="61"/>
        <v>10.830706905927133</v>
      </c>
      <c r="AE229" s="136">
        <v>10.830706905927133</v>
      </c>
      <c r="AG229" s="4">
        <f t="shared" si="54"/>
        <v>2022</v>
      </c>
      <c r="AH229" s="394">
        <v>44834</v>
      </c>
      <c r="AI229" s="4">
        <f t="shared" si="55"/>
        <v>5.88</v>
      </c>
      <c r="AJ229" s="4">
        <v>5.95</v>
      </c>
      <c r="AK229" s="4">
        <v>5.81</v>
      </c>
      <c r="AM229" s="4">
        <f t="shared" si="56"/>
        <v>2026</v>
      </c>
      <c r="AN229" s="337">
        <v>46235</v>
      </c>
      <c r="AO229" s="4">
        <f t="shared" si="57"/>
        <v>12.355</v>
      </c>
      <c r="AP229" s="4">
        <v>12.47</v>
      </c>
      <c r="AQ229" s="4">
        <v>12.24</v>
      </c>
    </row>
    <row r="230" spans="16:43">
      <c r="P230" s="4">
        <f t="shared" si="58"/>
        <v>2023</v>
      </c>
      <c r="Q230" s="396">
        <f t="shared" si="53"/>
        <v>45261</v>
      </c>
      <c r="R230" s="136">
        <v>95.63</v>
      </c>
      <c r="S230" s="136">
        <v>80.63</v>
      </c>
      <c r="T230" s="338">
        <f t="shared" si="62"/>
        <v>89.179999999999978</v>
      </c>
      <c r="U230" s="324">
        <v>400</v>
      </c>
      <c r="V230" s="324">
        <v>344</v>
      </c>
      <c r="W230" s="324">
        <f t="shared" si="59"/>
        <v>0.5376344086021505</v>
      </c>
      <c r="X230" s="324">
        <f t="shared" si="60"/>
        <v>0.46236559139784944</v>
      </c>
      <c r="AB230" s="4">
        <f t="shared" si="63"/>
        <v>2023</v>
      </c>
      <c r="AC230" s="394">
        <f t="shared" si="64"/>
        <v>45261</v>
      </c>
      <c r="AD230" s="135">
        <f t="shared" si="61"/>
        <v>11.354089178901576</v>
      </c>
      <c r="AE230" s="136">
        <v>11.354089178901576</v>
      </c>
      <c r="AG230" s="4">
        <f t="shared" si="54"/>
        <v>2022</v>
      </c>
      <c r="AH230" s="394">
        <v>44865</v>
      </c>
      <c r="AI230" s="4">
        <f t="shared" si="55"/>
        <v>6.1050000000000004</v>
      </c>
      <c r="AJ230" s="4">
        <v>6.13</v>
      </c>
      <c r="AK230" s="4">
        <v>6.08</v>
      </c>
      <c r="AM230" s="4">
        <f t="shared" si="56"/>
        <v>2026</v>
      </c>
      <c r="AN230" s="337">
        <v>46266</v>
      </c>
      <c r="AO230" s="4">
        <f t="shared" si="57"/>
        <v>12.355</v>
      </c>
      <c r="AP230" s="4">
        <v>12.47</v>
      </c>
      <c r="AQ230" s="4">
        <v>12.24</v>
      </c>
    </row>
    <row r="231" spans="16:43">
      <c r="P231" s="4">
        <f t="shared" si="58"/>
        <v>2024</v>
      </c>
      <c r="Q231" s="396">
        <f t="shared" si="53"/>
        <v>45292</v>
      </c>
      <c r="R231" s="136">
        <v>99.83</v>
      </c>
      <c r="S231" s="136">
        <v>87.64</v>
      </c>
      <c r="T231" s="338">
        <f t="shared" si="62"/>
        <v>94.588300000000004</v>
      </c>
      <c r="U231" s="324">
        <v>416</v>
      </c>
      <c r="V231" s="324">
        <v>328</v>
      </c>
      <c r="W231" s="324">
        <f t="shared" si="59"/>
        <v>0.55913978494623651</v>
      </c>
      <c r="X231" s="324">
        <f t="shared" si="60"/>
        <v>0.44086021505376344</v>
      </c>
      <c r="AB231" s="4">
        <f t="shared" si="63"/>
        <v>2024</v>
      </c>
      <c r="AC231" s="394">
        <f t="shared" si="64"/>
        <v>45292</v>
      </c>
      <c r="AD231" s="135">
        <f t="shared" si="61"/>
        <v>12.309091897770525</v>
      </c>
      <c r="AE231" s="136">
        <v>12.309091897770525</v>
      </c>
      <c r="AG231" s="4">
        <f t="shared" si="54"/>
        <v>2022</v>
      </c>
      <c r="AH231" s="394">
        <v>44895</v>
      </c>
      <c r="AI231" s="4">
        <f t="shared" si="55"/>
        <v>6.1950000000000003</v>
      </c>
      <c r="AJ231" s="4">
        <v>6.22</v>
      </c>
      <c r="AK231" s="4">
        <v>6.17</v>
      </c>
      <c r="AM231" s="4">
        <f t="shared" si="56"/>
        <v>2026</v>
      </c>
      <c r="AN231" s="337">
        <v>46296</v>
      </c>
      <c r="AO231" s="4">
        <f t="shared" si="57"/>
        <v>12.82</v>
      </c>
      <c r="AP231" s="4">
        <v>12.84</v>
      </c>
      <c r="AQ231" s="4">
        <v>12.8</v>
      </c>
    </row>
    <row r="232" spans="16:43">
      <c r="P232" s="4">
        <f t="shared" si="58"/>
        <v>2024</v>
      </c>
      <c r="Q232" s="396">
        <f t="shared" ref="Q232:Q295" si="65">EOMONTH(Q231,0)+1</f>
        <v>45323</v>
      </c>
      <c r="R232" s="136">
        <v>96.21</v>
      </c>
      <c r="S232" s="136">
        <v>80.11</v>
      </c>
      <c r="T232" s="338">
        <f t="shared" si="62"/>
        <v>89.286999999999992</v>
      </c>
      <c r="U232" s="324">
        <v>400</v>
      </c>
      <c r="V232" s="324">
        <v>296</v>
      </c>
      <c r="W232" s="324">
        <f t="shared" si="59"/>
        <v>0.57471264367816088</v>
      </c>
      <c r="X232" s="324">
        <f t="shared" si="60"/>
        <v>0.42528735632183906</v>
      </c>
      <c r="AB232" s="4">
        <f t="shared" si="63"/>
        <v>2024</v>
      </c>
      <c r="AC232" s="394">
        <f t="shared" si="64"/>
        <v>45323</v>
      </c>
      <c r="AD232" s="135">
        <f t="shared" si="61"/>
        <v>11.568200108754759</v>
      </c>
      <c r="AE232" s="136">
        <v>11.568200108754759</v>
      </c>
      <c r="AG232" s="4">
        <f t="shared" si="54"/>
        <v>2022</v>
      </c>
      <c r="AH232" s="394">
        <v>44926</v>
      </c>
      <c r="AI232" s="4">
        <f t="shared" si="55"/>
        <v>6.5</v>
      </c>
      <c r="AJ232" s="4">
        <v>6.48</v>
      </c>
      <c r="AK232" s="4">
        <v>6.52</v>
      </c>
      <c r="AM232" s="4">
        <f t="shared" si="56"/>
        <v>2026</v>
      </c>
      <c r="AN232" s="337">
        <v>46327</v>
      </c>
      <c r="AO232" s="4">
        <f t="shared" si="57"/>
        <v>13.004999999999999</v>
      </c>
      <c r="AP232" s="4">
        <v>13.02</v>
      </c>
      <c r="AQ232" s="4">
        <v>12.99</v>
      </c>
    </row>
    <row r="233" spans="16:43">
      <c r="P233" s="4">
        <f t="shared" si="58"/>
        <v>2024</v>
      </c>
      <c r="Q233" s="396">
        <f t="shared" si="65"/>
        <v>45352</v>
      </c>
      <c r="R233" s="136">
        <v>83.59</v>
      </c>
      <c r="S233" s="136">
        <v>74.08</v>
      </c>
      <c r="T233" s="338">
        <f t="shared" si="62"/>
        <v>79.500699999999995</v>
      </c>
      <c r="U233" s="324">
        <v>416</v>
      </c>
      <c r="V233" s="324">
        <v>328</v>
      </c>
      <c r="W233" s="324">
        <f t="shared" si="59"/>
        <v>0.55913978494623651</v>
      </c>
      <c r="X233" s="324">
        <f t="shared" si="60"/>
        <v>0.44086021505376344</v>
      </c>
      <c r="AB233" s="4">
        <f t="shared" si="63"/>
        <v>2024</v>
      </c>
      <c r="AC233" s="394">
        <f t="shared" si="64"/>
        <v>45352</v>
      </c>
      <c r="AD233" s="135">
        <f t="shared" si="61"/>
        <v>10.878287112561173</v>
      </c>
      <c r="AE233" s="136">
        <v>10.878287112561173</v>
      </c>
      <c r="AG233" s="4">
        <f t="shared" si="54"/>
        <v>2023</v>
      </c>
      <c r="AH233" s="394">
        <v>44957</v>
      </c>
      <c r="AI233" s="4">
        <f t="shared" si="55"/>
        <v>7.2349999999999994</v>
      </c>
      <c r="AJ233" s="4">
        <v>7.16</v>
      </c>
      <c r="AK233" s="4">
        <v>7.31</v>
      </c>
      <c r="AM233" s="4">
        <f t="shared" si="56"/>
        <v>2026</v>
      </c>
      <c r="AN233" s="337">
        <v>46357</v>
      </c>
      <c r="AO233" s="4">
        <f t="shared" si="57"/>
        <v>13.655000000000001</v>
      </c>
      <c r="AP233" s="4">
        <v>13.57</v>
      </c>
      <c r="AQ233" s="4">
        <v>13.74</v>
      </c>
    </row>
    <row r="234" spans="16:43">
      <c r="P234" s="4">
        <f t="shared" si="58"/>
        <v>2024</v>
      </c>
      <c r="Q234" s="396">
        <f t="shared" si="65"/>
        <v>45383</v>
      </c>
      <c r="R234" s="136">
        <v>79.67</v>
      </c>
      <c r="S234" s="136">
        <v>76.239999999999995</v>
      </c>
      <c r="T234" s="338">
        <f t="shared" si="62"/>
        <v>78.195099999999996</v>
      </c>
      <c r="U234" s="324">
        <v>416</v>
      </c>
      <c r="V234" s="324">
        <v>304</v>
      </c>
      <c r="W234" s="324">
        <f t="shared" si="59"/>
        <v>0.57777777777777772</v>
      </c>
      <c r="X234" s="324">
        <f t="shared" si="60"/>
        <v>0.42222222222222222</v>
      </c>
      <c r="AB234" s="4">
        <f t="shared" si="63"/>
        <v>2024</v>
      </c>
      <c r="AC234" s="394">
        <f t="shared" si="64"/>
        <v>45383</v>
      </c>
      <c r="AD234" s="135">
        <f t="shared" si="61"/>
        <v>10.297128874388255</v>
      </c>
      <c r="AE234" s="136">
        <v>10.297128874388255</v>
      </c>
      <c r="AG234" s="4">
        <f t="shared" si="54"/>
        <v>2023</v>
      </c>
      <c r="AH234" s="394">
        <v>44985</v>
      </c>
      <c r="AI234" s="4">
        <f t="shared" si="55"/>
        <v>6.7249999999999996</v>
      </c>
      <c r="AJ234" s="4">
        <v>6.7</v>
      </c>
      <c r="AK234" s="4">
        <v>6.75</v>
      </c>
      <c r="AM234" s="4">
        <f t="shared" si="56"/>
        <v>2027</v>
      </c>
      <c r="AN234" s="337">
        <v>46388</v>
      </c>
      <c r="AO234" s="4">
        <f t="shared" si="57"/>
        <v>14.96</v>
      </c>
      <c r="AP234" s="4">
        <v>14.76</v>
      </c>
      <c r="AQ234" s="4">
        <v>15.16</v>
      </c>
    </row>
    <row r="235" spans="16:43">
      <c r="P235" s="4">
        <f t="shared" si="58"/>
        <v>2024</v>
      </c>
      <c r="Q235" s="396">
        <f t="shared" si="65"/>
        <v>45413</v>
      </c>
      <c r="R235" s="136">
        <v>82.86</v>
      </c>
      <c r="S235" s="136">
        <v>72.27</v>
      </c>
      <c r="T235" s="338">
        <f t="shared" si="62"/>
        <v>78.306299999999993</v>
      </c>
      <c r="U235" s="324">
        <v>416</v>
      </c>
      <c r="V235" s="324">
        <v>328</v>
      </c>
      <c r="W235" s="324">
        <f t="shared" si="59"/>
        <v>0.55913978494623651</v>
      </c>
      <c r="X235" s="324">
        <f t="shared" si="60"/>
        <v>0.44086021505376344</v>
      </c>
      <c r="AB235" s="4">
        <f t="shared" si="63"/>
        <v>2024</v>
      </c>
      <c r="AC235" s="394">
        <f t="shared" si="64"/>
        <v>45413</v>
      </c>
      <c r="AD235" s="135">
        <f t="shared" si="61"/>
        <v>10.191772702555737</v>
      </c>
      <c r="AE235" s="136">
        <v>10.191772702555737</v>
      </c>
      <c r="AG235" s="4">
        <f t="shared" si="54"/>
        <v>2023</v>
      </c>
      <c r="AH235" s="394">
        <v>45016</v>
      </c>
      <c r="AI235" s="4">
        <f t="shared" si="55"/>
        <v>6.3149999999999995</v>
      </c>
      <c r="AJ235" s="4">
        <v>6.34</v>
      </c>
      <c r="AK235" s="4">
        <v>6.29</v>
      </c>
      <c r="AM235" s="4">
        <f t="shared" si="56"/>
        <v>2027</v>
      </c>
      <c r="AN235" s="337">
        <v>46419</v>
      </c>
      <c r="AO235" s="4">
        <f t="shared" si="57"/>
        <v>13.914999999999999</v>
      </c>
      <c r="AP235" s="4">
        <v>13.83</v>
      </c>
      <c r="AQ235" s="4">
        <v>14</v>
      </c>
    </row>
    <row r="236" spans="16:43">
      <c r="P236" s="4">
        <f t="shared" si="58"/>
        <v>2024</v>
      </c>
      <c r="Q236" s="396">
        <f t="shared" si="65"/>
        <v>45444</v>
      </c>
      <c r="R236" s="136">
        <v>84.65</v>
      </c>
      <c r="S236" s="136">
        <v>77.25</v>
      </c>
      <c r="T236" s="338">
        <f t="shared" si="62"/>
        <v>81.468000000000004</v>
      </c>
      <c r="U236" s="324">
        <v>400</v>
      </c>
      <c r="V236" s="324">
        <v>320</v>
      </c>
      <c r="W236" s="324">
        <f t="shared" si="59"/>
        <v>0.55555555555555558</v>
      </c>
      <c r="X236" s="324">
        <f t="shared" si="60"/>
        <v>0.44444444444444442</v>
      </c>
      <c r="AB236" s="4">
        <f t="shared" si="63"/>
        <v>2024</v>
      </c>
      <c r="AC236" s="394">
        <f t="shared" si="64"/>
        <v>45444</v>
      </c>
      <c r="AD236" s="135">
        <f t="shared" si="61"/>
        <v>10.351506253398586</v>
      </c>
      <c r="AE236" s="136">
        <v>10.351506253398586</v>
      </c>
      <c r="AG236" s="4">
        <f t="shared" si="54"/>
        <v>2023</v>
      </c>
      <c r="AH236" s="394">
        <v>45046</v>
      </c>
      <c r="AI236" s="4">
        <f t="shared" si="55"/>
        <v>5.9050000000000002</v>
      </c>
      <c r="AJ236" s="4">
        <v>5.98</v>
      </c>
      <c r="AK236" s="4">
        <v>5.83</v>
      </c>
      <c r="AM236" s="4">
        <f t="shared" si="56"/>
        <v>2027</v>
      </c>
      <c r="AN236" s="337">
        <v>46447</v>
      </c>
      <c r="AO236" s="4">
        <f t="shared" si="57"/>
        <v>13.065000000000001</v>
      </c>
      <c r="AP236" s="4">
        <v>13.08</v>
      </c>
      <c r="AQ236" s="4">
        <v>13.05</v>
      </c>
    </row>
    <row r="237" spans="16:43">
      <c r="P237" s="4">
        <f t="shared" si="58"/>
        <v>2024</v>
      </c>
      <c r="Q237" s="396">
        <f t="shared" si="65"/>
        <v>45474</v>
      </c>
      <c r="R237" s="136">
        <v>83.3</v>
      </c>
      <c r="S237" s="136">
        <v>80.040000000000006</v>
      </c>
      <c r="T237" s="338">
        <f t="shared" si="62"/>
        <v>81.898200000000003</v>
      </c>
      <c r="U237" s="324">
        <v>416</v>
      </c>
      <c r="V237" s="324">
        <v>328</v>
      </c>
      <c r="W237" s="324">
        <f t="shared" si="59"/>
        <v>0.55913978494623651</v>
      </c>
      <c r="X237" s="324">
        <f t="shared" si="60"/>
        <v>0.44086021505376344</v>
      </c>
      <c r="AB237" s="4">
        <f t="shared" si="63"/>
        <v>2024</v>
      </c>
      <c r="AC237" s="394">
        <f t="shared" si="64"/>
        <v>45474</v>
      </c>
      <c r="AD237" s="135">
        <f t="shared" si="61"/>
        <v>10.507841218053288</v>
      </c>
      <c r="AE237" s="136">
        <v>10.507841218053288</v>
      </c>
      <c r="AG237" s="4">
        <f t="shared" si="54"/>
        <v>2023</v>
      </c>
      <c r="AH237" s="394">
        <v>45077</v>
      </c>
      <c r="AI237" s="4">
        <f t="shared" si="55"/>
        <v>5.9050000000000002</v>
      </c>
      <c r="AJ237" s="4">
        <v>5.98</v>
      </c>
      <c r="AK237" s="4">
        <v>5.83</v>
      </c>
      <c r="AM237" s="4">
        <f t="shared" si="56"/>
        <v>2027</v>
      </c>
      <c r="AN237" s="337">
        <v>46478</v>
      </c>
      <c r="AO237" s="4">
        <f t="shared" si="57"/>
        <v>12.21</v>
      </c>
      <c r="AP237" s="4">
        <v>12.33</v>
      </c>
      <c r="AQ237" s="4">
        <v>12.09</v>
      </c>
    </row>
    <row r="238" spans="16:43">
      <c r="P238" s="4">
        <f t="shared" si="58"/>
        <v>2024</v>
      </c>
      <c r="Q238" s="396">
        <f t="shared" si="65"/>
        <v>45505</v>
      </c>
      <c r="R238" s="136">
        <v>83.7</v>
      </c>
      <c r="S238" s="136">
        <v>80.459999999999994</v>
      </c>
      <c r="T238" s="338">
        <f t="shared" si="62"/>
        <v>82.306799999999996</v>
      </c>
      <c r="U238" s="324">
        <v>432</v>
      </c>
      <c r="V238" s="324">
        <v>312</v>
      </c>
      <c r="W238" s="324">
        <f t="shared" si="59"/>
        <v>0.58064516129032262</v>
      </c>
      <c r="X238" s="324">
        <f t="shared" si="60"/>
        <v>0.41935483870967744</v>
      </c>
      <c r="AB238" s="4">
        <f t="shared" si="63"/>
        <v>2024</v>
      </c>
      <c r="AC238" s="394">
        <f t="shared" si="64"/>
        <v>45505</v>
      </c>
      <c r="AD238" s="135">
        <f t="shared" si="61"/>
        <v>10.507841218053288</v>
      </c>
      <c r="AE238" s="136">
        <v>10.507841218053288</v>
      </c>
      <c r="AG238" s="4">
        <f t="shared" si="54"/>
        <v>2023</v>
      </c>
      <c r="AH238" s="394">
        <v>45107</v>
      </c>
      <c r="AI238" s="4">
        <f t="shared" si="55"/>
        <v>5.9950000000000001</v>
      </c>
      <c r="AJ238" s="4">
        <v>6.07</v>
      </c>
      <c r="AK238" s="4">
        <v>5.92</v>
      </c>
      <c r="AM238" s="4">
        <f t="shared" si="56"/>
        <v>2027</v>
      </c>
      <c r="AN238" s="337">
        <v>46508</v>
      </c>
      <c r="AO238" s="4">
        <f t="shared" si="57"/>
        <v>12.21</v>
      </c>
      <c r="AP238" s="4">
        <v>12.33</v>
      </c>
      <c r="AQ238" s="4">
        <v>12.09</v>
      </c>
    </row>
    <row r="239" spans="16:43">
      <c r="P239" s="4">
        <f t="shared" si="58"/>
        <v>2024</v>
      </c>
      <c r="Q239" s="396">
        <f t="shared" si="65"/>
        <v>45536</v>
      </c>
      <c r="R239" s="136">
        <v>82.99</v>
      </c>
      <c r="S239" s="136">
        <v>78.86</v>
      </c>
      <c r="T239" s="338">
        <f t="shared" si="62"/>
        <v>81.214099999999988</v>
      </c>
      <c r="U239" s="324">
        <v>384</v>
      </c>
      <c r="V239" s="324">
        <v>336</v>
      </c>
      <c r="W239" s="324">
        <f t="shared" si="59"/>
        <v>0.53333333333333333</v>
      </c>
      <c r="X239" s="324">
        <f t="shared" si="60"/>
        <v>0.46666666666666667</v>
      </c>
      <c r="AB239" s="4">
        <f t="shared" si="63"/>
        <v>2024</v>
      </c>
      <c r="AC239" s="394">
        <f t="shared" si="64"/>
        <v>45536</v>
      </c>
      <c r="AD239" s="135">
        <f t="shared" si="61"/>
        <v>10.507841218053288</v>
      </c>
      <c r="AE239" s="136">
        <v>10.507841218053288</v>
      </c>
      <c r="AG239" s="4">
        <f t="shared" si="54"/>
        <v>2023</v>
      </c>
      <c r="AH239" s="394">
        <v>45138</v>
      </c>
      <c r="AI239" s="4">
        <f t="shared" si="55"/>
        <v>6.085</v>
      </c>
      <c r="AJ239" s="4">
        <v>6.16</v>
      </c>
      <c r="AK239" s="4">
        <v>6.01</v>
      </c>
      <c r="AM239" s="4">
        <f t="shared" si="56"/>
        <v>2027</v>
      </c>
      <c r="AN239" s="337">
        <v>46539</v>
      </c>
      <c r="AO239" s="4">
        <f t="shared" si="57"/>
        <v>12.399999999999999</v>
      </c>
      <c r="AP239" s="4">
        <v>12.52</v>
      </c>
      <c r="AQ239" s="4">
        <v>12.28</v>
      </c>
    </row>
    <row r="240" spans="16:43">
      <c r="P240" s="4">
        <f t="shared" si="58"/>
        <v>2024</v>
      </c>
      <c r="Q240" s="396">
        <f t="shared" si="65"/>
        <v>45566</v>
      </c>
      <c r="R240" s="136">
        <v>84.3</v>
      </c>
      <c r="S240" s="136">
        <v>76.44</v>
      </c>
      <c r="T240" s="338">
        <f t="shared" si="62"/>
        <v>80.920199999999994</v>
      </c>
      <c r="U240" s="324">
        <v>432</v>
      </c>
      <c r="V240" s="324">
        <v>312</v>
      </c>
      <c r="W240" s="324">
        <f t="shared" si="59"/>
        <v>0.58064516129032262</v>
      </c>
      <c r="X240" s="324">
        <f t="shared" si="60"/>
        <v>0.41935483870967744</v>
      </c>
      <c r="AB240" s="4">
        <f t="shared" si="63"/>
        <v>2024</v>
      </c>
      <c r="AC240" s="394">
        <f t="shared" si="64"/>
        <v>45566</v>
      </c>
      <c r="AD240" s="135">
        <f t="shared" si="61"/>
        <v>10.878287112561173</v>
      </c>
      <c r="AE240" s="136">
        <v>10.878287112561173</v>
      </c>
      <c r="AG240" s="4">
        <f t="shared" si="54"/>
        <v>2023</v>
      </c>
      <c r="AH240" s="394">
        <v>45169</v>
      </c>
      <c r="AI240" s="4">
        <f t="shared" si="55"/>
        <v>6.085</v>
      </c>
      <c r="AJ240" s="4">
        <v>6.16</v>
      </c>
      <c r="AK240" s="4">
        <v>6.01</v>
      </c>
      <c r="AM240" s="4">
        <f t="shared" si="56"/>
        <v>2027</v>
      </c>
      <c r="AN240" s="337">
        <v>46569</v>
      </c>
      <c r="AO240" s="4">
        <f t="shared" si="57"/>
        <v>12.59</v>
      </c>
      <c r="AP240" s="4">
        <v>12.71</v>
      </c>
      <c r="AQ240" s="4">
        <v>12.47</v>
      </c>
    </row>
    <row r="241" spans="16:43">
      <c r="P241" s="4">
        <f t="shared" si="58"/>
        <v>2024</v>
      </c>
      <c r="Q241" s="396">
        <f t="shared" si="65"/>
        <v>45597</v>
      </c>
      <c r="R241" s="136">
        <v>91.94</v>
      </c>
      <c r="S241" s="136">
        <v>75.13</v>
      </c>
      <c r="T241" s="338">
        <f t="shared" si="62"/>
        <v>84.711699999999979</v>
      </c>
      <c r="U241" s="324">
        <v>400</v>
      </c>
      <c r="V241" s="324">
        <v>320</v>
      </c>
      <c r="W241" s="324">
        <f t="shared" si="59"/>
        <v>0.55555555555555558</v>
      </c>
      <c r="X241" s="324">
        <f t="shared" si="60"/>
        <v>0.44444444444444442</v>
      </c>
      <c r="AB241" s="4">
        <f t="shared" si="63"/>
        <v>2024</v>
      </c>
      <c r="AC241" s="394">
        <f t="shared" si="64"/>
        <v>45597</v>
      </c>
      <c r="AD241" s="135">
        <f t="shared" si="61"/>
        <v>11.038020663404023</v>
      </c>
      <c r="AE241" s="136">
        <v>11.038020663404023</v>
      </c>
      <c r="AG241" s="4">
        <f t="shared" si="54"/>
        <v>2023</v>
      </c>
      <c r="AH241" s="394">
        <v>45199</v>
      </c>
      <c r="AI241" s="4">
        <f t="shared" si="55"/>
        <v>6.085</v>
      </c>
      <c r="AJ241" s="4">
        <v>6.16</v>
      </c>
      <c r="AK241" s="4">
        <v>6.01</v>
      </c>
      <c r="AM241" s="4">
        <f t="shared" si="56"/>
        <v>2027</v>
      </c>
      <c r="AN241" s="337">
        <v>46600</v>
      </c>
      <c r="AO241" s="4">
        <f t="shared" si="57"/>
        <v>12.59</v>
      </c>
      <c r="AP241" s="4">
        <v>12.71</v>
      </c>
      <c r="AQ241" s="4">
        <v>12.47</v>
      </c>
    </row>
    <row r="242" spans="16:43">
      <c r="P242" s="4">
        <f t="shared" si="58"/>
        <v>2024</v>
      </c>
      <c r="Q242" s="396">
        <f t="shared" si="65"/>
        <v>45627</v>
      </c>
      <c r="R242" s="136">
        <v>97.25</v>
      </c>
      <c r="S242" s="136">
        <v>87.97</v>
      </c>
      <c r="T242" s="338">
        <f t="shared" si="62"/>
        <v>93.259600000000006</v>
      </c>
      <c r="U242" s="324">
        <v>400</v>
      </c>
      <c r="V242" s="324">
        <v>344</v>
      </c>
      <c r="W242" s="324">
        <f t="shared" si="59"/>
        <v>0.5376344086021505</v>
      </c>
      <c r="X242" s="324">
        <f t="shared" si="60"/>
        <v>0.46236559139784944</v>
      </c>
      <c r="AB242" s="4">
        <f t="shared" si="63"/>
        <v>2024</v>
      </c>
      <c r="AC242" s="394">
        <f t="shared" si="64"/>
        <v>45627</v>
      </c>
      <c r="AD242" s="135">
        <f t="shared" si="61"/>
        <v>11.568200108754759</v>
      </c>
      <c r="AE242" s="136">
        <v>11.568200108754759</v>
      </c>
      <c r="AG242" s="4">
        <f t="shared" si="54"/>
        <v>2023</v>
      </c>
      <c r="AH242" s="394">
        <v>45230</v>
      </c>
      <c r="AI242" s="4">
        <f t="shared" si="55"/>
        <v>6.3149999999999995</v>
      </c>
      <c r="AJ242" s="4">
        <v>6.34</v>
      </c>
      <c r="AK242" s="4">
        <v>6.29</v>
      </c>
      <c r="AM242" s="4">
        <f t="shared" si="56"/>
        <v>2027</v>
      </c>
      <c r="AN242" s="337">
        <v>46631</v>
      </c>
      <c r="AO242" s="4">
        <f t="shared" si="57"/>
        <v>12.59</v>
      </c>
      <c r="AP242" s="4">
        <v>12.71</v>
      </c>
      <c r="AQ242" s="4">
        <v>12.47</v>
      </c>
    </row>
    <row r="243" spans="16:43">
      <c r="P243" s="4">
        <f t="shared" si="58"/>
        <v>2025</v>
      </c>
      <c r="Q243" s="396">
        <f t="shared" si="65"/>
        <v>45658</v>
      </c>
      <c r="R243" s="136">
        <v>102.37</v>
      </c>
      <c r="S243" s="136">
        <v>92.39</v>
      </c>
      <c r="T243" s="338">
        <f t="shared" si="62"/>
        <v>98.078599999999994</v>
      </c>
      <c r="U243" s="324">
        <v>416</v>
      </c>
      <c r="V243" s="324">
        <v>328</v>
      </c>
      <c r="W243" s="324">
        <f t="shared" si="59"/>
        <v>0.55913978494623651</v>
      </c>
      <c r="X243" s="324">
        <f t="shared" si="60"/>
        <v>0.44086021505376344</v>
      </c>
      <c r="AB243" s="4">
        <f t="shared" si="63"/>
        <v>2025</v>
      </c>
      <c r="AC243" s="394">
        <f t="shared" si="64"/>
        <v>45658</v>
      </c>
      <c r="AD243" s="135">
        <f t="shared" si="61"/>
        <v>12.543594344752583</v>
      </c>
      <c r="AE243" s="136">
        <v>12.543594344752583</v>
      </c>
      <c r="AG243" s="4">
        <f t="shared" si="54"/>
        <v>2023</v>
      </c>
      <c r="AH243" s="394">
        <v>45260</v>
      </c>
      <c r="AI243" s="4">
        <f t="shared" si="55"/>
        <v>6.4049999999999994</v>
      </c>
      <c r="AJ243" s="4">
        <v>6.43</v>
      </c>
      <c r="AK243" s="4">
        <v>6.38</v>
      </c>
      <c r="AM243" s="4">
        <f t="shared" si="56"/>
        <v>2027</v>
      </c>
      <c r="AN243" s="337">
        <v>46661</v>
      </c>
      <c r="AO243" s="4">
        <f t="shared" si="57"/>
        <v>13.065000000000001</v>
      </c>
      <c r="AP243" s="4">
        <v>13.08</v>
      </c>
      <c r="AQ243" s="4">
        <v>13.05</v>
      </c>
    </row>
    <row r="244" spans="16:43">
      <c r="P244" s="4">
        <f t="shared" si="58"/>
        <v>2025</v>
      </c>
      <c r="Q244" s="396">
        <f t="shared" si="65"/>
        <v>45689</v>
      </c>
      <c r="R244" s="136">
        <v>96.35</v>
      </c>
      <c r="S244" s="136">
        <v>83.8</v>
      </c>
      <c r="T244" s="338">
        <f t="shared" si="62"/>
        <v>90.953499999999991</v>
      </c>
      <c r="U244" s="324">
        <v>384</v>
      </c>
      <c r="V244" s="324">
        <v>288</v>
      </c>
      <c r="W244" s="324">
        <f t="shared" si="59"/>
        <v>0.5714285714285714</v>
      </c>
      <c r="X244" s="324">
        <f t="shared" si="60"/>
        <v>0.42857142857142855</v>
      </c>
      <c r="AB244" s="4">
        <f t="shared" si="63"/>
        <v>2025</v>
      </c>
      <c r="AC244" s="394">
        <f t="shared" si="64"/>
        <v>45689</v>
      </c>
      <c r="AD244" s="135">
        <f t="shared" si="61"/>
        <v>11.78910821098423</v>
      </c>
      <c r="AE244" s="136">
        <v>11.78910821098423</v>
      </c>
      <c r="AG244" s="4">
        <f t="shared" si="54"/>
        <v>2023</v>
      </c>
      <c r="AH244" s="394">
        <v>45291</v>
      </c>
      <c r="AI244" s="4">
        <f t="shared" si="55"/>
        <v>6.7249999999999996</v>
      </c>
      <c r="AJ244" s="4">
        <v>6.7</v>
      </c>
      <c r="AK244" s="4">
        <v>6.75</v>
      </c>
      <c r="AM244" s="4">
        <f t="shared" si="56"/>
        <v>2027</v>
      </c>
      <c r="AN244" s="337">
        <v>46692</v>
      </c>
      <c r="AO244" s="4">
        <f t="shared" si="57"/>
        <v>13.254999999999999</v>
      </c>
      <c r="AP244" s="4">
        <v>13.27</v>
      </c>
      <c r="AQ244" s="4">
        <v>13.24</v>
      </c>
    </row>
    <row r="245" spans="16:43">
      <c r="P245" s="4">
        <f t="shared" si="58"/>
        <v>2025</v>
      </c>
      <c r="Q245" s="396">
        <f t="shared" si="65"/>
        <v>45717</v>
      </c>
      <c r="R245" s="136">
        <v>81.66</v>
      </c>
      <c r="S245" s="136">
        <v>73.02</v>
      </c>
      <c r="T245" s="338">
        <f t="shared" si="62"/>
        <v>77.944799999999987</v>
      </c>
      <c r="U245" s="324">
        <v>416</v>
      </c>
      <c r="V245" s="324">
        <v>328</v>
      </c>
      <c r="W245" s="324">
        <f t="shared" si="59"/>
        <v>0.55913978494623651</v>
      </c>
      <c r="X245" s="324">
        <f t="shared" si="60"/>
        <v>0.44086021505376344</v>
      </c>
      <c r="AB245" s="4">
        <f t="shared" si="63"/>
        <v>2025</v>
      </c>
      <c r="AC245" s="394">
        <f t="shared" si="64"/>
        <v>45717</v>
      </c>
      <c r="AD245" s="135">
        <f t="shared" si="61"/>
        <v>11.085600870038064</v>
      </c>
      <c r="AE245" s="136">
        <v>11.085600870038064</v>
      </c>
      <c r="AG245" s="4">
        <f t="shared" si="54"/>
        <v>2024</v>
      </c>
      <c r="AH245" s="394">
        <v>45322</v>
      </c>
      <c r="AI245" s="4">
        <f t="shared" si="55"/>
        <v>7.4849999999999994</v>
      </c>
      <c r="AJ245" s="4">
        <v>7.41</v>
      </c>
      <c r="AK245" s="4">
        <v>7.56</v>
      </c>
      <c r="AM245" s="4">
        <f t="shared" si="56"/>
        <v>2027</v>
      </c>
      <c r="AN245" s="337">
        <v>46722</v>
      </c>
      <c r="AO245" s="4">
        <f t="shared" si="57"/>
        <v>13.914999999999999</v>
      </c>
      <c r="AP245" s="4">
        <v>13.83</v>
      </c>
      <c r="AQ245" s="4">
        <v>14</v>
      </c>
    </row>
    <row r="246" spans="16:43">
      <c r="P246" s="4">
        <f t="shared" si="58"/>
        <v>2025</v>
      </c>
      <c r="Q246" s="396">
        <f t="shared" si="65"/>
        <v>45748</v>
      </c>
      <c r="R246" s="136">
        <v>81.22</v>
      </c>
      <c r="S246" s="136">
        <v>77.38</v>
      </c>
      <c r="T246" s="338">
        <f t="shared" si="62"/>
        <v>79.568799999999982</v>
      </c>
      <c r="U246" s="324">
        <v>416</v>
      </c>
      <c r="V246" s="324">
        <v>304</v>
      </c>
      <c r="W246" s="324">
        <f t="shared" si="59"/>
        <v>0.57777777777777772</v>
      </c>
      <c r="X246" s="324">
        <f t="shared" si="60"/>
        <v>0.42222222222222222</v>
      </c>
      <c r="AB246" s="4">
        <f t="shared" si="63"/>
        <v>2025</v>
      </c>
      <c r="AC246" s="394">
        <f t="shared" si="64"/>
        <v>45748</v>
      </c>
      <c r="AD246" s="135">
        <f t="shared" si="61"/>
        <v>10.494246873300707</v>
      </c>
      <c r="AE246" s="136">
        <v>10.494246873300707</v>
      </c>
      <c r="AG246" s="4">
        <f t="shared" si="54"/>
        <v>2024</v>
      </c>
      <c r="AH246" s="394">
        <v>45351</v>
      </c>
      <c r="AI246" s="4">
        <f t="shared" si="55"/>
        <v>6.9649999999999999</v>
      </c>
      <c r="AJ246" s="4">
        <v>6.94</v>
      </c>
      <c r="AK246" s="4">
        <v>6.99</v>
      </c>
      <c r="AM246" s="4">
        <f t="shared" si="56"/>
        <v>2028</v>
      </c>
      <c r="AN246" s="337">
        <v>46753</v>
      </c>
      <c r="AO246" s="4">
        <f t="shared" si="57"/>
        <v>15.239999999999998</v>
      </c>
      <c r="AP246" s="4">
        <v>15.04</v>
      </c>
      <c r="AQ246" s="4">
        <v>15.44</v>
      </c>
    </row>
    <row r="247" spans="16:43">
      <c r="P247" s="4">
        <f t="shared" si="58"/>
        <v>2025</v>
      </c>
      <c r="Q247" s="396">
        <f t="shared" si="65"/>
        <v>45778</v>
      </c>
      <c r="R247" s="136">
        <v>82.71</v>
      </c>
      <c r="S247" s="136">
        <v>77.8</v>
      </c>
      <c r="T247" s="338">
        <f t="shared" si="62"/>
        <v>80.598699999999994</v>
      </c>
      <c r="U247" s="324">
        <v>416</v>
      </c>
      <c r="V247" s="324">
        <v>328</v>
      </c>
      <c r="W247" s="324">
        <f t="shared" si="59"/>
        <v>0.55913978494623651</v>
      </c>
      <c r="X247" s="324">
        <f t="shared" si="60"/>
        <v>0.44086021505376344</v>
      </c>
      <c r="AB247" s="4">
        <f t="shared" si="63"/>
        <v>2025</v>
      </c>
      <c r="AC247" s="394">
        <f t="shared" si="64"/>
        <v>45778</v>
      </c>
      <c r="AD247" s="135">
        <f t="shared" si="61"/>
        <v>10.385492115280043</v>
      </c>
      <c r="AE247" s="136">
        <v>10.385492115280043</v>
      </c>
      <c r="AG247" s="4">
        <f t="shared" si="54"/>
        <v>2024</v>
      </c>
      <c r="AH247" s="394">
        <v>45382</v>
      </c>
      <c r="AI247" s="4">
        <f t="shared" si="55"/>
        <v>6.5350000000000001</v>
      </c>
      <c r="AJ247" s="4">
        <v>6.56</v>
      </c>
      <c r="AK247" s="4">
        <v>6.51</v>
      </c>
      <c r="AM247" s="4">
        <f t="shared" si="56"/>
        <v>2028</v>
      </c>
      <c r="AN247" s="337">
        <v>46784</v>
      </c>
      <c r="AO247" s="4">
        <f t="shared" si="57"/>
        <v>14.18</v>
      </c>
      <c r="AP247" s="4">
        <v>14.09</v>
      </c>
      <c r="AQ247" s="4">
        <v>14.27</v>
      </c>
    </row>
    <row r="248" spans="16:43">
      <c r="P248" s="4">
        <f t="shared" si="58"/>
        <v>2025</v>
      </c>
      <c r="Q248" s="396">
        <f t="shared" si="65"/>
        <v>45809</v>
      </c>
      <c r="R248" s="136">
        <v>89.53</v>
      </c>
      <c r="S248" s="136">
        <v>79.900000000000006</v>
      </c>
      <c r="T248" s="338">
        <f t="shared" si="62"/>
        <v>85.389099999999999</v>
      </c>
      <c r="U248" s="324">
        <v>400</v>
      </c>
      <c r="V248" s="324">
        <v>320</v>
      </c>
      <c r="W248" s="324">
        <f t="shared" si="59"/>
        <v>0.55555555555555558</v>
      </c>
      <c r="X248" s="324">
        <f t="shared" si="60"/>
        <v>0.44444444444444442</v>
      </c>
      <c r="AB248" s="4">
        <f t="shared" si="63"/>
        <v>2025</v>
      </c>
      <c r="AC248" s="394">
        <f t="shared" si="64"/>
        <v>45809</v>
      </c>
      <c r="AD248" s="135">
        <f t="shared" si="61"/>
        <v>10.548624252311038</v>
      </c>
      <c r="AE248" s="136">
        <v>10.548624252311038</v>
      </c>
      <c r="AG248" s="4">
        <f t="shared" si="54"/>
        <v>2024</v>
      </c>
      <c r="AH248" s="394">
        <v>45412</v>
      </c>
      <c r="AI248" s="4">
        <f t="shared" si="55"/>
        <v>6.11</v>
      </c>
      <c r="AJ248" s="4">
        <v>6.19</v>
      </c>
      <c r="AK248" s="4">
        <v>6.03</v>
      </c>
      <c r="AM248" s="4">
        <f t="shared" si="56"/>
        <v>2028</v>
      </c>
      <c r="AN248" s="337">
        <v>46813</v>
      </c>
      <c r="AO248" s="4">
        <f t="shared" si="57"/>
        <v>13.309999999999999</v>
      </c>
      <c r="AP248" s="4">
        <v>13.33</v>
      </c>
      <c r="AQ248" s="4">
        <v>13.29</v>
      </c>
    </row>
    <row r="249" spans="16:43">
      <c r="P249" s="4">
        <f t="shared" si="58"/>
        <v>2025</v>
      </c>
      <c r="Q249" s="396">
        <f t="shared" si="65"/>
        <v>45839</v>
      </c>
      <c r="R249" s="136">
        <v>85.27</v>
      </c>
      <c r="S249" s="136">
        <v>81.73</v>
      </c>
      <c r="T249" s="338">
        <f t="shared" si="62"/>
        <v>83.747799999999998</v>
      </c>
      <c r="U249" s="324">
        <v>416</v>
      </c>
      <c r="V249" s="324">
        <v>328</v>
      </c>
      <c r="W249" s="324">
        <f t="shared" si="59"/>
        <v>0.55913978494623651</v>
      </c>
      <c r="X249" s="324">
        <f t="shared" si="60"/>
        <v>0.44086021505376344</v>
      </c>
      <c r="AB249" s="4">
        <f t="shared" si="63"/>
        <v>2025</v>
      </c>
      <c r="AC249" s="394">
        <f t="shared" si="64"/>
        <v>45839</v>
      </c>
      <c r="AD249" s="135">
        <f t="shared" si="61"/>
        <v>10.711756389342034</v>
      </c>
      <c r="AE249" s="136">
        <v>10.711756389342034</v>
      </c>
      <c r="AG249" s="4">
        <f t="shared" si="54"/>
        <v>2024</v>
      </c>
      <c r="AH249" s="394">
        <v>45443</v>
      </c>
      <c r="AI249" s="4">
        <f t="shared" si="55"/>
        <v>6.11</v>
      </c>
      <c r="AJ249" s="4">
        <v>6.19</v>
      </c>
      <c r="AK249" s="4">
        <v>6.03</v>
      </c>
      <c r="AM249" s="4">
        <f t="shared" si="56"/>
        <v>2028</v>
      </c>
      <c r="AN249" s="337">
        <v>46844</v>
      </c>
      <c r="AO249" s="4">
        <f t="shared" si="57"/>
        <v>12.445</v>
      </c>
      <c r="AP249" s="4">
        <v>12.57</v>
      </c>
      <c r="AQ249" s="4">
        <v>12.32</v>
      </c>
    </row>
    <row r="250" spans="16:43">
      <c r="P250" s="4">
        <f t="shared" si="58"/>
        <v>2025</v>
      </c>
      <c r="Q250" s="396">
        <f t="shared" si="65"/>
        <v>45870</v>
      </c>
      <c r="R250" s="136">
        <v>85.69</v>
      </c>
      <c r="S250" s="136">
        <v>82.2</v>
      </c>
      <c r="T250" s="338">
        <f t="shared" si="62"/>
        <v>84.189300000000003</v>
      </c>
      <c r="U250" s="324">
        <v>416</v>
      </c>
      <c r="V250" s="324">
        <v>328</v>
      </c>
      <c r="W250" s="324">
        <f t="shared" si="59"/>
        <v>0.55913978494623651</v>
      </c>
      <c r="X250" s="324">
        <f t="shared" si="60"/>
        <v>0.44086021505376344</v>
      </c>
      <c r="AB250" s="4">
        <f t="shared" si="63"/>
        <v>2025</v>
      </c>
      <c r="AC250" s="394">
        <f t="shared" si="64"/>
        <v>45870</v>
      </c>
      <c r="AD250" s="135">
        <f t="shared" si="61"/>
        <v>10.711756389342034</v>
      </c>
      <c r="AE250" s="136">
        <v>10.711756389342034</v>
      </c>
      <c r="AG250" s="4">
        <f t="shared" si="54"/>
        <v>2024</v>
      </c>
      <c r="AH250" s="394">
        <v>45473</v>
      </c>
      <c r="AI250" s="4">
        <f t="shared" si="55"/>
        <v>6.2050000000000001</v>
      </c>
      <c r="AJ250" s="4">
        <v>6.28</v>
      </c>
      <c r="AK250" s="4">
        <v>6.13</v>
      </c>
      <c r="AM250" s="4">
        <f t="shared" si="56"/>
        <v>2028</v>
      </c>
      <c r="AN250" s="337">
        <v>46874</v>
      </c>
      <c r="AO250" s="4">
        <f t="shared" si="57"/>
        <v>12.445</v>
      </c>
      <c r="AP250" s="4">
        <v>12.57</v>
      </c>
      <c r="AQ250" s="4">
        <v>12.32</v>
      </c>
    </row>
    <row r="251" spans="16:43">
      <c r="P251" s="4">
        <f t="shared" si="58"/>
        <v>2025</v>
      </c>
      <c r="Q251" s="396">
        <f t="shared" si="65"/>
        <v>45901</v>
      </c>
      <c r="R251" s="136">
        <v>84.94</v>
      </c>
      <c r="S251" s="136">
        <v>79.650000000000006</v>
      </c>
      <c r="T251" s="338">
        <f t="shared" si="62"/>
        <v>82.665300000000002</v>
      </c>
      <c r="U251" s="324">
        <v>400</v>
      </c>
      <c r="V251" s="324">
        <v>320</v>
      </c>
      <c r="W251" s="324">
        <f t="shared" si="59"/>
        <v>0.55555555555555558</v>
      </c>
      <c r="X251" s="324">
        <f t="shared" si="60"/>
        <v>0.44444444444444442</v>
      </c>
      <c r="AB251" s="4">
        <f t="shared" si="63"/>
        <v>2025</v>
      </c>
      <c r="AC251" s="394">
        <f t="shared" si="64"/>
        <v>45901</v>
      </c>
      <c r="AD251" s="135">
        <f t="shared" si="61"/>
        <v>10.711756389342034</v>
      </c>
      <c r="AE251" s="136">
        <v>10.711756389342034</v>
      </c>
      <c r="AG251" s="4">
        <f t="shared" si="54"/>
        <v>2024</v>
      </c>
      <c r="AH251" s="394">
        <v>45504</v>
      </c>
      <c r="AI251" s="4">
        <f t="shared" si="55"/>
        <v>6.3</v>
      </c>
      <c r="AJ251" s="4">
        <v>6.38</v>
      </c>
      <c r="AK251" s="4">
        <v>6.22</v>
      </c>
      <c r="AM251" s="4">
        <f t="shared" si="56"/>
        <v>2028</v>
      </c>
      <c r="AN251" s="337">
        <v>46905</v>
      </c>
      <c r="AO251" s="4">
        <f t="shared" si="57"/>
        <v>12.635</v>
      </c>
      <c r="AP251" s="4">
        <v>12.76</v>
      </c>
      <c r="AQ251" s="4">
        <v>12.51</v>
      </c>
    </row>
    <row r="252" spans="16:43">
      <c r="P252" s="4">
        <f t="shared" si="58"/>
        <v>2025</v>
      </c>
      <c r="Q252" s="396">
        <f t="shared" si="65"/>
        <v>45931</v>
      </c>
      <c r="R252" s="136">
        <v>84.29</v>
      </c>
      <c r="S252" s="136">
        <v>73.59</v>
      </c>
      <c r="T252" s="338">
        <f t="shared" si="62"/>
        <v>79.688999999999993</v>
      </c>
      <c r="U252" s="324">
        <v>432</v>
      </c>
      <c r="V252" s="324">
        <v>312</v>
      </c>
      <c r="W252" s="324">
        <f t="shared" si="59"/>
        <v>0.58064516129032262</v>
      </c>
      <c r="X252" s="324">
        <f t="shared" si="60"/>
        <v>0.41935483870967744</v>
      </c>
      <c r="AB252" s="4">
        <f t="shared" si="63"/>
        <v>2025</v>
      </c>
      <c r="AC252" s="394">
        <f t="shared" si="64"/>
        <v>45931</v>
      </c>
      <c r="AD252" s="135">
        <f t="shared" si="61"/>
        <v>11.085600870038064</v>
      </c>
      <c r="AE252" s="136">
        <v>11.085600870038064</v>
      </c>
      <c r="AG252" s="4">
        <f t="shared" si="54"/>
        <v>2024</v>
      </c>
      <c r="AH252" s="394">
        <v>45535</v>
      </c>
      <c r="AI252" s="4">
        <f t="shared" si="55"/>
        <v>6.3</v>
      </c>
      <c r="AJ252" s="4">
        <v>6.38</v>
      </c>
      <c r="AK252" s="4">
        <v>6.22</v>
      </c>
      <c r="AM252" s="4">
        <f t="shared" si="56"/>
        <v>2028</v>
      </c>
      <c r="AN252" s="337">
        <v>46935</v>
      </c>
      <c r="AO252" s="4">
        <f t="shared" si="57"/>
        <v>12.83</v>
      </c>
      <c r="AP252" s="4">
        <v>12.95</v>
      </c>
      <c r="AQ252" s="4">
        <v>12.71</v>
      </c>
    </row>
    <row r="253" spans="16:43">
      <c r="P253" s="4">
        <f t="shared" si="58"/>
        <v>2025</v>
      </c>
      <c r="Q253" s="396">
        <f t="shared" si="65"/>
        <v>45962</v>
      </c>
      <c r="R253" s="136">
        <v>95.2</v>
      </c>
      <c r="S253" s="136">
        <v>83.48</v>
      </c>
      <c r="T253" s="338">
        <f t="shared" si="62"/>
        <v>90.160399999999996</v>
      </c>
      <c r="U253" s="324">
        <v>384</v>
      </c>
      <c r="V253" s="324">
        <v>336</v>
      </c>
      <c r="W253" s="324">
        <f t="shared" si="59"/>
        <v>0.53333333333333333</v>
      </c>
      <c r="X253" s="324">
        <f t="shared" si="60"/>
        <v>0.46666666666666667</v>
      </c>
      <c r="AB253" s="4">
        <f t="shared" si="63"/>
        <v>2025</v>
      </c>
      <c r="AC253" s="394">
        <f t="shared" si="64"/>
        <v>45962</v>
      </c>
      <c r="AD253" s="135">
        <f t="shared" si="61"/>
        <v>11.248733007069058</v>
      </c>
      <c r="AE253" s="136">
        <v>11.248733007069058</v>
      </c>
      <c r="AG253" s="4">
        <f t="shared" si="54"/>
        <v>2024</v>
      </c>
      <c r="AH253" s="394">
        <v>45565</v>
      </c>
      <c r="AI253" s="4">
        <f t="shared" si="55"/>
        <v>6.3</v>
      </c>
      <c r="AJ253" s="4">
        <v>6.38</v>
      </c>
      <c r="AK253" s="4">
        <v>6.22</v>
      </c>
      <c r="AM253" s="4">
        <f t="shared" si="56"/>
        <v>2028</v>
      </c>
      <c r="AN253" s="337">
        <v>46966</v>
      </c>
      <c r="AO253" s="4">
        <f t="shared" si="57"/>
        <v>12.83</v>
      </c>
      <c r="AP253" s="4">
        <v>12.95</v>
      </c>
      <c r="AQ253" s="4">
        <v>12.71</v>
      </c>
    </row>
    <row r="254" spans="16:43">
      <c r="P254" s="4">
        <f t="shared" si="58"/>
        <v>2025</v>
      </c>
      <c r="Q254" s="396">
        <f t="shared" si="65"/>
        <v>45992</v>
      </c>
      <c r="R254" s="136">
        <v>99.66</v>
      </c>
      <c r="S254" s="136">
        <v>91.39</v>
      </c>
      <c r="T254" s="338">
        <f t="shared" si="62"/>
        <v>96.103899999999982</v>
      </c>
      <c r="U254" s="324">
        <v>416</v>
      </c>
      <c r="V254" s="324">
        <v>328</v>
      </c>
      <c r="W254" s="324">
        <f t="shared" si="59"/>
        <v>0.55913978494623651</v>
      </c>
      <c r="X254" s="324">
        <f t="shared" si="60"/>
        <v>0.44086021505376344</v>
      </c>
      <c r="AB254" s="4">
        <f t="shared" si="63"/>
        <v>2025</v>
      </c>
      <c r="AC254" s="394">
        <f t="shared" si="64"/>
        <v>45992</v>
      </c>
      <c r="AD254" s="135">
        <f t="shared" si="61"/>
        <v>11.78910821098423</v>
      </c>
      <c r="AE254" s="136">
        <v>11.78910821098423</v>
      </c>
      <c r="AG254" s="4">
        <f t="shared" si="54"/>
        <v>2024</v>
      </c>
      <c r="AH254" s="394">
        <v>45596</v>
      </c>
      <c r="AI254" s="4">
        <f t="shared" si="55"/>
        <v>6.5350000000000001</v>
      </c>
      <c r="AJ254" s="4">
        <v>6.56</v>
      </c>
      <c r="AK254" s="4">
        <v>6.51</v>
      </c>
      <c r="AM254" s="4">
        <f t="shared" si="56"/>
        <v>2028</v>
      </c>
      <c r="AN254" s="337">
        <v>46997</v>
      </c>
      <c r="AO254" s="4">
        <f t="shared" si="57"/>
        <v>12.83</v>
      </c>
      <c r="AP254" s="4">
        <v>12.95</v>
      </c>
      <c r="AQ254" s="4">
        <v>12.71</v>
      </c>
    </row>
    <row r="255" spans="16:43">
      <c r="P255" s="4">
        <f t="shared" si="58"/>
        <v>2026</v>
      </c>
      <c r="Q255" s="396">
        <f t="shared" si="65"/>
        <v>46023</v>
      </c>
      <c r="R255" s="136">
        <v>104.32</v>
      </c>
      <c r="S255" s="136">
        <v>94.15</v>
      </c>
      <c r="T255" s="338">
        <f t="shared" si="62"/>
        <v>99.946899999999999</v>
      </c>
      <c r="U255" s="324">
        <v>416</v>
      </c>
      <c r="V255" s="324">
        <v>328</v>
      </c>
      <c r="W255" s="324">
        <f t="shared" si="59"/>
        <v>0.55913978494623651</v>
      </c>
      <c r="X255" s="324">
        <f t="shared" si="60"/>
        <v>0.44086021505376344</v>
      </c>
      <c r="AB255" s="4">
        <f t="shared" si="63"/>
        <v>2026</v>
      </c>
      <c r="AC255" s="394">
        <f t="shared" si="64"/>
        <v>46023</v>
      </c>
      <c r="AD255" s="135">
        <f t="shared" si="61"/>
        <v>12.781495377922784</v>
      </c>
      <c r="AE255" s="136">
        <v>12.781495377922784</v>
      </c>
      <c r="AG255" s="4">
        <f t="shared" si="54"/>
        <v>2024</v>
      </c>
      <c r="AH255" s="394">
        <v>45626</v>
      </c>
      <c r="AI255" s="4">
        <f t="shared" si="55"/>
        <v>6.6349999999999998</v>
      </c>
      <c r="AJ255" s="4">
        <v>6.66</v>
      </c>
      <c r="AK255" s="4">
        <v>6.61</v>
      </c>
      <c r="AM255" s="4">
        <f t="shared" si="56"/>
        <v>2028</v>
      </c>
      <c r="AN255" s="337">
        <v>47027</v>
      </c>
      <c r="AO255" s="4">
        <f t="shared" si="57"/>
        <v>13.309999999999999</v>
      </c>
      <c r="AP255" s="4">
        <v>13.33</v>
      </c>
      <c r="AQ255" s="4">
        <v>13.29</v>
      </c>
    </row>
    <row r="256" spans="16:43">
      <c r="P256" s="4">
        <f t="shared" si="58"/>
        <v>2026</v>
      </c>
      <c r="Q256" s="396">
        <f t="shared" si="65"/>
        <v>46054</v>
      </c>
      <c r="R256" s="136">
        <v>98.18</v>
      </c>
      <c r="S256" s="136">
        <v>85.39</v>
      </c>
      <c r="T256" s="338">
        <f t="shared" si="62"/>
        <v>92.680300000000003</v>
      </c>
      <c r="U256" s="324">
        <v>384</v>
      </c>
      <c r="V256" s="324">
        <v>288</v>
      </c>
      <c r="W256" s="324">
        <f t="shared" si="59"/>
        <v>0.5714285714285714</v>
      </c>
      <c r="X256" s="324">
        <f t="shared" si="60"/>
        <v>0.42857142857142855</v>
      </c>
      <c r="AB256" s="4">
        <f t="shared" si="63"/>
        <v>2026</v>
      </c>
      <c r="AC256" s="394">
        <f t="shared" si="64"/>
        <v>46054</v>
      </c>
      <c r="AD256" s="135">
        <f t="shared" si="61"/>
        <v>12.010016313213702</v>
      </c>
      <c r="AE256" s="136">
        <v>12.010016313213702</v>
      </c>
      <c r="AG256" s="4">
        <f t="shared" si="54"/>
        <v>2024</v>
      </c>
      <c r="AH256" s="394">
        <v>45657</v>
      </c>
      <c r="AI256" s="4">
        <f t="shared" si="55"/>
        <v>6.9649999999999999</v>
      </c>
      <c r="AJ256" s="4">
        <v>6.94</v>
      </c>
      <c r="AK256" s="4">
        <v>6.99</v>
      </c>
      <c r="AM256" s="4">
        <f t="shared" si="56"/>
        <v>2028</v>
      </c>
      <c r="AN256" s="337">
        <v>47058</v>
      </c>
      <c r="AO256" s="4">
        <f t="shared" si="57"/>
        <v>13.504999999999999</v>
      </c>
      <c r="AP256" s="4">
        <v>13.52</v>
      </c>
      <c r="AQ256" s="4">
        <v>13.49</v>
      </c>
    </row>
    <row r="257" spans="16:43">
      <c r="P257" s="4">
        <f t="shared" si="58"/>
        <v>2026</v>
      </c>
      <c r="Q257" s="396">
        <f t="shared" si="65"/>
        <v>46082</v>
      </c>
      <c r="R257" s="136">
        <v>83.21</v>
      </c>
      <c r="S257" s="136">
        <v>74.41</v>
      </c>
      <c r="T257" s="338">
        <f t="shared" si="62"/>
        <v>79.425999999999988</v>
      </c>
      <c r="U257" s="324">
        <v>416</v>
      </c>
      <c r="V257" s="324">
        <v>328</v>
      </c>
      <c r="W257" s="324">
        <f t="shared" si="59"/>
        <v>0.55913978494623651</v>
      </c>
      <c r="X257" s="324">
        <f t="shared" si="60"/>
        <v>0.44086021505376344</v>
      </c>
      <c r="AB257" s="4">
        <f t="shared" si="63"/>
        <v>2026</v>
      </c>
      <c r="AC257" s="394">
        <f t="shared" si="64"/>
        <v>46082</v>
      </c>
      <c r="AD257" s="135">
        <f t="shared" si="61"/>
        <v>11.296313213703097</v>
      </c>
      <c r="AE257" s="136">
        <v>11.296313213703097</v>
      </c>
      <c r="AG257" s="4">
        <f t="shared" si="54"/>
        <v>2025</v>
      </c>
      <c r="AH257" s="394">
        <v>45688</v>
      </c>
      <c r="AI257" s="4">
        <f t="shared" si="55"/>
        <v>7.75</v>
      </c>
      <c r="AJ257" s="4">
        <v>7.67</v>
      </c>
      <c r="AK257" s="4">
        <v>7.83</v>
      </c>
      <c r="AM257" s="4">
        <f t="shared" si="56"/>
        <v>2028</v>
      </c>
      <c r="AN257" s="337">
        <v>47088</v>
      </c>
      <c r="AO257" s="4">
        <f t="shared" si="57"/>
        <v>14.18</v>
      </c>
      <c r="AP257" s="4">
        <v>14.09</v>
      </c>
      <c r="AQ257" s="4">
        <v>14.27</v>
      </c>
    </row>
    <row r="258" spans="16:43">
      <c r="P258" s="4">
        <f t="shared" si="58"/>
        <v>2026</v>
      </c>
      <c r="Q258" s="396">
        <f t="shared" si="65"/>
        <v>46113</v>
      </c>
      <c r="R258" s="136">
        <v>82.76</v>
      </c>
      <c r="S258" s="136">
        <v>78.849999999999994</v>
      </c>
      <c r="T258" s="338">
        <f t="shared" si="62"/>
        <v>81.078699999999998</v>
      </c>
      <c r="U258" s="324">
        <v>416</v>
      </c>
      <c r="V258" s="324">
        <v>304</v>
      </c>
      <c r="W258" s="324">
        <f t="shared" si="59"/>
        <v>0.57777777777777772</v>
      </c>
      <c r="X258" s="324">
        <f t="shared" si="60"/>
        <v>0.42222222222222222</v>
      </c>
      <c r="AB258" s="4">
        <f t="shared" si="63"/>
        <v>2026</v>
      </c>
      <c r="AC258" s="394">
        <f t="shared" si="64"/>
        <v>46113</v>
      </c>
      <c r="AD258" s="135">
        <f t="shared" si="61"/>
        <v>10.691364872213157</v>
      </c>
      <c r="AE258" s="136">
        <v>10.691364872213157</v>
      </c>
      <c r="AG258" s="4">
        <f t="shared" si="54"/>
        <v>2025</v>
      </c>
      <c r="AH258" s="394">
        <v>45716</v>
      </c>
      <c r="AI258" s="4">
        <f t="shared" si="55"/>
        <v>7.2050000000000001</v>
      </c>
      <c r="AJ258" s="4">
        <v>7.18</v>
      </c>
      <c r="AK258" s="4">
        <v>7.23</v>
      </c>
      <c r="AM258" s="4">
        <f t="shared" si="56"/>
        <v>2029</v>
      </c>
      <c r="AN258" s="337">
        <v>47119</v>
      </c>
      <c r="AO258" s="4">
        <f t="shared" si="57"/>
        <v>15.535</v>
      </c>
      <c r="AP258" s="4">
        <v>15.33</v>
      </c>
      <c r="AQ258" s="4">
        <v>15.74</v>
      </c>
    </row>
    <row r="259" spans="16:43">
      <c r="P259" s="4">
        <f t="shared" si="58"/>
        <v>2026</v>
      </c>
      <c r="Q259" s="396">
        <f t="shared" si="65"/>
        <v>46143</v>
      </c>
      <c r="R259" s="136">
        <v>84.28</v>
      </c>
      <c r="S259" s="136">
        <v>79.28</v>
      </c>
      <c r="T259" s="338">
        <f t="shared" si="62"/>
        <v>82.13</v>
      </c>
      <c r="U259" s="324">
        <v>400</v>
      </c>
      <c r="V259" s="324">
        <v>344</v>
      </c>
      <c r="W259" s="324">
        <f t="shared" si="59"/>
        <v>0.5376344086021505</v>
      </c>
      <c r="X259" s="324">
        <f t="shared" si="60"/>
        <v>0.46236559139784944</v>
      </c>
      <c r="AB259" s="4">
        <f t="shared" si="63"/>
        <v>2026</v>
      </c>
      <c r="AC259" s="394">
        <f t="shared" si="64"/>
        <v>46143</v>
      </c>
      <c r="AD259" s="135">
        <f t="shared" si="61"/>
        <v>10.582610114192494</v>
      </c>
      <c r="AE259" s="136">
        <v>10.582610114192494</v>
      </c>
      <c r="AG259" s="4">
        <f t="shared" si="54"/>
        <v>2025</v>
      </c>
      <c r="AH259" s="394">
        <v>45747</v>
      </c>
      <c r="AI259" s="4">
        <f t="shared" si="55"/>
        <v>6.7650000000000006</v>
      </c>
      <c r="AJ259" s="4">
        <v>6.79</v>
      </c>
      <c r="AK259" s="4">
        <v>6.74</v>
      </c>
      <c r="AM259" s="4">
        <f t="shared" si="56"/>
        <v>2029</v>
      </c>
      <c r="AN259" s="337">
        <v>47150</v>
      </c>
      <c r="AO259" s="4">
        <f t="shared" si="57"/>
        <v>14.45</v>
      </c>
      <c r="AP259" s="4">
        <v>14.36</v>
      </c>
      <c r="AQ259" s="4">
        <v>14.54</v>
      </c>
    </row>
    <row r="260" spans="16:43">
      <c r="P260" s="4">
        <f t="shared" si="58"/>
        <v>2026</v>
      </c>
      <c r="Q260" s="396">
        <f t="shared" si="65"/>
        <v>46174</v>
      </c>
      <c r="R260" s="136">
        <v>91.23</v>
      </c>
      <c r="S260" s="136">
        <v>81.42</v>
      </c>
      <c r="T260" s="338">
        <f t="shared" si="62"/>
        <v>87.011700000000005</v>
      </c>
      <c r="U260" s="324">
        <v>416</v>
      </c>
      <c r="V260" s="324">
        <v>304</v>
      </c>
      <c r="W260" s="324">
        <f t="shared" si="59"/>
        <v>0.57777777777777772</v>
      </c>
      <c r="X260" s="324">
        <f t="shared" si="60"/>
        <v>0.42222222222222222</v>
      </c>
      <c r="AB260" s="4">
        <f t="shared" si="63"/>
        <v>2026</v>
      </c>
      <c r="AC260" s="394">
        <f t="shared" si="64"/>
        <v>46174</v>
      </c>
      <c r="AD260" s="135">
        <f t="shared" si="61"/>
        <v>10.74574225122349</v>
      </c>
      <c r="AE260" s="136">
        <v>10.74574225122349</v>
      </c>
      <c r="AG260" s="4">
        <f t="shared" si="54"/>
        <v>2025</v>
      </c>
      <c r="AH260" s="394">
        <v>45777</v>
      </c>
      <c r="AI260" s="4">
        <f t="shared" si="55"/>
        <v>6.3250000000000002</v>
      </c>
      <c r="AJ260" s="4">
        <v>6.41</v>
      </c>
      <c r="AK260" s="4">
        <v>6.24</v>
      </c>
      <c r="AM260" s="4">
        <f t="shared" si="56"/>
        <v>2029</v>
      </c>
      <c r="AN260" s="337">
        <v>47178</v>
      </c>
      <c r="AO260" s="4">
        <f t="shared" si="57"/>
        <v>13.565000000000001</v>
      </c>
      <c r="AP260" s="4">
        <v>13.58</v>
      </c>
      <c r="AQ260" s="4">
        <v>13.55</v>
      </c>
    </row>
    <row r="261" spans="16:43">
      <c r="P261" s="4">
        <f t="shared" si="58"/>
        <v>2026</v>
      </c>
      <c r="Q261" s="396">
        <f t="shared" si="65"/>
        <v>46204</v>
      </c>
      <c r="R261" s="136">
        <v>86.89</v>
      </c>
      <c r="S261" s="136">
        <v>83.28</v>
      </c>
      <c r="T261" s="338">
        <f t="shared" si="62"/>
        <v>85.337699999999998</v>
      </c>
      <c r="U261" s="324">
        <v>416</v>
      </c>
      <c r="V261" s="324">
        <v>328</v>
      </c>
      <c r="W261" s="324">
        <f t="shared" si="59"/>
        <v>0.55913978494623651</v>
      </c>
      <c r="X261" s="324">
        <f t="shared" si="60"/>
        <v>0.44086021505376344</v>
      </c>
      <c r="AB261" s="4">
        <f t="shared" si="63"/>
        <v>2026</v>
      </c>
      <c r="AC261" s="394">
        <f t="shared" si="64"/>
        <v>46204</v>
      </c>
      <c r="AD261" s="135">
        <f t="shared" si="61"/>
        <v>10.912272974442631</v>
      </c>
      <c r="AE261" s="136">
        <v>10.912272974442631</v>
      </c>
      <c r="AG261" s="4">
        <f t="shared" si="54"/>
        <v>2025</v>
      </c>
      <c r="AH261" s="394">
        <v>45808</v>
      </c>
      <c r="AI261" s="4">
        <f t="shared" si="55"/>
        <v>6.3250000000000002</v>
      </c>
      <c r="AJ261" s="4">
        <v>6.41</v>
      </c>
      <c r="AK261" s="4">
        <v>6.24</v>
      </c>
      <c r="AM261" s="4">
        <f t="shared" si="56"/>
        <v>2029</v>
      </c>
      <c r="AN261" s="337">
        <v>47209</v>
      </c>
      <c r="AO261" s="4">
        <f t="shared" si="57"/>
        <v>12.68</v>
      </c>
      <c r="AP261" s="4">
        <v>12.81</v>
      </c>
      <c r="AQ261" s="4">
        <v>12.55</v>
      </c>
    </row>
    <row r="262" spans="16:43">
      <c r="P262" s="4">
        <f t="shared" si="58"/>
        <v>2026</v>
      </c>
      <c r="Q262" s="396">
        <f t="shared" si="65"/>
        <v>46235</v>
      </c>
      <c r="R262" s="136">
        <v>87.32</v>
      </c>
      <c r="S262" s="136">
        <v>83.76</v>
      </c>
      <c r="T262" s="338">
        <f t="shared" si="62"/>
        <v>85.789199999999994</v>
      </c>
      <c r="U262" s="324">
        <v>416</v>
      </c>
      <c r="V262" s="324">
        <v>328</v>
      </c>
      <c r="W262" s="324">
        <f t="shared" si="59"/>
        <v>0.55913978494623651</v>
      </c>
      <c r="X262" s="324">
        <f t="shared" si="60"/>
        <v>0.44086021505376344</v>
      </c>
      <c r="AB262" s="4">
        <f t="shared" si="63"/>
        <v>2026</v>
      </c>
      <c r="AC262" s="394">
        <f t="shared" si="64"/>
        <v>46235</v>
      </c>
      <c r="AD262" s="135">
        <f t="shared" si="61"/>
        <v>10.912272974442631</v>
      </c>
      <c r="AE262" s="136">
        <v>10.912272974442631</v>
      </c>
      <c r="AG262" s="4">
        <f t="shared" si="54"/>
        <v>2025</v>
      </c>
      <c r="AH262" s="394">
        <v>45838</v>
      </c>
      <c r="AI262" s="4">
        <f t="shared" si="55"/>
        <v>6.42</v>
      </c>
      <c r="AJ262" s="4">
        <v>6.5</v>
      </c>
      <c r="AK262" s="4">
        <v>6.34</v>
      </c>
      <c r="AM262" s="4">
        <f t="shared" si="56"/>
        <v>2029</v>
      </c>
      <c r="AN262" s="337">
        <v>47239</v>
      </c>
      <c r="AO262" s="4">
        <f t="shared" si="57"/>
        <v>12.68</v>
      </c>
      <c r="AP262" s="4">
        <v>12.81</v>
      </c>
      <c r="AQ262" s="4">
        <v>12.55</v>
      </c>
    </row>
    <row r="263" spans="16:43">
      <c r="P263" s="4">
        <f t="shared" si="58"/>
        <v>2026</v>
      </c>
      <c r="Q263" s="396">
        <f t="shared" si="65"/>
        <v>46266</v>
      </c>
      <c r="R263" s="136">
        <v>86.55</v>
      </c>
      <c r="S263" s="136">
        <v>81.16</v>
      </c>
      <c r="T263" s="338">
        <f t="shared" si="62"/>
        <v>84.232299999999995</v>
      </c>
      <c r="U263" s="324">
        <v>400</v>
      </c>
      <c r="V263" s="324">
        <v>320</v>
      </c>
      <c r="W263" s="324">
        <f t="shared" si="59"/>
        <v>0.55555555555555558</v>
      </c>
      <c r="X263" s="324">
        <f t="shared" si="60"/>
        <v>0.44444444444444442</v>
      </c>
      <c r="AB263" s="4">
        <f t="shared" si="63"/>
        <v>2026</v>
      </c>
      <c r="AC263" s="394">
        <f t="shared" si="64"/>
        <v>46266</v>
      </c>
      <c r="AD263" s="135">
        <f t="shared" si="61"/>
        <v>10.912272974442631</v>
      </c>
      <c r="AE263" s="136">
        <v>10.912272974442631</v>
      </c>
      <c r="AG263" s="4">
        <f t="shared" si="54"/>
        <v>2025</v>
      </c>
      <c r="AH263" s="394">
        <v>45869</v>
      </c>
      <c r="AI263" s="4">
        <f t="shared" si="55"/>
        <v>6.52</v>
      </c>
      <c r="AJ263" s="4">
        <v>6.6</v>
      </c>
      <c r="AK263" s="4">
        <v>6.44</v>
      </c>
      <c r="AM263" s="4">
        <f t="shared" si="56"/>
        <v>2029</v>
      </c>
      <c r="AN263" s="337">
        <v>47270</v>
      </c>
      <c r="AO263" s="4">
        <f t="shared" si="57"/>
        <v>12.875</v>
      </c>
      <c r="AP263" s="4">
        <v>13</v>
      </c>
      <c r="AQ263" s="4">
        <v>12.75</v>
      </c>
    </row>
    <row r="264" spans="16:43">
      <c r="P264" s="4">
        <f t="shared" si="58"/>
        <v>2026</v>
      </c>
      <c r="Q264" s="396">
        <f t="shared" si="65"/>
        <v>46296</v>
      </c>
      <c r="R264" s="136">
        <v>85.89</v>
      </c>
      <c r="S264" s="136">
        <v>74.989999999999995</v>
      </c>
      <c r="T264" s="338">
        <f t="shared" si="62"/>
        <v>81.203000000000003</v>
      </c>
      <c r="U264" s="324">
        <v>432</v>
      </c>
      <c r="V264" s="324">
        <v>312</v>
      </c>
      <c r="W264" s="324">
        <f t="shared" si="59"/>
        <v>0.58064516129032262</v>
      </c>
      <c r="X264" s="324">
        <f t="shared" si="60"/>
        <v>0.41935483870967744</v>
      </c>
      <c r="AB264" s="4">
        <f t="shared" si="63"/>
        <v>2026</v>
      </c>
      <c r="AC264" s="394">
        <f t="shared" si="64"/>
        <v>46296</v>
      </c>
      <c r="AD264" s="135">
        <f t="shared" si="61"/>
        <v>11.296313213703097</v>
      </c>
      <c r="AE264" s="136">
        <v>11.296313213703097</v>
      </c>
      <c r="AG264" s="4">
        <f t="shared" si="54"/>
        <v>2025</v>
      </c>
      <c r="AH264" s="394">
        <v>45900</v>
      </c>
      <c r="AI264" s="4">
        <f t="shared" si="55"/>
        <v>6.52</v>
      </c>
      <c r="AJ264" s="4">
        <v>6.6</v>
      </c>
      <c r="AK264" s="4">
        <v>6.44</v>
      </c>
      <c r="AM264" s="4">
        <f t="shared" si="56"/>
        <v>2029</v>
      </c>
      <c r="AN264" s="337">
        <v>47300</v>
      </c>
      <c r="AO264" s="4">
        <f t="shared" si="57"/>
        <v>13.074999999999999</v>
      </c>
      <c r="AP264" s="4">
        <v>13.2</v>
      </c>
      <c r="AQ264" s="4">
        <v>12.95</v>
      </c>
    </row>
    <row r="265" spans="16:43">
      <c r="P265" s="4">
        <f t="shared" si="58"/>
        <v>2026</v>
      </c>
      <c r="Q265" s="396">
        <f t="shared" si="65"/>
        <v>46327</v>
      </c>
      <c r="R265" s="136">
        <v>97.01</v>
      </c>
      <c r="S265" s="136">
        <v>85.07</v>
      </c>
      <c r="T265" s="338">
        <f t="shared" si="62"/>
        <v>91.875799999999998</v>
      </c>
      <c r="U265" s="324">
        <v>384</v>
      </c>
      <c r="V265" s="324">
        <v>336</v>
      </c>
      <c r="W265" s="324">
        <f t="shared" si="59"/>
        <v>0.53333333333333333</v>
      </c>
      <c r="X265" s="324">
        <f t="shared" si="60"/>
        <v>0.46666666666666667</v>
      </c>
      <c r="AB265" s="4">
        <f t="shared" si="63"/>
        <v>2026</v>
      </c>
      <c r="AC265" s="394">
        <f t="shared" si="64"/>
        <v>46327</v>
      </c>
      <c r="AD265" s="135">
        <f t="shared" si="61"/>
        <v>11.462843936922239</v>
      </c>
      <c r="AE265" s="136">
        <v>11.462843936922239</v>
      </c>
      <c r="AG265" s="4">
        <f t="shared" si="54"/>
        <v>2025</v>
      </c>
      <c r="AH265" s="394">
        <v>45930</v>
      </c>
      <c r="AI265" s="4">
        <f t="shared" si="55"/>
        <v>6.52</v>
      </c>
      <c r="AJ265" s="4">
        <v>6.6</v>
      </c>
      <c r="AK265" s="4">
        <v>6.44</v>
      </c>
      <c r="AM265" s="4">
        <f t="shared" si="56"/>
        <v>2029</v>
      </c>
      <c r="AN265" s="337">
        <v>47331</v>
      </c>
      <c r="AO265" s="4">
        <f t="shared" si="57"/>
        <v>13.074999999999999</v>
      </c>
      <c r="AP265" s="4">
        <v>13.2</v>
      </c>
      <c r="AQ265" s="4">
        <v>12.95</v>
      </c>
    </row>
    <row r="266" spans="16:43">
      <c r="P266" s="4">
        <f t="shared" si="58"/>
        <v>2026</v>
      </c>
      <c r="Q266" s="396">
        <f t="shared" si="65"/>
        <v>46357</v>
      </c>
      <c r="R266" s="136">
        <v>101.55</v>
      </c>
      <c r="S266" s="136">
        <v>93.13</v>
      </c>
      <c r="T266" s="338">
        <f t="shared" si="62"/>
        <v>97.929399999999987</v>
      </c>
      <c r="U266" s="324">
        <v>416</v>
      </c>
      <c r="V266" s="324">
        <v>328</v>
      </c>
      <c r="W266" s="324">
        <f t="shared" si="59"/>
        <v>0.55913978494623651</v>
      </c>
      <c r="X266" s="324">
        <f t="shared" si="60"/>
        <v>0.44086021505376344</v>
      </c>
      <c r="AB266" s="4">
        <f t="shared" si="63"/>
        <v>2026</v>
      </c>
      <c r="AC266" s="394">
        <f t="shared" si="64"/>
        <v>46357</v>
      </c>
      <c r="AD266" s="135">
        <f t="shared" si="61"/>
        <v>12.010016313213702</v>
      </c>
      <c r="AE266" s="136">
        <v>12.010016313213702</v>
      </c>
      <c r="AG266" s="4">
        <f t="shared" si="54"/>
        <v>2025</v>
      </c>
      <c r="AH266" s="394">
        <v>45961</v>
      </c>
      <c r="AI266" s="4">
        <f t="shared" si="55"/>
        <v>6.7650000000000006</v>
      </c>
      <c r="AJ266" s="4">
        <v>6.79</v>
      </c>
      <c r="AK266" s="4">
        <v>6.74</v>
      </c>
      <c r="AM266" s="4">
        <f t="shared" si="56"/>
        <v>2029</v>
      </c>
      <c r="AN266" s="337">
        <v>47362</v>
      </c>
      <c r="AO266" s="4">
        <f t="shared" si="57"/>
        <v>13.074999999999999</v>
      </c>
      <c r="AP266" s="4">
        <v>13.2</v>
      </c>
      <c r="AQ266" s="4">
        <v>12.95</v>
      </c>
    </row>
    <row r="267" spans="16:43">
      <c r="P267" s="4">
        <f t="shared" si="58"/>
        <v>2027</v>
      </c>
      <c r="Q267" s="396">
        <f t="shared" si="65"/>
        <v>46388</v>
      </c>
      <c r="R267" s="136">
        <v>106.3</v>
      </c>
      <c r="S267" s="136">
        <v>95.93</v>
      </c>
      <c r="T267" s="338">
        <f t="shared" si="62"/>
        <v>101.8409</v>
      </c>
      <c r="U267" s="324">
        <v>400</v>
      </c>
      <c r="V267" s="324">
        <v>344</v>
      </c>
      <c r="W267" s="324">
        <f t="shared" si="59"/>
        <v>0.5376344086021505</v>
      </c>
      <c r="X267" s="324">
        <f t="shared" si="60"/>
        <v>0.46236559139784944</v>
      </c>
      <c r="AB267" s="4">
        <f t="shared" si="63"/>
        <v>2027</v>
      </c>
      <c r="AC267" s="394">
        <f t="shared" si="64"/>
        <v>46388</v>
      </c>
      <c r="AD267" s="135">
        <f t="shared" si="61"/>
        <v>13.02279499728113</v>
      </c>
      <c r="AE267" s="136">
        <v>13.02279499728113</v>
      </c>
      <c r="AG267" s="4">
        <f t="shared" si="54"/>
        <v>2025</v>
      </c>
      <c r="AH267" s="394">
        <v>45991</v>
      </c>
      <c r="AI267" s="4">
        <f t="shared" si="55"/>
        <v>6.8650000000000002</v>
      </c>
      <c r="AJ267" s="4">
        <v>6.89</v>
      </c>
      <c r="AK267" s="4">
        <v>6.84</v>
      </c>
      <c r="AM267" s="4">
        <f t="shared" si="56"/>
        <v>2029</v>
      </c>
      <c r="AN267" s="337">
        <v>47392</v>
      </c>
      <c r="AO267" s="4">
        <f t="shared" si="57"/>
        <v>13.565000000000001</v>
      </c>
      <c r="AP267" s="4">
        <v>13.58</v>
      </c>
      <c r="AQ267" s="4">
        <v>13.55</v>
      </c>
    </row>
    <row r="268" spans="16:43">
      <c r="P268" s="4">
        <f t="shared" si="58"/>
        <v>2027</v>
      </c>
      <c r="Q268" s="396">
        <f t="shared" si="65"/>
        <v>46419</v>
      </c>
      <c r="R268" s="136">
        <v>100.05</v>
      </c>
      <c r="S268" s="136">
        <v>87.01</v>
      </c>
      <c r="T268" s="338">
        <f t="shared" si="62"/>
        <v>94.442800000000005</v>
      </c>
      <c r="U268" s="324">
        <v>384</v>
      </c>
      <c r="V268" s="324">
        <v>288</v>
      </c>
      <c r="W268" s="324">
        <f t="shared" si="59"/>
        <v>0.5714285714285714</v>
      </c>
      <c r="X268" s="324">
        <f t="shared" si="60"/>
        <v>0.42857142857142855</v>
      </c>
      <c r="AB268" s="4">
        <f t="shared" si="63"/>
        <v>2027</v>
      </c>
      <c r="AC268" s="394">
        <f t="shared" si="64"/>
        <v>46419</v>
      </c>
      <c r="AD268" s="135">
        <f t="shared" si="61"/>
        <v>12.237721587819468</v>
      </c>
      <c r="AE268" s="136">
        <v>12.237721587819468</v>
      </c>
      <c r="AG268" s="4">
        <f t="shared" si="54"/>
        <v>2025</v>
      </c>
      <c r="AH268" s="394">
        <v>46022</v>
      </c>
      <c r="AI268" s="4">
        <f t="shared" si="55"/>
        <v>7.2050000000000001</v>
      </c>
      <c r="AJ268" s="4">
        <v>7.18</v>
      </c>
      <c r="AK268" s="4">
        <v>7.23</v>
      </c>
      <c r="AM268" s="4">
        <f t="shared" si="56"/>
        <v>2029</v>
      </c>
      <c r="AN268" s="337">
        <v>47423</v>
      </c>
      <c r="AO268" s="4">
        <f t="shared" si="57"/>
        <v>13.765000000000001</v>
      </c>
      <c r="AP268" s="4">
        <v>13.78</v>
      </c>
      <c r="AQ268" s="4">
        <v>13.75</v>
      </c>
    </row>
    <row r="269" spans="16:43">
      <c r="P269" s="4">
        <f t="shared" si="58"/>
        <v>2027</v>
      </c>
      <c r="Q269" s="396">
        <f t="shared" si="65"/>
        <v>46447</v>
      </c>
      <c r="R269" s="136">
        <v>84.79</v>
      </c>
      <c r="S269" s="136">
        <v>75.819999999999993</v>
      </c>
      <c r="T269" s="338">
        <f t="shared" si="62"/>
        <v>80.932899999999989</v>
      </c>
      <c r="U269" s="324">
        <v>432</v>
      </c>
      <c r="V269" s="324">
        <v>312</v>
      </c>
      <c r="W269" s="324">
        <f t="shared" si="59"/>
        <v>0.58064516129032262</v>
      </c>
      <c r="X269" s="324">
        <f t="shared" si="60"/>
        <v>0.41935483870967744</v>
      </c>
      <c r="AB269" s="4">
        <f t="shared" si="63"/>
        <v>2027</v>
      </c>
      <c r="AC269" s="394">
        <f t="shared" si="64"/>
        <v>46447</v>
      </c>
      <c r="AD269" s="135">
        <f t="shared" si="61"/>
        <v>11.51042414355628</v>
      </c>
      <c r="AE269" s="136">
        <v>11.51042414355628</v>
      </c>
      <c r="AG269" s="4">
        <f t="shared" ref="AG269:AG332" si="66">YEAR(AH269)</f>
        <v>2026</v>
      </c>
      <c r="AH269" s="394">
        <v>46053</v>
      </c>
      <c r="AI269" s="4">
        <f t="shared" ref="AI269:AI332" si="67">AVERAGE(AJ269:AK269)</f>
        <v>8.02</v>
      </c>
      <c r="AJ269" s="4">
        <v>7.94</v>
      </c>
      <c r="AK269" s="4">
        <v>8.1</v>
      </c>
      <c r="AM269" s="4">
        <f t="shared" ref="AM269:AM332" si="68">YEAR(AN269)</f>
        <v>2029</v>
      </c>
      <c r="AN269" s="337">
        <v>47453</v>
      </c>
      <c r="AO269" s="4">
        <f t="shared" ref="AO269:AO332" si="69">AVERAGE(AP269:AQ269)</f>
        <v>14.45</v>
      </c>
      <c r="AP269" s="4">
        <v>14.36</v>
      </c>
      <c r="AQ269" s="4">
        <v>14.54</v>
      </c>
    </row>
    <row r="270" spans="16:43">
      <c r="P270" s="4">
        <f t="shared" si="58"/>
        <v>2027</v>
      </c>
      <c r="Q270" s="396">
        <f t="shared" si="65"/>
        <v>46478</v>
      </c>
      <c r="R270" s="136">
        <v>84.34</v>
      </c>
      <c r="S270" s="136">
        <v>80.349999999999994</v>
      </c>
      <c r="T270" s="338">
        <f t="shared" si="62"/>
        <v>82.624300000000005</v>
      </c>
      <c r="U270" s="324">
        <v>416</v>
      </c>
      <c r="V270" s="324">
        <v>304</v>
      </c>
      <c r="W270" s="324">
        <f t="shared" si="59"/>
        <v>0.57777777777777772</v>
      </c>
      <c r="X270" s="324">
        <f t="shared" si="60"/>
        <v>0.42222222222222222</v>
      </c>
      <c r="AB270" s="4">
        <f t="shared" si="63"/>
        <v>2027</v>
      </c>
      <c r="AC270" s="394">
        <f t="shared" si="64"/>
        <v>46478</v>
      </c>
      <c r="AD270" s="135">
        <f t="shared" si="61"/>
        <v>10.891881457313758</v>
      </c>
      <c r="AE270" s="136">
        <v>10.891881457313758</v>
      </c>
      <c r="AG270" s="4">
        <f t="shared" si="66"/>
        <v>2026</v>
      </c>
      <c r="AH270" s="394">
        <v>46081</v>
      </c>
      <c r="AI270" s="4">
        <f t="shared" si="67"/>
        <v>7.46</v>
      </c>
      <c r="AJ270" s="4">
        <v>7.43</v>
      </c>
      <c r="AK270" s="4">
        <v>7.49</v>
      </c>
      <c r="AM270" s="4">
        <f t="shared" si="68"/>
        <v>2030</v>
      </c>
      <c r="AN270" s="337">
        <v>47484</v>
      </c>
      <c r="AO270" s="4">
        <f t="shared" si="69"/>
        <v>15.829999999999998</v>
      </c>
      <c r="AP270" s="4">
        <v>15.62</v>
      </c>
      <c r="AQ270" s="4">
        <v>16.04</v>
      </c>
    </row>
    <row r="271" spans="16:43">
      <c r="P271" s="4">
        <f t="shared" si="58"/>
        <v>2027</v>
      </c>
      <c r="Q271" s="396">
        <f t="shared" si="65"/>
        <v>46508</v>
      </c>
      <c r="R271" s="136">
        <v>85.88</v>
      </c>
      <c r="S271" s="136">
        <v>80.78</v>
      </c>
      <c r="T271" s="338">
        <f t="shared" si="62"/>
        <v>83.686999999999983</v>
      </c>
      <c r="U271" s="324">
        <v>400</v>
      </c>
      <c r="V271" s="324">
        <v>344</v>
      </c>
      <c r="W271" s="324">
        <f t="shared" si="59"/>
        <v>0.5376344086021505</v>
      </c>
      <c r="X271" s="324">
        <f t="shared" si="60"/>
        <v>0.46236559139784944</v>
      </c>
      <c r="AB271" s="4">
        <f t="shared" si="63"/>
        <v>2027</v>
      </c>
      <c r="AC271" s="394">
        <f t="shared" si="64"/>
        <v>46508</v>
      </c>
      <c r="AD271" s="135">
        <f t="shared" si="61"/>
        <v>10.77972811310495</v>
      </c>
      <c r="AE271" s="136">
        <v>10.77972811310495</v>
      </c>
      <c r="AG271" s="4">
        <f t="shared" si="66"/>
        <v>2026</v>
      </c>
      <c r="AH271" s="394">
        <v>46112</v>
      </c>
      <c r="AI271" s="4">
        <f t="shared" si="67"/>
        <v>7</v>
      </c>
      <c r="AJ271" s="4">
        <v>7.03</v>
      </c>
      <c r="AK271" s="4">
        <v>6.97</v>
      </c>
      <c r="AM271" s="4">
        <f t="shared" si="68"/>
        <v>2030</v>
      </c>
      <c r="AN271" s="337">
        <v>47515</v>
      </c>
      <c r="AO271" s="4">
        <f t="shared" si="69"/>
        <v>14.725000000000001</v>
      </c>
      <c r="AP271" s="4">
        <v>14.63</v>
      </c>
      <c r="AQ271" s="4">
        <v>14.82</v>
      </c>
    </row>
    <row r="272" spans="16:43">
      <c r="P272" s="4">
        <f t="shared" ref="P272:P335" si="70">+YEAR(Q272)</f>
        <v>2027</v>
      </c>
      <c r="Q272" s="396">
        <f t="shared" si="65"/>
        <v>46539</v>
      </c>
      <c r="R272" s="136">
        <v>92.96</v>
      </c>
      <c r="S272" s="136">
        <v>82.97</v>
      </c>
      <c r="T272" s="338">
        <f t="shared" si="62"/>
        <v>88.664299999999997</v>
      </c>
      <c r="U272" s="324">
        <v>416</v>
      </c>
      <c r="V272" s="324">
        <v>304</v>
      </c>
      <c r="W272" s="324">
        <f t="shared" ref="W272:W335" si="71">U272/(U272+V272)</f>
        <v>0.57777777777777772</v>
      </c>
      <c r="X272" s="324">
        <f t="shared" ref="X272:X335" si="72">V272/(U272+V272)</f>
        <v>0.42222222222222222</v>
      </c>
      <c r="AB272" s="4">
        <f t="shared" si="63"/>
        <v>2027</v>
      </c>
      <c r="AC272" s="394">
        <f t="shared" si="64"/>
        <v>46539</v>
      </c>
      <c r="AD272" s="135">
        <f t="shared" ref="AD272:AD335" si="73">AE272</f>
        <v>10.949657422512235</v>
      </c>
      <c r="AE272" s="136">
        <v>10.949657422512235</v>
      </c>
      <c r="AG272" s="4">
        <f t="shared" si="66"/>
        <v>2026</v>
      </c>
      <c r="AH272" s="394">
        <v>46142</v>
      </c>
      <c r="AI272" s="4">
        <f t="shared" si="67"/>
        <v>6.5449999999999999</v>
      </c>
      <c r="AJ272" s="4">
        <v>6.63</v>
      </c>
      <c r="AK272" s="4">
        <v>6.46</v>
      </c>
      <c r="AM272" s="4">
        <f t="shared" si="68"/>
        <v>2030</v>
      </c>
      <c r="AN272" s="337">
        <v>47543</v>
      </c>
      <c r="AO272" s="4">
        <f t="shared" si="69"/>
        <v>13.82</v>
      </c>
      <c r="AP272" s="4">
        <v>13.84</v>
      </c>
      <c r="AQ272" s="4">
        <v>13.8</v>
      </c>
    </row>
    <row r="273" spans="16:43">
      <c r="P273" s="4">
        <f t="shared" si="70"/>
        <v>2027</v>
      </c>
      <c r="Q273" s="396">
        <f t="shared" si="65"/>
        <v>46569</v>
      </c>
      <c r="R273" s="136">
        <v>88.54</v>
      </c>
      <c r="S273" s="136">
        <v>84.87</v>
      </c>
      <c r="T273" s="338">
        <f t="shared" si="62"/>
        <v>86.9619</v>
      </c>
      <c r="U273" s="324">
        <v>416</v>
      </c>
      <c r="V273" s="324">
        <v>328</v>
      </c>
      <c r="W273" s="324">
        <f t="shared" si="71"/>
        <v>0.55913978494623651</v>
      </c>
      <c r="X273" s="324">
        <f t="shared" si="72"/>
        <v>0.44086021505376344</v>
      </c>
      <c r="AB273" s="4">
        <f t="shared" si="63"/>
        <v>2027</v>
      </c>
      <c r="AC273" s="394">
        <f t="shared" si="64"/>
        <v>46569</v>
      </c>
      <c r="AD273" s="135">
        <f t="shared" si="73"/>
        <v>11.119586731919519</v>
      </c>
      <c r="AE273" s="136">
        <v>11.119586731919519</v>
      </c>
      <c r="AG273" s="4">
        <f t="shared" si="66"/>
        <v>2026</v>
      </c>
      <c r="AH273" s="394">
        <v>46173</v>
      </c>
      <c r="AI273" s="4">
        <f t="shared" si="67"/>
        <v>6.5449999999999999</v>
      </c>
      <c r="AJ273" s="4">
        <v>6.63</v>
      </c>
      <c r="AK273" s="4">
        <v>6.46</v>
      </c>
      <c r="AM273" s="4">
        <f t="shared" si="68"/>
        <v>2030</v>
      </c>
      <c r="AN273" s="337">
        <v>47574</v>
      </c>
      <c r="AO273" s="4">
        <f t="shared" si="69"/>
        <v>12.92</v>
      </c>
      <c r="AP273" s="4">
        <v>13.05</v>
      </c>
      <c r="AQ273" s="4">
        <v>12.79</v>
      </c>
    </row>
    <row r="274" spans="16:43">
      <c r="P274" s="4">
        <f t="shared" si="70"/>
        <v>2027</v>
      </c>
      <c r="Q274" s="396">
        <f t="shared" si="65"/>
        <v>46600</v>
      </c>
      <c r="R274" s="136">
        <v>88.98</v>
      </c>
      <c r="S274" s="136">
        <v>85.35</v>
      </c>
      <c r="T274" s="338">
        <f t="shared" si="62"/>
        <v>87.419099999999986</v>
      </c>
      <c r="U274" s="324">
        <v>416</v>
      </c>
      <c r="V274" s="324">
        <v>328</v>
      </c>
      <c r="W274" s="324">
        <f t="shared" si="71"/>
        <v>0.55913978494623651</v>
      </c>
      <c r="X274" s="324">
        <f t="shared" si="72"/>
        <v>0.44086021505376344</v>
      </c>
      <c r="AB274" s="4">
        <f t="shared" si="63"/>
        <v>2027</v>
      </c>
      <c r="AC274" s="394">
        <f t="shared" si="64"/>
        <v>46600</v>
      </c>
      <c r="AD274" s="135">
        <f t="shared" si="73"/>
        <v>11.119586731919519</v>
      </c>
      <c r="AE274" s="136">
        <v>11.119586731919519</v>
      </c>
      <c r="AG274" s="4">
        <f t="shared" si="66"/>
        <v>2026</v>
      </c>
      <c r="AH274" s="394">
        <v>46203</v>
      </c>
      <c r="AI274" s="4">
        <f t="shared" si="67"/>
        <v>6.6449999999999996</v>
      </c>
      <c r="AJ274" s="4">
        <v>6.73</v>
      </c>
      <c r="AK274" s="4">
        <v>6.56</v>
      </c>
      <c r="AM274" s="4">
        <f t="shared" si="68"/>
        <v>2030</v>
      </c>
      <c r="AN274" s="337">
        <v>47604</v>
      </c>
      <c r="AO274" s="4">
        <f t="shared" si="69"/>
        <v>12.92</v>
      </c>
      <c r="AP274" s="4">
        <v>13.05</v>
      </c>
      <c r="AQ274" s="4">
        <v>12.79</v>
      </c>
    </row>
    <row r="275" spans="16:43">
      <c r="P275" s="4">
        <f t="shared" si="70"/>
        <v>2027</v>
      </c>
      <c r="Q275" s="396">
        <f t="shared" si="65"/>
        <v>46631</v>
      </c>
      <c r="R275" s="136">
        <v>88.2</v>
      </c>
      <c r="S275" s="136">
        <v>82.71</v>
      </c>
      <c r="T275" s="338">
        <f t="shared" si="62"/>
        <v>85.83929999999998</v>
      </c>
      <c r="U275" s="324">
        <v>400</v>
      </c>
      <c r="V275" s="324">
        <v>320</v>
      </c>
      <c r="W275" s="324">
        <f t="shared" si="71"/>
        <v>0.55555555555555558</v>
      </c>
      <c r="X275" s="324">
        <f t="shared" si="72"/>
        <v>0.44444444444444442</v>
      </c>
      <c r="AB275" s="4">
        <f t="shared" si="63"/>
        <v>2027</v>
      </c>
      <c r="AC275" s="394">
        <f t="shared" si="64"/>
        <v>46631</v>
      </c>
      <c r="AD275" s="135">
        <f t="shared" si="73"/>
        <v>11.119586731919519</v>
      </c>
      <c r="AE275" s="136">
        <v>11.119586731919519</v>
      </c>
      <c r="AG275" s="4">
        <f t="shared" si="66"/>
        <v>2026</v>
      </c>
      <c r="AH275" s="394">
        <v>46234</v>
      </c>
      <c r="AI275" s="4">
        <f t="shared" si="67"/>
        <v>6.75</v>
      </c>
      <c r="AJ275" s="4">
        <v>6.83</v>
      </c>
      <c r="AK275" s="4">
        <v>6.67</v>
      </c>
      <c r="AM275" s="4">
        <f t="shared" si="68"/>
        <v>2030</v>
      </c>
      <c r="AN275" s="337">
        <v>47635</v>
      </c>
      <c r="AO275" s="4">
        <f t="shared" si="69"/>
        <v>13.120000000000001</v>
      </c>
      <c r="AP275" s="4">
        <v>13.25</v>
      </c>
      <c r="AQ275" s="4">
        <v>12.99</v>
      </c>
    </row>
    <row r="276" spans="16:43">
      <c r="P276" s="4">
        <f t="shared" si="70"/>
        <v>2027</v>
      </c>
      <c r="Q276" s="396">
        <f t="shared" si="65"/>
        <v>46661</v>
      </c>
      <c r="R276" s="136">
        <v>87.52</v>
      </c>
      <c r="S276" s="136">
        <v>76.41</v>
      </c>
      <c r="T276" s="338">
        <f t="shared" si="62"/>
        <v>82.742699999999985</v>
      </c>
      <c r="U276" s="324">
        <v>416</v>
      </c>
      <c r="V276" s="324">
        <v>328</v>
      </c>
      <c r="W276" s="324">
        <f t="shared" si="71"/>
        <v>0.55913978494623651</v>
      </c>
      <c r="X276" s="324">
        <f t="shared" si="72"/>
        <v>0.44086021505376344</v>
      </c>
      <c r="AB276" s="4">
        <f t="shared" si="63"/>
        <v>2027</v>
      </c>
      <c r="AC276" s="394">
        <f t="shared" si="64"/>
        <v>46661</v>
      </c>
      <c r="AD276" s="135">
        <f t="shared" si="73"/>
        <v>11.51042414355628</v>
      </c>
      <c r="AE276" s="136">
        <v>11.51042414355628</v>
      </c>
      <c r="AG276" s="4">
        <f t="shared" si="66"/>
        <v>2026</v>
      </c>
      <c r="AH276" s="394">
        <v>46265</v>
      </c>
      <c r="AI276" s="4">
        <f t="shared" si="67"/>
        <v>6.75</v>
      </c>
      <c r="AJ276" s="4">
        <v>6.83</v>
      </c>
      <c r="AK276" s="4">
        <v>6.67</v>
      </c>
      <c r="AM276" s="4">
        <f t="shared" si="68"/>
        <v>2030</v>
      </c>
      <c r="AN276" s="337">
        <v>47665</v>
      </c>
      <c r="AO276" s="4">
        <f t="shared" si="69"/>
        <v>13.32</v>
      </c>
      <c r="AP276" s="4">
        <v>13.45</v>
      </c>
      <c r="AQ276" s="4">
        <v>13.19</v>
      </c>
    </row>
    <row r="277" spans="16:43">
      <c r="P277" s="4">
        <f t="shared" si="70"/>
        <v>2027</v>
      </c>
      <c r="Q277" s="396">
        <f t="shared" si="65"/>
        <v>46692</v>
      </c>
      <c r="R277" s="136">
        <v>98.85</v>
      </c>
      <c r="S277" s="136">
        <v>86.68</v>
      </c>
      <c r="T277" s="338">
        <f t="shared" si="62"/>
        <v>93.616899999999987</v>
      </c>
      <c r="U277" s="324">
        <v>400</v>
      </c>
      <c r="V277" s="324">
        <v>320</v>
      </c>
      <c r="W277" s="324">
        <f t="shared" si="71"/>
        <v>0.55555555555555558</v>
      </c>
      <c r="X277" s="324">
        <f t="shared" si="72"/>
        <v>0.44444444444444442</v>
      </c>
      <c r="AB277" s="4">
        <f t="shared" si="63"/>
        <v>2027</v>
      </c>
      <c r="AC277" s="394">
        <f t="shared" si="64"/>
        <v>46692</v>
      </c>
      <c r="AD277" s="135">
        <f t="shared" si="73"/>
        <v>11.67695486677542</v>
      </c>
      <c r="AE277" s="136">
        <v>11.67695486677542</v>
      </c>
      <c r="AG277" s="4">
        <f t="shared" si="66"/>
        <v>2026</v>
      </c>
      <c r="AH277" s="394">
        <v>46295</v>
      </c>
      <c r="AI277" s="4">
        <f t="shared" si="67"/>
        <v>6.75</v>
      </c>
      <c r="AJ277" s="4">
        <v>6.83</v>
      </c>
      <c r="AK277" s="4">
        <v>6.67</v>
      </c>
      <c r="AM277" s="4">
        <f t="shared" si="68"/>
        <v>2030</v>
      </c>
      <c r="AN277" s="337">
        <v>47696</v>
      </c>
      <c r="AO277" s="4">
        <f t="shared" si="69"/>
        <v>13.32</v>
      </c>
      <c r="AP277" s="4">
        <v>13.45</v>
      </c>
      <c r="AQ277" s="4">
        <v>13.19</v>
      </c>
    </row>
    <row r="278" spans="16:43">
      <c r="P278" s="4">
        <f t="shared" si="70"/>
        <v>2027</v>
      </c>
      <c r="Q278" s="396">
        <f t="shared" si="65"/>
        <v>46722</v>
      </c>
      <c r="R278" s="136">
        <v>103.48</v>
      </c>
      <c r="S278" s="136">
        <v>94.9</v>
      </c>
      <c r="T278" s="338">
        <f t="shared" si="62"/>
        <v>99.790599999999998</v>
      </c>
      <c r="U278" s="324">
        <v>416</v>
      </c>
      <c r="V278" s="324">
        <v>328</v>
      </c>
      <c r="W278" s="324">
        <f t="shared" si="71"/>
        <v>0.55913978494623651</v>
      </c>
      <c r="X278" s="324">
        <f t="shared" si="72"/>
        <v>0.44086021505376344</v>
      </c>
      <c r="AB278" s="4">
        <f t="shared" si="63"/>
        <v>2027</v>
      </c>
      <c r="AC278" s="394">
        <f t="shared" si="64"/>
        <v>46722</v>
      </c>
      <c r="AD278" s="135">
        <f t="shared" si="73"/>
        <v>12.237721587819468</v>
      </c>
      <c r="AE278" s="136">
        <v>12.237721587819468</v>
      </c>
      <c r="AG278" s="4">
        <f t="shared" si="66"/>
        <v>2026</v>
      </c>
      <c r="AH278" s="394">
        <v>46326</v>
      </c>
      <c r="AI278" s="4">
        <f t="shared" si="67"/>
        <v>7</v>
      </c>
      <c r="AJ278" s="4">
        <v>7.03</v>
      </c>
      <c r="AK278" s="4">
        <v>6.97</v>
      </c>
      <c r="AM278" s="4">
        <f t="shared" si="68"/>
        <v>2030</v>
      </c>
      <c r="AN278" s="337">
        <v>47727</v>
      </c>
      <c r="AO278" s="4">
        <f t="shared" si="69"/>
        <v>13.32</v>
      </c>
      <c r="AP278" s="4">
        <v>13.45</v>
      </c>
      <c r="AQ278" s="4">
        <v>13.19</v>
      </c>
    </row>
    <row r="279" spans="16:43">
      <c r="P279" s="4">
        <f t="shared" si="70"/>
        <v>2028</v>
      </c>
      <c r="Q279" s="396">
        <f t="shared" si="65"/>
        <v>46753</v>
      </c>
      <c r="R279" s="136">
        <v>108.32</v>
      </c>
      <c r="S279" s="136">
        <v>97.76</v>
      </c>
      <c r="T279" s="338">
        <f t="shared" si="62"/>
        <v>103.77919999999999</v>
      </c>
      <c r="U279" s="324">
        <v>400</v>
      </c>
      <c r="V279" s="324">
        <v>344</v>
      </c>
      <c r="W279" s="324">
        <f t="shared" si="71"/>
        <v>0.5376344086021505</v>
      </c>
      <c r="X279" s="324">
        <f t="shared" si="72"/>
        <v>0.46236559139784944</v>
      </c>
      <c r="AB279" s="4">
        <f t="shared" si="63"/>
        <v>2028</v>
      </c>
      <c r="AC279" s="394">
        <f t="shared" si="64"/>
        <v>46753</v>
      </c>
      <c r="AD279" s="135">
        <f t="shared" si="73"/>
        <v>13.270891789015767</v>
      </c>
      <c r="AE279" s="136">
        <v>13.270891789015767</v>
      </c>
      <c r="AG279" s="4">
        <f t="shared" si="66"/>
        <v>2026</v>
      </c>
      <c r="AH279" s="394">
        <v>46356</v>
      </c>
      <c r="AI279" s="4">
        <f t="shared" si="67"/>
        <v>7.1050000000000004</v>
      </c>
      <c r="AJ279" s="4">
        <v>7.13</v>
      </c>
      <c r="AK279" s="4">
        <v>7.08</v>
      </c>
      <c r="AM279" s="4">
        <f t="shared" si="68"/>
        <v>2030</v>
      </c>
      <c r="AN279" s="337">
        <v>47757</v>
      </c>
      <c r="AO279" s="4">
        <f t="shared" si="69"/>
        <v>13.82</v>
      </c>
      <c r="AP279" s="4">
        <v>13.84</v>
      </c>
      <c r="AQ279" s="4">
        <v>13.8</v>
      </c>
    </row>
    <row r="280" spans="16:43">
      <c r="P280" s="4">
        <f t="shared" si="70"/>
        <v>2028</v>
      </c>
      <c r="Q280" s="396">
        <f t="shared" si="65"/>
        <v>46784</v>
      </c>
      <c r="R280" s="136">
        <v>101.95</v>
      </c>
      <c r="S280" s="136">
        <v>88.67</v>
      </c>
      <c r="T280" s="338">
        <f t="shared" ref="T280:T343" si="74">R280*0.57+S280*0.43</f>
        <v>96.239599999999996</v>
      </c>
      <c r="U280" s="324">
        <v>400</v>
      </c>
      <c r="V280" s="324">
        <v>296</v>
      </c>
      <c r="W280" s="324">
        <f t="shared" si="71"/>
        <v>0.57471264367816088</v>
      </c>
      <c r="X280" s="324">
        <f t="shared" si="72"/>
        <v>0.42528735632183906</v>
      </c>
      <c r="AB280" s="4">
        <f t="shared" si="63"/>
        <v>2028</v>
      </c>
      <c r="AC280" s="394">
        <f t="shared" si="64"/>
        <v>46784</v>
      </c>
      <c r="AD280" s="135">
        <f t="shared" si="73"/>
        <v>12.472224034801522</v>
      </c>
      <c r="AE280" s="136">
        <v>12.472224034801522</v>
      </c>
      <c r="AG280" s="4">
        <f t="shared" si="66"/>
        <v>2026</v>
      </c>
      <c r="AH280" s="394">
        <v>46387</v>
      </c>
      <c r="AI280" s="4">
        <f t="shared" si="67"/>
        <v>7.46</v>
      </c>
      <c r="AJ280" s="4">
        <v>7.43</v>
      </c>
      <c r="AK280" s="4">
        <v>7.49</v>
      </c>
      <c r="AM280" s="4">
        <f t="shared" si="68"/>
        <v>2030</v>
      </c>
      <c r="AN280" s="337">
        <v>47788</v>
      </c>
      <c r="AO280" s="4">
        <f t="shared" si="69"/>
        <v>14.024999999999999</v>
      </c>
      <c r="AP280" s="4">
        <v>14.04</v>
      </c>
      <c r="AQ280" s="4">
        <v>14.01</v>
      </c>
    </row>
    <row r="281" spans="16:43">
      <c r="P281" s="4">
        <f t="shared" si="70"/>
        <v>2028</v>
      </c>
      <c r="Q281" s="396">
        <f t="shared" si="65"/>
        <v>46813</v>
      </c>
      <c r="R281" s="136">
        <v>86.4</v>
      </c>
      <c r="S281" s="136">
        <v>77.260000000000005</v>
      </c>
      <c r="T281" s="338">
        <f t="shared" si="74"/>
        <v>82.469799999999992</v>
      </c>
      <c r="U281" s="324">
        <v>432</v>
      </c>
      <c r="V281" s="324">
        <v>312</v>
      </c>
      <c r="W281" s="324">
        <f t="shared" si="71"/>
        <v>0.58064516129032262</v>
      </c>
      <c r="X281" s="324">
        <f t="shared" si="72"/>
        <v>0.41935483870967744</v>
      </c>
      <c r="AB281" s="4">
        <f t="shared" si="63"/>
        <v>2028</v>
      </c>
      <c r="AC281" s="394">
        <f t="shared" si="64"/>
        <v>46813</v>
      </c>
      <c r="AD281" s="135">
        <f t="shared" si="73"/>
        <v>11.727933659597609</v>
      </c>
      <c r="AE281" s="136">
        <v>11.727933659597609</v>
      </c>
      <c r="AG281" s="4">
        <f t="shared" si="66"/>
        <v>2027</v>
      </c>
      <c r="AH281" s="394">
        <v>46418</v>
      </c>
      <c r="AI281" s="4">
        <f t="shared" si="67"/>
        <v>8.3000000000000007</v>
      </c>
      <c r="AJ281" s="4">
        <v>8.2100000000000009</v>
      </c>
      <c r="AK281" s="4">
        <v>8.39</v>
      </c>
      <c r="AM281" s="4">
        <f t="shared" si="68"/>
        <v>2030</v>
      </c>
      <c r="AN281" s="337">
        <v>47818</v>
      </c>
      <c r="AO281" s="4">
        <f t="shared" si="69"/>
        <v>14.725000000000001</v>
      </c>
      <c r="AP281" s="4">
        <v>14.63</v>
      </c>
      <c r="AQ281" s="4">
        <v>14.82</v>
      </c>
    </row>
    <row r="282" spans="16:43">
      <c r="P282" s="4">
        <f t="shared" si="70"/>
        <v>2028</v>
      </c>
      <c r="Q282" s="396">
        <f t="shared" si="65"/>
        <v>46844</v>
      </c>
      <c r="R282" s="136">
        <v>85.94</v>
      </c>
      <c r="S282" s="136">
        <v>81.87</v>
      </c>
      <c r="T282" s="338">
        <f t="shared" si="74"/>
        <v>84.189899999999994</v>
      </c>
      <c r="U282" s="324">
        <v>400</v>
      </c>
      <c r="V282" s="324">
        <v>320</v>
      </c>
      <c r="W282" s="324">
        <f t="shared" si="71"/>
        <v>0.55555555555555558</v>
      </c>
      <c r="X282" s="324">
        <f t="shared" si="72"/>
        <v>0.44444444444444442</v>
      </c>
      <c r="AB282" s="4">
        <f t="shared" si="63"/>
        <v>2028</v>
      </c>
      <c r="AC282" s="394">
        <f t="shared" si="64"/>
        <v>46844</v>
      </c>
      <c r="AD282" s="135">
        <f t="shared" si="73"/>
        <v>11.099195214790647</v>
      </c>
      <c r="AE282" s="136">
        <v>11.099195214790647</v>
      </c>
      <c r="AG282" s="4">
        <f t="shared" si="66"/>
        <v>2027</v>
      </c>
      <c r="AH282" s="394">
        <v>46446</v>
      </c>
      <c r="AI282" s="4">
        <f t="shared" si="67"/>
        <v>7.7200000000000006</v>
      </c>
      <c r="AJ282" s="4">
        <v>7.69</v>
      </c>
      <c r="AK282" s="4">
        <v>7.75</v>
      </c>
      <c r="AM282" s="4">
        <f t="shared" si="68"/>
        <v>2031</v>
      </c>
      <c r="AN282" s="337">
        <v>47849</v>
      </c>
      <c r="AO282" s="4">
        <f t="shared" si="69"/>
        <v>16.13</v>
      </c>
      <c r="AP282" s="4">
        <v>15.92</v>
      </c>
      <c r="AQ282" s="4">
        <v>16.34</v>
      </c>
    </row>
    <row r="283" spans="16:43">
      <c r="P283" s="4">
        <f t="shared" si="70"/>
        <v>2028</v>
      </c>
      <c r="Q283" s="396">
        <f t="shared" si="65"/>
        <v>46874</v>
      </c>
      <c r="R283" s="136">
        <v>87.51</v>
      </c>
      <c r="S283" s="136">
        <v>82.32</v>
      </c>
      <c r="T283" s="338">
        <f t="shared" si="74"/>
        <v>85.278300000000002</v>
      </c>
      <c r="U283" s="324">
        <v>416</v>
      </c>
      <c r="V283" s="324">
        <v>328</v>
      </c>
      <c r="W283" s="324">
        <f t="shared" si="71"/>
        <v>0.55913978494623651</v>
      </c>
      <c r="X283" s="324">
        <f t="shared" si="72"/>
        <v>0.44086021505376344</v>
      </c>
      <c r="AB283" s="4">
        <f t="shared" si="63"/>
        <v>2028</v>
      </c>
      <c r="AC283" s="394">
        <f t="shared" si="64"/>
        <v>46874</v>
      </c>
      <c r="AD283" s="135">
        <f t="shared" si="73"/>
        <v>10.983643284393692</v>
      </c>
      <c r="AE283" s="136">
        <v>10.983643284393692</v>
      </c>
      <c r="AG283" s="4">
        <f t="shared" si="66"/>
        <v>2027</v>
      </c>
      <c r="AH283" s="394">
        <v>46477</v>
      </c>
      <c r="AI283" s="4">
        <f t="shared" si="67"/>
        <v>7.25</v>
      </c>
      <c r="AJ283" s="4">
        <v>7.28</v>
      </c>
      <c r="AK283" s="4">
        <v>7.22</v>
      </c>
      <c r="AM283" s="4">
        <f t="shared" si="68"/>
        <v>2031</v>
      </c>
      <c r="AN283" s="337">
        <v>47880</v>
      </c>
      <c r="AO283" s="4">
        <f t="shared" si="69"/>
        <v>15.004999999999999</v>
      </c>
      <c r="AP283" s="4">
        <v>14.91</v>
      </c>
      <c r="AQ283" s="4">
        <v>15.1</v>
      </c>
    </row>
    <row r="284" spans="16:43">
      <c r="P284" s="4">
        <f t="shared" si="70"/>
        <v>2028</v>
      </c>
      <c r="Q284" s="396">
        <f t="shared" si="65"/>
        <v>46905</v>
      </c>
      <c r="R284" s="136">
        <v>94.73</v>
      </c>
      <c r="S284" s="136">
        <v>84.54</v>
      </c>
      <c r="T284" s="338">
        <f t="shared" si="74"/>
        <v>90.348299999999995</v>
      </c>
      <c r="U284" s="324">
        <v>416</v>
      </c>
      <c r="V284" s="324">
        <v>304</v>
      </c>
      <c r="W284" s="324">
        <f t="shared" si="71"/>
        <v>0.57777777777777772</v>
      </c>
      <c r="X284" s="324">
        <f t="shared" si="72"/>
        <v>0.42222222222222222</v>
      </c>
      <c r="AB284" s="4">
        <f t="shared" ref="AB284:AB347" si="75">+YEAR(AC284)</f>
        <v>2028</v>
      </c>
      <c r="AC284" s="394">
        <f t="shared" si="64"/>
        <v>46905</v>
      </c>
      <c r="AD284" s="135">
        <f t="shared" si="73"/>
        <v>11.156971179989123</v>
      </c>
      <c r="AE284" s="136">
        <v>11.156971179989123</v>
      </c>
      <c r="AG284" s="4">
        <f t="shared" si="66"/>
        <v>2027</v>
      </c>
      <c r="AH284" s="394">
        <v>46507</v>
      </c>
      <c r="AI284" s="4">
        <f t="shared" si="67"/>
        <v>6.7750000000000004</v>
      </c>
      <c r="AJ284" s="4">
        <v>6.86</v>
      </c>
      <c r="AK284" s="4">
        <v>6.69</v>
      </c>
      <c r="AM284" s="4">
        <f t="shared" si="68"/>
        <v>2031</v>
      </c>
      <c r="AN284" s="337">
        <v>47908</v>
      </c>
      <c r="AO284" s="4">
        <f t="shared" si="69"/>
        <v>14.09</v>
      </c>
      <c r="AP284" s="4">
        <v>14.11</v>
      </c>
      <c r="AQ284" s="4">
        <v>14.07</v>
      </c>
    </row>
    <row r="285" spans="16:43">
      <c r="P285" s="4">
        <f t="shared" si="70"/>
        <v>2028</v>
      </c>
      <c r="Q285" s="396">
        <f t="shared" si="65"/>
        <v>46935</v>
      </c>
      <c r="R285" s="136">
        <v>90.22</v>
      </c>
      <c r="S285" s="136">
        <v>86.48</v>
      </c>
      <c r="T285" s="338">
        <f t="shared" si="74"/>
        <v>88.611799999999988</v>
      </c>
      <c r="U285" s="324">
        <v>400</v>
      </c>
      <c r="V285" s="324">
        <v>344</v>
      </c>
      <c r="W285" s="324">
        <f t="shared" si="71"/>
        <v>0.5376344086021505</v>
      </c>
      <c r="X285" s="324">
        <f t="shared" si="72"/>
        <v>0.46236559139784944</v>
      </c>
      <c r="AB285" s="4">
        <f t="shared" si="75"/>
        <v>2028</v>
      </c>
      <c r="AC285" s="394">
        <f t="shared" ref="AC285:AC348" si="76">EOMONTH(AC284,0)+1</f>
        <v>46935</v>
      </c>
      <c r="AD285" s="135">
        <f t="shared" si="73"/>
        <v>11.330299075584557</v>
      </c>
      <c r="AE285" s="136">
        <v>11.330299075584557</v>
      </c>
      <c r="AG285" s="4">
        <f t="shared" si="66"/>
        <v>2027</v>
      </c>
      <c r="AH285" s="394">
        <v>46538</v>
      </c>
      <c r="AI285" s="4">
        <f t="shared" si="67"/>
        <v>6.7750000000000004</v>
      </c>
      <c r="AJ285" s="4">
        <v>6.86</v>
      </c>
      <c r="AK285" s="4">
        <v>6.69</v>
      </c>
      <c r="AM285" s="4">
        <f t="shared" si="68"/>
        <v>2031</v>
      </c>
      <c r="AN285" s="337">
        <v>47939</v>
      </c>
      <c r="AO285" s="4">
        <f t="shared" si="69"/>
        <v>13.164999999999999</v>
      </c>
      <c r="AP285" s="4">
        <v>13.3</v>
      </c>
      <c r="AQ285" s="4">
        <v>13.03</v>
      </c>
    </row>
    <row r="286" spans="16:43">
      <c r="P286" s="4">
        <f t="shared" si="70"/>
        <v>2028</v>
      </c>
      <c r="Q286" s="396">
        <f t="shared" si="65"/>
        <v>46966</v>
      </c>
      <c r="R286" s="136">
        <v>90.67</v>
      </c>
      <c r="S286" s="136">
        <v>86.97</v>
      </c>
      <c r="T286" s="338">
        <f t="shared" si="74"/>
        <v>89.079000000000008</v>
      </c>
      <c r="U286" s="324">
        <v>432</v>
      </c>
      <c r="V286" s="324">
        <v>312</v>
      </c>
      <c r="W286" s="324">
        <f t="shared" si="71"/>
        <v>0.58064516129032262</v>
      </c>
      <c r="X286" s="324">
        <f t="shared" si="72"/>
        <v>0.41935483870967744</v>
      </c>
      <c r="AB286" s="4">
        <f t="shared" si="75"/>
        <v>2028</v>
      </c>
      <c r="AC286" s="394">
        <f t="shared" si="76"/>
        <v>46966</v>
      </c>
      <c r="AD286" s="135">
        <f t="shared" si="73"/>
        <v>11.330299075584557</v>
      </c>
      <c r="AE286" s="136">
        <v>11.330299075584557</v>
      </c>
      <c r="AG286" s="4">
        <f t="shared" si="66"/>
        <v>2027</v>
      </c>
      <c r="AH286" s="394">
        <v>46568</v>
      </c>
      <c r="AI286" s="4">
        <f t="shared" si="67"/>
        <v>6.88</v>
      </c>
      <c r="AJ286" s="4">
        <v>6.97</v>
      </c>
      <c r="AK286" s="4">
        <v>6.79</v>
      </c>
      <c r="AM286" s="4">
        <f t="shared" si="68"/>
        <v>2031</v>
      </c>
      <c r="AN286" s="337">
        <v>47969</v>
      </c>
      <c r="AO286" s="4">
        <f t="shared" si="69"/>
        <v>13.164999999999999</v>
      </c>
      <c r="AP286" s="4">
        <v>13.3</v>
      </c>
      <c r="AQ286" s="4">
        <v>13.03</v>
      </c>
    </row>
    <row r="287" spans="16:43">
      <c r="P287" s="4">
        <f t="shared" si="70"/>
        <v>2028</v>
      </c>
      <c r="Q287" s="396">
        <f t="shared" si="65"/>
        <v>46997</v>
      </c>
      <c r="R287" s="136">
        <v>89.87</v>
      </c>
      <c r="S287" s="136">
        <v>84.28</v>
      </c>
      <c r="T287" s="338">
        <f t="shared" si="74"/>
        <v>87.46629999999999</v>
      </c>
      <c r="U287" s="324">
        <v>400</v>
      </c>
      <c r="V287" s="324">
        <v>320</v>
      </c>
      <c r="W287" s="324">
        <f t="shared" si="71"/>
        <v>0.55555555555555558</v>
      </c>
      <c r="X287" s="324">
        <f t="shared" si="72"/>
        <v>0.44444444444444442</v>
      </c>
      <c r="AB287" s="4">
        <f t="shared" si="75"/>
        <v>2028</v>
      </c>
      <c r="AC287" s="394">
        <f t="shared" si="76"/>
        <v>46997</v>
      </c>
      <c r="AD287" s="135">
        <f t="shared" si="73"/>
        <v>11.330299075584557</v>
      </c>
      <c r="AE287" s="136">
        <v>11.330299075584557</v>
      </c>
      <c r="AG287" s="4">
        <f t="shared" si="66"/>
        <v>2027</v>
      </c>
      <c r="AH287" s="394">
        <v>46599</v>
      </c>
      <c r="AI287" s="4">
        <f t="shared" si="67"/>
        <v>6.9850000000000003</v>
      </c>
      <c r="AJ287" s="4">
        <v>7.07</v>
      </c>
      <c r="AK287" s="4">
        <v>6.9</v>
      </c>
      <c r="AM287" s="4">
        <f t="shared" si="68"/>
        <v>2031</v>
      </c>
      <c r="AN287" s="337">
        <v>48000</v>
      </c>
      <c r="AO287" s="4">
        <f t="shared" si="69"/>
        <v>13.370000000000001</v>
      </c>
      <c r="AP287" s="4">
        <v>13.5</v>
      </c>
      <c r="AQ287" s="4">
        <v>13.24</v>
      </c>
    </row>
    <row r="288" spans="16:43">
      <c r="P288" s="4">
        <f t="shared" si="70"/>
        <v>2028</v>
      </c>
      <c r="Q288" s="396">
        <f t="shared" si="65"/>
        <v>47027</v>
      </c>
      <c r="R288" s="136">
        <v>89.19</v>
      </c>
      <c r="S288" s="136">
        <v>77.86</v>
      </c>
      <c r="T288" s="338">
        <f t="shared" si="74"/>
        <v>84.318099999999987</v>
      </c>
      <c r="U288" s="324">
        <v>416</v>
      </c>
      <c r="V288" s="324">
        <v>328</v>
      </c>
      <c r="W288" s="324">
        <f t="shared" si="71"/>
        <v>0.55913978494623651</v>
      </c>
      <c r="X288" s="324">
        <f t="shared" si="72"/>
        <v>0.44086021505376344</v>
      </c>
      <c r="AB288" s="4">
        <f t="shared" si="75"/>
        <v>2028</v>
      </c>
      <c r="AC288" s="394">
        <f t="shared" si="76"/>
        <v>47027</v>
      </c>
      <c r="AD288" s="135">
        <f t="shared" si="73"/>
        <v>11.727933659597609</v>
      </c>
      <c r="AE288" s="136">
        <v>11.727933659597609</v>
      </c>
      <c r="AG288" s="4">
        <f t="shared" si="66"/>
        <v>2027</v>
      </c>
      <c r="AH288" s="394">
        <v>46630</v>
      </c>
      <c r="AI288" s="4">
        <f t="shared" si="67"/>
        <v>6.9850000000000003</v>
      </c>
      <c r="AJ288" s="4">
        <v>7.07</v>
      </c>
      <c r="AK288" s="4">
        <v>6.9</v>
      </c>
      <c r="AM288" s="4">
        <f t="shared" si="68"/>
        <v>2031</v>
      </c>
      <c r="AN288" s="337">
        <v>48030</v>
      </c>
      <c r="AO288" s="4">
        <f t="shared" si="69"/>
        <v>13.57</v>
      </c>
      <c r="AP288" s="4">
        <v>13.7</v>
      </c>
      <c r="AQ288" s="4">
        <v>13.44</v>
      </c>
    </row>
    <row r="289" spans="16:43">
      <c r="P289" s="4">
        <f t="shared" si="70"/>
        <v>2028</v>
      </c>
      <c r="Q289" s="396">
        <f t="shared" si="65"/>
        <v>47058</v>
      </c>
      <c r="R289" s="136">
        <v>100.73</v>
      </c>
      <c r="S289" s="136">
        <v>88.33</v>
      </c>
      <c r="T289" s="338">
        <f t="shared" si="74"/>
        <v>95.397999999999996</v>
      </c>
      <c r="U289" s="324">
        <v>400</v>
      </c>
      <c r="V289" s="324">
        <v>320</v>
      </c>
      <c r="W289" s="324">
        <f t="shared" si="71"/>
        <v>0.55555555555555558</v>
      </c>
      <c r="X289" s="324">
        <f t="shared" si="72"/>
        <v>0.44444444444444442</v>
      </c>
      <c r="AB289" s="4">
        <f t="shared" si="75"/>
        <v>2028</v>
      </c>
      <c r="AC289" s="394">
        <f t="shared" si="76"/>
        <v>47058</v>
      </c>
      <c r="AD289" s="135">
        <f t="shared" si="73"/>
        <v>11.897862969004894</v>
      </c>
      <c r="AE289" s="136">
        <v>11.897862969004894</v>
      </c>
      <c r="AG289" s="4">
        <f t="shared" si="66"/>
        <v>2027</v>
      </c>
      <c r="AH289" s="394">
        <v>46660</v>
      </c>
      <c r="AI289" s="4">
        <f t="shared" si="67"/>
        <v>6.9850000000000003</v>
      </c>
      <c r="AJ289" s="4">
        <v>7.07</v>
      </c>
      <c r="AK289" s="4">
        <v>6.9</v>
      </c>
      <c r="AM289" s="4">
        <f t="shared" si="68"/>
        <v>2031</v>
      </c>
      <c r="AN289" s="337">
        <v>48061</v>
      </c>
      <c r="AO289" s="4">
        <f t="shared" si="69"/>
        <v>13.57</v>
      </c>
      <c r="AP289" s="4">
        <v>13.7</v>
      </c>
      <c r="AQ289" s="4">
        <v>13.44</v>
      </c>
    </row>
    <row r="290" spans="16:43">
      <c r="P290" s="4">
        <f t="shared" si="70"/>
        <v>2028</v>
      </c>
      <c r="Q290" s="396">
        <f t="shared" si="65"/>
        <v>47088</v>
      </c>
      <c r="R290" s="136">
        <v>105.45</v>
      </c>
      <c r="S290" s="136">
        <v>96.7</v>
      </c>
      <c r="T290" s="338">
        <f t="shared" si="74"/>
        <v>101.6875</v>
      </c>
      <c r="U290" s="324">
        <v>400</v>
      </c>
      <c r="V290" s="324">
        <v>344</v>
      </c>
      <c r="W290" s="324">
        <f t="shared" si="71"/>
        <v>0.5376344086021505</v>
      </c>
      <c r="X290" s="324">
        <f t="shared" si="72"/>
        <v>0.46236559139784944</v>
      </c>
      <c r="AB290" s="4">
        <f t="shared" si="75"/>
        <v>2028</v>
      </c>
      <c r="AC290" s="394">
        <f t="shared" si="76"/>
        <v>47088</v>
      </c>
      <c r="AD290" s="135">
        <f t="shared" si="73"/>
        <v>12.472224034801522</v>
      </c>
      <c r="AE290" s="136">
        <v>12.472224034801522</v>
      </c>
      <c r="AG290" s="4">
        <f t="shared" si="66"/>
        <v>2027</v>
      </c>
      <c r="AH290" s="394">
        <v>46691</v>
      </c>
      <c r="AI290" s="4">
        <f t="shared" si="67"/>
        <v>7.25</v>
      </c>
      <c r="AJ290" s="4">
        <v>7.28</v>
      </c>
      <c r="AK290" s="4">
        <v>7.22</v>
      </c>
      <c r="AM290" s="4">
        <f t="shared" si="68"/>
        <v>2031</v>
      </c>
      <c r="AN290" s="337">
        <v>48092</v>
      </c>
      <c r="AO290" s="4">
        <f t="shared" si="69"/>
        <v>13.57</v>
      </c>
      <c r="AP290" s="4">
        <v>13.7</v>
      </c>
      <c r="AQ290" s="4">
        <v>13.44</v>
      </c>
    </row>
    <row r="291" spans="16:43">
      <c r="P291" s="4">
        <f t="shared" si="70"/>
        <v>2029</v>
      </c>
      <c r="Q291" s="396">
        <f t="shared" si="65"/>
        <v>47119</v>
      </c>
      <c r="R291" s="136">
        <v>110.37</v>
      </c>
      <c r="S291" s="136">
        <v>99.61</v>
      </c>
      <c r="T291" s="338">
        <f t="shared" si="74"/>
        <v>105.7432</v>
      </c>
      <c r="U291" s="324">
        <v>416</v>
      </c>
      <c r="V291" s="324">
        <v>328</v>
      </c>
      <c r="W291" s="324">
        <f t="shared" si="71"/>
        <v>0.55913978494623651</v>
      </c>
      <c r="X291" s="324">
        <f t="shared" si="72"/>
        <v>0.44086021505376344</v>
      </c>
      <c r="AB291" s="4">
        <f t="shared" si="75"/>
        <v>2029</v>
      </c>
      <c r="AC291" s="394">
        <f t="shared" si="76"/>
        <v>47119</v>
      </c>
      <c r="AD291" s="135">
        <f t="shared" si="73"/>
        <v>13.522387166938554</v>
      </c>
      <c r="AE291" s="136">
        <v>13.522387166938554</v>
      </c>
      <c r="AG291" s="4">
        <f t="shared" si="66"/>
        <v>2027</v>
      </c>
      <c r="AH291" s="394">
        <v>46721</v>
      </c>
      <c r="AI291" s="4">
        <f t="shared" si="67"/>
        <v>7.35</v>
      </c>
      <c r="AJ291" s="4">
        <v>7.38</v>
      </c>
      <c r="AK291" s="4">
        <v>7.32</v>
      </c>
      <c r="AM291" s="4">
        <f t="shared" si="68"/>
        <v>2031</v>
      </c>
      <c r="AN291" s="337">
        <v>48122</v>
      </c>
      <c r="AO291" s="4">
        <f t="shared" si="69"/>
        <v>14.09</v>
      </c>
      <c r="AP291" s="4">
        <v>14.11</v>
      </c>
      <c r="AQ291" s="4">
        <v>14.07</v>
      </c>
    </row>
    <row r="292" spans="16:43">
      <c r="P292" s="4">
        <f t="shared" si="70"/>
        <v>2029</v>
      </c>
      <c r="Q292" s="396">
        <f t="shared" si="65"/>
        <v>47150</v>
      </c>
      <c r="R292" s="136">
        <v>103.88</v>
      </c>
      <c r="S292" s="136">
        <v>90.35</v>
      </c>
      <c r="T292" s="338">
        <f t="shared" si="74"/>
        <v>98.062099999999987</v>
      </c>
      <c r="U292" s="324">
        <v>384</v>
      </c>
      <c r="V292" s="324">
        <v>288</v>
      </c>
      <c r="W292" s="324">
        <f t="shared" si="71"/>
        <v>0.5714285714285714</v>
      </c>
      <c r="X292" s="324">
        <f t="shared" si="72"/>
        <v>0.42857142857142855</v>
      </c>
      <c r="AB292" s="4">
        <f t="shared" si="75"/>
        <v>2029</v>
      </c>
      <c r="AC292" s="394">
        <f t="shared" si="76"/>
        <v>47150</v>
      </c>
      <c r="AD292" s="135">
        <f t="shared" si="73"/>
        <v>12.706726481783576</v>
      </c>
      <c r="AE292" s="136">
        <v>12.706726481783576</v>
      </c>
      <c r="AG292" s="4">
        <f t="shared" si="66"/>
        <v>2027</v>
      </c>
      <c r="AH292" s="394">
        <v>46752</v>
      </c>
      <c r="AI292" s="4">
        <f t="shared" si="67"/>
        <v>7.7200000000000006</v>
      </c>
      <c r="AJ292" s="4">
        <v>7.69</v>
      </c>
      <c r="AK292" s="4">
        <v>7.75</v>
      </c>
      <c r="AM292" s="4">
        <f t="shared" si="68"/>
        <v>2031</v>
      </c>
      <c r="AN292" s="337">
        <v>48153</v>
      </c>
      <c r="AO292" s="4">
        <f t="shared" si="69"/>
        <v>14.29</v>
      </c>
      <c r="AP292" s="4">
        <v>14.31</v>
      </c>
      <c r="AQ292" s="4">
        <v>14.27</v>
      </c>
    </row>
    <row r="293" spans="16:43">
      <c r="P293" s="4">
        <f t="shared" si="70"/>
        <v>2029</v>
      </c>
      <c r="Q293" s="396">
        <f t="shared" si="65"/>
        <v>47178</v>
      </c>
      <c r="R293" s="136">
        <v>88.05</v>
      </c>
      <c r="S293" s="136">
        <v>78.73</v>
      </c>
      <c r="T293" s="338">
        <f t="shared" si="74"/>
        <v>84.042399999999986</v>
      </c>
      <c r="U293" s="324">
        <v>432</v>
      </c>
      <c r="V293" s="324">
        <v>312</v>
      </c>
      <c r="W293" s="324">
        <f t="shared" si="71"/>
        <v>0.58064516129032262</v>
      </c>
      <c r="X293" s="324">
        <f t="shared" si="72"/>
        <v>0.41935483870967744</v>
      </c>
      <c r="AB293" s="4">
        <f t="shared" si="75"/>
        <v>2029</v>
      </c>
      <c r="AC293" s="394">
        <f t="shared" si="76"/>
        <v>47178</v>
      </c>
      <c r="AD293" s="135">
        <f t="shared" si="73"/>
        <v>11.952240348015225</v>
      </c>
      <c r="AE293" s="136">
        <v>11.952240348015225</v>
      </c>
      <c r="AG293" s="4">
        <f t="shared" si="66"/>
        <v>2028</v>
      </c>
      <c r="AH293" s="394">
        <v>46783</v>
      </c>
      <c r="AI293" s="4">
        <f t="shared" si="67"/>
        <v>8.59</v>
      </c>
      <c r="AJ293" s="4">
        <v>8.5</v>
      </c>
      <c r="AK293" s="4">
        <v>8.68</v>
      </c>
      <c r="AM293" s="4">
        <f t="shared" si="68"/>
        <v>2031</v>
      </c>
      <c r="AN293" s="337">
        <v>48183</v>
      </c>
      <c r="AO293" s="4">
        <f t="shared" si="69"/>
        <v>15.004999999999999</v>
      </c>
      <c r="AP293" s="4">
        <v>14.91</v>
      </c>
      <c r="AQ293" s="4">
        <v>15.1</v>
      </c>
    </row>
    <row r="294" spans="16:43">
      <c r="P294" s="4">
        <f t="shared" si="70"/>
        <v>2029</v>
      </c>
      <c r="Q294" s="396">
        <f t="shared" si="65"/>
        <v>47209</v>
      </c>
      <c r="R294" s="136">
        <v>87.57</v>
      </c>
      <c r="S294" s="136">
        <v>83.43</v>
      </c>
      <c r="T294" s="338">
        <f t="shared" si="74"/>
        <v>85.789799999999985</v>
      </c>
      <c r="U294" s="324">
        <v>400</v>
      </c>
      <c r="V294" s="324">
        <v>320</v>
      </c>
      <c r="W294" s="324">
        <f t="shared" si="71"/>
        <v>0.55555555555555558</v>
      </c>
      <c r="X294" s="324">
        <f t="shared" si="72"/>
        <v>0.44444444444444442</v>
      </c>
      <c r="AB294" s="4">
        <f t="shared" si="75"/>
        <v>2029</v>
      </c>
      <c r="AC294" s="394">
        <f t="shared" si="76"/>
        <v>47209</v>
      </c>
      <c r="AD294" s="135">
        <f t="shared" si="73"/>
        <v>11.309907558455681</v>
      </c>
      <c r="AE294" s="136">
        <v>11.309907558455681</v>
      </c>
      <c r="AG294" s="4">
        <f t="shared" si="66"/>
        <v>2028</v>
      </c>
      <c r="AH294" s="394">
        <v>46812</v>
      </c>
      <c r="AI294" s="4">
        <f t="shared" si="67"/>
        <v>7.99</v>
      </c>
      <c r="AJ294" s="4">
        <v>7.96</v>
      </c>
      <c r="AK294" s="4">
        <v>8.02</v>
      </c>
      <c r="AM294" s="4">
        <f t="shared" si="68"/>
        <v>2032</v>
      </c>
      <c r="AN294" s="337">
        <v>48214</v>
      </c>
      <c r="AO294" s="4">
        <f t="shared" si="69"/>
        <v>16.434999999999999</v>
      </c>
      <c r="AP294" s="4">
        <v>16.22</v>
      </c>
      <c r="AQ294" s="4">
        <v>16.649999999999999</v>
      </c>
    </row>
    <row r="295" spans="16:43">
      <c r="P295" s="4">
        <f t="shared" si="70"/>
        <v>2029</v>
      </c>
      <c r="Q295" s="396">
        <f t="shared" si="65"/>
        <v>47239</v>
      </c>
      <c r="R295" s="136">
        <v>89.18</v>
      </c>
      <c r="S295" s="136">
        <v>83.88</v>
      </c>
      <c r="T295" s="338">
        <f t="shared" si="74"/>
        <v>86.900999999999996</v>
      </c>
      <c r="U295" s="324">
        <v>416</v>
      </c>
      <c r="V295" s="324">
        <v>328</v>
      </c>
      <c r="W295" s="324">
        <f t="shared" si="71"/>
        <v>0.55913978494623651</v>
      </c>
      <c r="X295" s="324">
        <f t="shared" si="72"/>
        <v>0.44086021505376344</v>
      </c>
      <c r="AB295" s="4">
        <f t="shared" si="75"/>
        <v>2029</v>
      </c>
      <c r="AC295" s="394">
        <f t="shared" si="76"/>
        <v>47239</v>
      </c>
      <c r="AD295" s="135">
        <f t="shared" si="73"/>
        <v>11.194355628058725</v>
      </c>
      <c r="AE295" s="136">
        <v>11.194355628058725</v>
      </c>
      <c r="AG295" s="4">
        <f t="shared" si="66"/>
        <v>2028</v>
      </c>
      <c r="AH295" s="394">
        <v>46843</v>
      </c>
      <c r="AI295" s="4">
        <f t="shared" si="67"/>
        <v>7.5</v>
      </c>
      <c r="AJ295" s="4">
        <v>7.53</v>
      </c>
      <c r="AK295" s="4">
        <v>7.47</v>
      </c>
      <c r="AM295" s="4">
        <f t="shared" si="68"/>
        <v>2032</v>
      </c>
      <c r="AN295" s="337">
        <v>48245</v>
      </c>
      <c r="AO295" s="4">
        <f t="shared" si="69"/>
        <v>15.29</v>
      </c>
      <c r="AP295" s="4">
        <v>15.19</v>
      </c>
      <c r="AQ295" s="4">
        <v>15.39</v>
      </c>
    </row>
    <row r="296" spans="16:43">
      <c r="P296" s="4">
        <f t="shared" si="70"/>
        <v>2029</v>
      </c>
      <c r="Q296" s="396">
        <f t="shared" ref="Q296:Q359" si="77">EOMONTH(Q295,0)+1</f>
        <v>47270</v>
      </c>
      <c r="R296" s="136">
        <v>96.53</v>
      </c>
      <c r="S296" s="136">
        <v>86.15</v>
      </c>
      <c r="T296" s="338">
        <f t="shared" si="74"/>
        <v>92.066599999999994</v>
      </c>
      <c r="U296" s="324">
        <v>416</v>
      </c>
      <c r="V296" s="324">
        <v>304</v>
      </c>
      <c r="W296" s="324">
        <f t="shared" si="71"/>
        <v>0.57777777777777772</v>
      </c>
      <c r="X296" s="324">
        <f t="shared" si="72"/>
        <v>0.42222222222222222</v>
      </c>
      <c r="AB296" s="4">
        <f t="shared" si="75"/>
        <v>2029</v>
      </c>
      <c r="AC296" s="394">
        <f t="shared" si="76"/>
        <v>47270</v>
      </c>
      <c r="AD296" s="135">
        <f t="shared" si="73"/>
        <v>11.367683523654158</v>
      </c>
      <c r="AE296" s="136">
        <v>11.367683523654158</v>
      </c>
      <c r="AG296" s="4">
        <f t="shared" si="66"/>
        <v>2028</v>
      </c>
      <c r="AH296" s="394">
        <v>46873</v>
      </c>
      <c r="AI296" s="4">
        <f t="shared" si="67"/>
        <v>7.01</v>
      </c>
      <c r="AJ296" s="4">
        <v>7.1</v>
      </c>
      <c r="AK296" s="4">
        <v>6.92</v>
      </c>
      <c r="AM296" s="4">
        <f t="shared" si="68"/>
        <v>2032</v>
      </c>
      <c r="AN296" s="337">
        <v>48274</v>
      </c>
      <c r="AO296" s="4">
        <f t="shared" si="69"/>
        <v>14.35</v>
      </c>
      <c r="AP296" s="4">
        <v>14.37</v>
      </c>
      <c r="AQ296" s="4">
        <v>14.33</v>
      </c>
    </row>
    <row r="297" spans="16:43">
      <c r="P297" s="4">
        <f t="shared" si="70"/>
        <v>2029</v>
      </c>
      <c r="Q297" s="396">
        <f t="shared" si="77"/>
        <v>47300</v>
      </c>
      <c r="R297" s="136">
        <v>91.94</v>
      </c>
      <c r="S297" s="136">
        <v>88.12</v>
      </c>
      <c r="T297" s="338">
        <f t="shared" si="74"/>
        <v>90.297399999999996</v>
      </c>
      <c r="U297" s="324">
        <v>400</v>
      </c>
      <c r="V297" s="324">
        <v>344</v>
      </c>
      <c r="W297" s="324">
        <f t="shared" si="71"/>
        <v>0.5376344086021505</v>
      </c>
      <c r="X297" s="324">
        <f t="shared" si="72"/>
        <v>0.46236559139784944</v>
      </c>
      <c r="AB297" s="4">
        <f t="shared" si="75"/>
        <v>2029</v>
      </c>
      <c r="AC297" s="394">
        <f t="shared" si="76"/>
        <v>47300</v>
      </c>
      <c r="AD297" s="135">
        <f t="shared" si="73"/>
        <v>11.541011419249593</v>
      </c>
      <c r="AE297" s="136">
        <v>11.541011419249593</v>
      </c>
      <c r="AG297" s="4">
        <f t="shared" si="66"/>
        <v>2028</v>
      </c>
      <c r="AH297" s="394">
        <v>46904</v>
      </c>
      <c r="AI297" s="4">
        <f t="shared" si="67"/>
        <v>7.01</v>
      </c>
      <c r="AJ297" s="4">
        <v>7.1</v>
      </c>
      <c r="AK297" s="4">
        <v>6.92</v>
      </c>
      <c r="AM297" s="4">
        <f t="shared" si="68"/>
        <v>2032</v>
      </c>
      <c r="AN297" s="337">
        <v>48305</v>
      </c>
      <c r="AO297" s="4">
        <f t="shared" si="69"/>
        <v>13.414999999999999</v>
      </c>
      <c r="AP297" s="4">
        <v>13.55</v>
      </c>
      <c r="AQ297" s="4">
        <v>13.28</v>
      </c>
    </row>
    <row r="298" spans="16:43">
      <c r="P298" s="4">
        <f t="shared" si="70"/>
        <v>2029</v>
      </c>
      <c r="Q298" s="396">
        <f t="shared" si="77"/>
        <v>47331</v>
      </c>
      <c r="R298" s="136">
        <v>92.39</v>
      </c>
      <c r="S298" s="136">
        <v>88.63</v>
      </c>
      <c r="T298" s="338">
        <f t="shared" si="74"/>
        <v>90.773200000000003</v>
      </c>
      <c r="U298" s="324">
        <v>432</v>
      </c>
      <c r="V298" s="324">
        <v>312</v>
      </c>
      <c r="W298" s="324">
        <f t="shared" si="71"/>
        <v>0.58064516129032262</v>
      </c>
      <c r="X298" s="324">
        <f t="shared" si="72"/>
        <v>0.41935483870967744</v>
      </c>
      <c r="AB298" s="4">
        <f t="shared" si="75"/>
        <v>2029</v>
      </c>
      <c r="AC298" s="394">
        <f t="shared" si="76"/>
        <v>47331</v>
      </c>
      <c r="AD298" s="135">
        <f t="shared" si="73"/>
        <v>11.541011419249593</v>
      </c>
      <c r="AE298" s="136">
        <v>11.541011419249593</v>
      </c>
      <c r="AG298" s="4">
        <f t="shared" si="66"/>
        <v>2028</v>
      </c>
      <c r="AH298" s="394">
        <v>46934</v>
      </c>
      <c r="AI298" s="4">
        <f t="shared" si="67"/>
        <v>7.12</v>
      </c>
      <c r="AJ298" s="4">
        <v>7.21</v>
      </c>
      <c r="AK298" s="4">
        <v>7.03</v>
      </c>
      <c r="AM298" s="4">
        <f t="shared" si="68"/>
        <v>2032</v>
      </c>
      <c r="AN298" s="337">
        <v>48335</v>
      </c>
      <c r="AO298" s="4">
        <f t="shared" si="69"/>
        <v>13.414999999999999</v>
      </c>
      <c r="AP298" s="4">
        <v>13.55</v>
      </c>
      <c r="AQ298" s="4">
        <v>13.28</v>
      </c>
    </row>
    <row r="299" spans="16:43">
      <c r="P299" s="4">
        <f t="shared" si="70"/>
        <v>2029</v>
      </c>
      <c r="Q299" s="396">
        <f t="shared" si="77"/>
        <v>47362</v>
      </c>
      <c r="R299" s="136">
        <v>91.58</v>
      </c>
      <c r="S299" s="136">
        <v>85.88</v>
      </c>
      <c r="T299" s="338">
        <f t="shared" si="74"/>
        <v>89.128999999999991</v>
      </c>
      <c r="U299" s="324">
        <v>384</v>
      </c>
      <c r="V299" s="324">
        <v>336</v>
      </c>
      <c r="W299" s="324">
        <f t="shared" si="71"/>
        <v>0.53333333333333333</v>
      </c>
      <c r="X299" s="324">
        <f t="shared" si="72"/>
        <v>0.46666666666666667</v>
      </c>
      <c r="AB299" s="4">
        <f t="shared" si="75"/>
        <v>2029</v>
      </c>
      <c r="AC299" s="394">
        <f t="shared" si="76"/>
        <v>47362</v>
      </c>
      <c r="AD299" s="135">
        <f t="shared" si="73"/>
        <v>11.541011419249593</v>
      </c>
      <c r="AE299" s="136">
        <v>11.541011419249593</v>
      </c>
      <c r="AG299" s="4">
        <f t="shared" si="66"/>
        <v>2028</v>
      </c>
      <c r="AH299" s="394">
        <v>46965</v>
      </c>
      <c r="AI299" s="4">
        <f t="shared" si="67"/>
        <v>7.23</v>
      </c>
      <c r="AJ299" s="4">
        <v>7.32</v>
      </c>
      <c r="AK299" s="4">
        <v>7.14</v>
      </c>
      <c r="AM299" s="4">
        <f t="shared" si="68"/>
        <v>2032</v>
      </c>
      <c r="AN299" s="337">
        <v>48366</v>
      </c>
      <c r="AO299" s="4">
        <f t="shared" si="69"/>
        <v>13.625</v>
      </c>
      <c r="AP299" s="4">
        <v>13.76</v>
      </c>
      <c r="AQ299" s="4">
        <v>13.49</v>
      </c>
    </row>
    <row r="300" spans="16:43">
      <c r="P300" s="4">
        <f t="shared" si="70"/>
        <v>2029</v>
      </c>
      <c r="Q300" s="396">
        <f t="shared" si="77"/>
        <v>47392</v>
      </c>
      <c r="R300" s="136">
        <v>90.88</v>
      </c>
      <c r="S300" s="136">
        <v>79.34</v>
      </c>
      <c r="T300" s="338">
        <f t="shared" si="74"/>
        <v>85.9178</v>
      </c>
      <c r="U300" s="324">
        <v>432</v>
      </c>
      <c r="V300" s="324">
        <v>312</v>
      </c>
      <c r="W300" s="324">
        <f t="shared" si="71"/>
        <v>0.58064516129032262</v>
      </c>
      <c r="X300" s="324">
        <f t="shared" si="72"/>
        <v>0.41935483870967744</v>
      </c>
      <c r="AB300" s="4">
        <f t="shared" si="75"/>
        <v>2029</v>
      </c>
      <c r="AC300" s="394">
        <f t="shared" si="76"/>
        <v>47392</v>
      </c>
      <c r="AD300" s="135">
        <f t="shared" si="73"/>
        <v>11.952240348015225</v>
      </c>
      <c r="AE300" s="136">
        <v>11.952240348015225</v>
      </c>
      <c r="AG300" s="4">
        <f t="shared" si="66"/>
        <v>2028</v>
      </c>
      <c r="AH300" s="394">
        <v>46996</v>
      </c>
      <c r="AI300" s="4">
        <f t="shared" si="67"/>
        <v>7.23</v>
      </c>
      <c r="AJ300" s="4">
        <v>7.32</v>
      </c>
      <c r="AK300" s="4">
        <v>7.14</v>
      </c>
      <c r="AM300" s="4">
        <f t="shared" si="68"/>
        <v>2032</v>
      </c>
      <c r="AN300" s="337">
        <v>48396</v>
      </c>
      <c r="AO300" s="4">
        <f t="shared" si="69"/>
        <v>13.83</v>
      </c>
      <c r="AP300" s="4">
        <v>13.96</v>
      </c>
      <c r="AQ300" s="4">
        <v>13.7</v>
      </c>
    </row>
    <row r="301" spans="16:43">
      <c r="P301" s="4">
        <f t="shared" si="70"/>
        <v>2029</v>
      </c>
      <c r="Q301" s="396">
        <f t="shared" si="77"/>
        <v>47423</v>
      </c>
      <c r="R301" s="136">
        <v>102.64</v>
      </c>
      <c r="S301" s="136">
        <v>90.01</v>
      </c>
      <c r="T301" s="338">
        <f t="shared" si="74"/>
        <v>97.209100000000007</v>
      </c>
      <c r="U301" s="324">
        <v>400</v>
      </c>
      <c r="V301" s="324">
        <v>320</v>
      </c>
      <c r="W301" s="324">
        <f t="shared" si="71"/>
        <v>0.55555555555555558</v>
      </c>
      <c r="X301" s="324">
        <f t="shared" si="72"/>
        <v>0.44444444444444442</v>
      </c>
      <c r="AB301" s="4">
        <f t="shared" si="75"/>
        <v>2029</v>
      </c>
      <c r="AC301" s="394">
        <f t="shared" si="76"/>
        <v>47423</v>
      </c>
      <c r="AD301" s="135">
        <f t="shared" si="73"/>
        <v>12.125568243610658</v>
      </c>
      <c r="AE301" s="136">
        <v>12.125568243610658</v>
      </c>
      <c r="AG301" s="4">
        <f t="shared" si="66"/>
        <v>2028</v>
      </c>
      <c r="AH301" s="394">
        <v>47026</v>
      </c>
      <c r="AI301" s="4">
        <f t="shared" si="67"/>
        <v>7.23</v>
      </c>
      <c r="AJ301" s="4">
        <v>7.32</v>
      </c>
      <c r="AK301" s="4">
        <v>7.14</v>
      </c>
      <c r="AM301" s="4">
        <f t="shared" si="68"/>
        <v>2032</v>
      </c>
      <c r="AN301" s="337">
        <v>48427</v>
      </c>
      <c r="AO301" s="4">
        <f t="shared" si="69"/>
        <v>13.83</v>
      </c>
      <c r="AP301" s="4">
        <v>13.96</v>
      </c>
      <c r="AQ301" s="4">
        <v>13.7</v>
      </c>
    </row>
    <row r="302" spans="16:43">
      <c r="P302" s="4">
        <f t="shared" si="70"/>
        <v>2029</v>
      </c>
      <c r="Q302" s="396">
        <f t="shared" si="77"/>
        <v>47453</v>
      </c>
      <c r="R302" s="136">
        <v>107.45</v>
      </c>
      <c r="S302" s="136">
        <v>98.54</v>
      </c>
      <c r="T302" s="338">
        <f t="shared" si="74"/>
        <v>103.61869999999999</v>
      </c>
      <c r="U302" s="324">
        <v>400</v>
      </c>
      <c r="V302" s="324">
        <v>344</v>
      </c>
      <c r="W302" s="324">
        <f t="shared" si="71"/>
        <v>0.5376344086021505</v>
      </c>
      <c r="X302" s="324">
        <f t="shared" si="72"/>
        <v>0.46236559139784944</v>
      </c>
      <c r="AB302" s="4">
        <f t="shared" si="75"/>
        <v>2029</v>
      </c>
      <c r="AC302" s="394">
        <f t="shared" si="76"/>
        <v>47453</v>
      </c>
      <c r="AD302" s="135">
        <f t="shared" si="73"/>
        <v>12.706726481783576</v>
      </c>
      <c r="AE302" s="136">
        <v>12.706726481783576</v>
      </c>
      <c r="AG302" s="4">
        <f t="shared" si="66"/>
        <v>2028</v>
      </c>
      <c r="AH302" s="394">
        <v>47057</v>
      </c>
      <c r="AI302" s="4">
        <f t="shared" si="67"/>
        <v>7.5</v>
      </c>
      <c r="AJ302" s="4">
        <v>7.53</v>
      </c>
      <c r="AK302" s="4">
        <v>7.47</v>
      </c>
      <c r="AM302" s="4">
        <f t="shared" si="68"/>
        <v>2032</v>
      </c>
      <c r="AN302" s="337">
        <v>48458</v>
      </c>
      <c r="AO302" s="4">
        <f t="shared" si="69"/>
        <v>13.83</v>
      </c>
      <c r="AP302" s="4">
        <v>13.96</v>
      </c>
      <c r="AQ302" s="4">
        <v>13.7</v>
      </c>
    </row>
    <row r="303" spans="16:43">
      <c r="P303" s="4">
        <f t="shared" si="70"/>
        <v>2030</v>
      </c>
      <c r="Q303" s="396">
        <f t="shared" si="77"/>
        <v>47484</v>
      </c>
      <c r="R303" s="136">
        <v>112.58</v>
      </c>
      <c r="S303" s="136">
        <v>101.61</v>
      </c>
      <c r="T303" s="338">
        <f t="shared" si="74"/>
        <v>107.8629</v>
      </c>
      <c r="U303" s="324">
        <v>416</v>
      </c>
      <c r="V303" s="324">
        <v>328</v>
      </c>
      <c r="W303" s="324">
        <f t="shared" si="71"/>
        <v>0.55913978494623651</v>
      </c>
      <c r="X303" s="324">
        <f t="shared" si="72"/>
        <v>0.44086021505376344</v>
      </c>
      <c r="AB303" s="4">
        <f t="shared" si="75"/>
        <v>2030</v>
      </c>
      <c r="AC303" s="394">
        <f t="shared" si="76"/>
        <v>47484</v>
      </c>
      <c r="AD303" s="135">
        <f t="shared" si="73"/>
        <v>13.790875475802068</v>
      </c>
      <c r="AE303" s="136">
        <v>13.790875475802068</v>
      </c>
      <c r="AG303" s="4">
        <f t="shared" si="66"/>
        <v>2028</v>
      </c>
      <c r="AH303" s="394">
        <v>47087</v>
      </c>
      <c r="AI303" s="4">
        <f t="shared" si="67"/>
        <v>7.6099999999999994</v>
      </c>
      <c r="AJ303" s="4">
        <v>7.64</v>
      </c>
      <c r="AK303" s="4">
        <v>7.58</v>
      </c>
      <c r="AM303" s="4">
        <f t="shared" si="68"/>
        <v>2032</v>
      </c>
      <c r="AN303" s="337">
        <v>48488</v>
      </c>
      <c r="AO303" s="4">
        <f t="shared" si="69"/>
        <v>14.35</v>
      </c>
      <c r="AP303" s="4">
        <v>14.37</v>
      </c>
      <c r="AQ303" s="4">
        <v>14.33</v>
      </c>
    </row>
    <row r="304" spans="16:43">
      <c r="P304" s="4">
        <f t="shared" si="70"/>
        <v>2030</v>
      </c>
      <c r="Q304" s="396">
        <f t="shared" si="77"/>
        <v>47515</v>
      </c>
      <c r="R304" s="136">
        <v>105.96</v>
      </c>
      <c r="S304" s="136">
        <v>92.16</v>
      </c>
      <c r="T304" s="338">
        <f t="shared" si="74"/>
        <v>100.02599999999998</v>
      </c>
      <c r="U304" s="324">
        <v>384</v>
      </c>
      <c r="V304" s="324">
        <v>288</v>
      </c>
      <c r="W304" s="324">
        <f t="shared" si="71"/>
        <v>0.5714285714285714</v>
      </c>
      <c r="X304" s="324">
        <f t="shared" si="72"/>
        <v>0.42857142857142855</v>
      </c>
      <c r="AB304" s="4">
        <f t="shared" si="75"/>
        <v>2030</v>
      </c>
      <c r="AC304" s="394">
        <f t="shared" si="76"/>
        <v>47515</v>
      </c>
      <c r="AD304" s="135">
        <f t="shared" si="73"/>
        <v>12.961620445894505</v>
      </c>
      <c r="AE304" s="136">
        <v>12.961620445894505</v>
      </c>
      <c r="AG304" s="4">
        <f t="shared" si="66"/>
        <v>2028</v>
      </c>
      <c r="AH304" s="394">
        <v>47118</v>
      </c>
      <c r="AI304" s="4">
        <f t="shared" si="67"/>
        <v>7.99</v>
      </c>
      <c r="AJ304" s="4">
        <v>7.96</v>
      </c>
      <c r="AK304" s="4">
        <v>8.02</v>
      </c>
      <c r="AM304" s="4">
        <f t="shared" si="68"/>
        <v>2032</v>
      </c>
      <c r="AN304" s="337">
        <v>48519</v>
      </c>
      <c r="AO304" s="4">
        <f t="shared" si="69"/>
        <v>14.559999999999999</v>
      </c>
      <c r="AP304" s="4">
        <v>14.58</v>
      </c>
      <c r="AQ304" s="4">
        <v>14.54</v>
      </c>
    </row>
    <row r="305" spans="16:43">
      <c r="P305" s="4">
        <f t="shared" si="70"/>
        <v>2030</v>
      </c>
      <c r="Q305" s="396">
        <f t="shared" si="77"/>
        <v>47543</v>
      </c>
      <c r="R305" s="136">
        <v>89.81</v>
      </c>
      <c r="S305" s="136">
        <v>80.3</v>
      </c>
      <c r="T305" s="338">
        <f t="shared" si="74"/>
        <v>85.720699999999994</v>
      </c>
      <c r="U305" s="324">
        <v>416</v>
      </c>
      <c r="V305" s="324">
        <v>328</v>
      </c>
      <c r="W305" s="324">
        <f t="shared" si="71"/>
        <v>0.55913978494623651</v>
      </c>
      <c r="X305" s="324">
        <f t="shared" si="72"/>
        <v>0.44086021505376344</v>
      </c>
      <c r="AB305" s="4">
        <f t="shared" si="75"/>
        <v>2030</v>
      </c>
      <c r="AC305" s="394">
        <f t="shared" si="76"/>
        <v>47543</v>
      </c>
      <c r="AD305" s="135">
        <f t="shared" si="73"/>
        <v>12.190141381185427</v>
      </c>
      <c r="AE305" s="136">
        <v>12.190141381185427</v>
      </c>
      <c r="AG305" s="4">
        <f t="shared" si="66"/>
        <v>2029</v>
      </c>
      <c r="AH305" s="394">
        <v>47149</v>
      </c>
      <c r="AI305" s="4">
        <f t="shared" si="67"/>
        <v>8.89</v>
      </c>
      <c r="AJ305" s="4">
        <v>8.8000000000000007</v>
      </c>
      <c r="AK305" s="4">
        <v>8.98</v>
      </c>
      <c r="AM305" s="4">
        <f t="shared" si="68"/>
        <v>2032</v>
      </c>
      <c r="AN305" s="337">
        <v>48549</v>
      </c>
      <c r="AO305" s="4">
        <f t="shared" si="69"/>
        <v>15.29</v>
      </c>
      <c r="AP305" s="4">
        <v>15.19</v>
      </c>
      <c r="AQ305" s="4">
        <v>15.39</v>
      </c>
    </row>
    <row r="306" spans="16:43">
      <c r="P306" s="4">
        <f t="shared" si="70"/>
        <v>2030</v>
      </c>
      <c r="Q306" s="396">
        <f t="shared" si="77"/>
        <v>47574</v>
      </c>
      <c r="R306" s="136">
        <v>89.32</v>
      </c>
      <c r="S306" s="136">
        <v>85.1</v>
      </c>
      <c r="T306" s="338">
        <f t="shared" si="74"/>
        <v>87.50539999999998</v>
      </c>
      <c r="U306" s="324">
        <v>416</v>
      </c>
      <c r="V306" s="324">
        <v>304</v>
      </c>
      <c r="W306" s="324">
        <f t="shared" si="71"/>
        <v>0.57777777777777772</v>
      </c>
      <c r="X306" s="324">
        <f t="shared" si="72"/>
        <v>0.42222222222222222</v>
      </c>
      <c r="AB306" s="4">
        <f t="shared" si="75"/>
        <v>2030</v>
      </c>
      <c r="AC306" s="394">
        <f t="shared" si="76"/>
        <v>47574</v>
      </c>
      <c r="AD306" s="135">
        <f t="shared" si="73"/>
        <v>11.537612833061447</v>
      </c>
      <c r="AE306" s="136">
        <v>11.537612833061447</v>
      </c>
      <c r="AG306" s="4">
        <f t="shared" si="66"/>
        <v>2029</v>
      </c>
      <c r="AH306" s="394">
        <v>47177</v>
      </c>
      <c r="AI306" s="4">
        <f t="shared" si="67"/>
        <v>8.27</v>
      </c>
      <c r="AJ306" s="4">
        <v>8.24</v>
      </c>
      <c r="AK306" s="4">
        <v>8.3000000000000007</v>
      </c>
      <c r="AM306" s="4">
        <f t="shared" si="68"/>
        <v>2033</v>
      </c>
      <c r="AN306" s="337">
        <v>48580</v>
      </c>
      <c r="AO306" s="4">
        <f t="shared" si="69"/>
        <v>16.73</v>
      </c>
      <c r="AP306" s="4">
        <v>16.510000000000002</v>
      </c>
      <c r="AQ306" s="4">
        <v>16.95</v>
      </c>
    </row>
    <row r="307" spans="16:43">
      <c r="P307" s="4">
        <f t="shared" si="70"/>
        <v>2030</v>
      </c>
      <c r="Q307" s="396">
        <f t="shared" si="77"/>
        <v>47604</v>
      </c>
      <c r="R307" s="136">
        <v>90.96</v>
      </c>
      <c r="S307" s="136">
        <v>85.56</v>
      </c>
      <c r="T307" s="338">
        <f t="shared" si="74"/>
        <v>88.637999999999991</v>
      </c>
      <c r="U307" s="324">
        <v>416</v>
      </c>
      <c r="V307" s="324">
        <v>328</v>
      </c>
      <c r="W307" s="324">
        <f t="shared" si="71"/>
        <v>0.55913978494623651</v>
      </c>
      <c r="X307" s="324">
        <f t="shared" si="72"/>
        <v>0.44086021505376344</v>
      </c>
      <c r="AB307" s="4">
        <f t="shared" si="75"/>
        <v>2030</v>
      </c>
      <c r="AC307" s="394">
        <f t="shared" si="76"/>
        <v>47604</v>
      </c>
      <c r="AD307" s="135">
        <f t="shared" si="73"/>
        <v>11.418662316476347</v>
      </c>
      <c r="AE307" s="136">
        <v>11.418662316476347</v>
      </c>
      <c r="AG307" s="4">
        <f t="shared" si="66"/>
        <v>2029</v>
      </c>
      <c r="AH307" s="394">
        <v>47208</v>
      </c>
      <c r="AI307" s="4">
        <f t="shared" si="67"/>
        <v>7.7650000000000006</v>
      </c>
      <c r="AJ307" s="4">
        <v>7.8</v>
      </c>
      <c r="AK307" s="4">
        <v>7.73</v>
      </c>
      <c r="AM307" s="4">
        <f t="shared" si="68"/>
        <v>2033</v>
      </c>
      <c r="AN307" s="337">
        <v>48611</v>
      </c>
      <c r="AO307" s="4">
        <f t="shared" si="69"/>
        <v>15.565000000000001</v>
      </c>
      <c r="AP307" s="4">
        <v>15.47</v>
      </c>
      <c r="AQ307" s="4">
        <v>15.66</v>
      </c>
    </row>
    <row r="308" spans="16:43">
      <c r="P308" s="4">
        <f t="shared" si="70"/>
        <v>2030</v>
      </c>
      <c r="Q308" s="396">
        <f t="shared" si="77"/>
        <v>47635</v>
      </c>
      <c r="R308" s="136">
        <v>98.46</v>
      </c>
      <c r="S308" s="136">
        <v>87.87</v>
      </c>
      <c r="T308" s="338">
        <f t="shared" si="74"/>
        <v>93.906299999999987</v>
      </c>
      <c r="U308" s="324">
        <v>400</v>
      </c>
      <c r="V308" s="324">
        <v>320</v>
      </c>
      <c r="W308" s="324">
        <f t="shared" si="71"/>
        <v>0.55555555555555558</v>
      </c>
      <c r="X308" s="324">
        <f t="shared" si="72"/>
        <v>0.44444444444444442</v>
      </c>
      <c r="AB308" s="4">
        <f t="shared" si="75"/>
        <v>2030</v>
      </c>
      <c r="AC308" s="394">
        <f t="shared" si="76"/>
        <v>47635</v>
      </c>
      <c r="AD308" s="135">
        <f t="shared" si="73"/>
        <v>11.595388798259924</v>
      </c>
      <c r="AE308" s="136">
        <v>11.595388798259924</v>
      </c>
      <c r="AG308" s="4">
        <f t="shared" si="66"/>
        <v>2029</v>
      </c>
      <c r="AH308" s="394">
        <v>47238</v>
      </c>
      <c r="AI308" s="4">
        <f t="shared" si="67"/>
        <v>7.2549999999999999</v>
      </c>
      <c r="AJ308" s="4">
        <v>7.35</v>
      </c>
      <c r="AK308" s="4">
        <v>7.16</v>
      </c>
      <c r="AM308" s="4">
        <f t="shared" si="68"/>
        <v>2033</v>
      </c>
      <c r="AN308" s="337">
        <v>48639</v>
      </c>
      <c r="AO308" s="4">
        <f t="shared" si="69"/>
        <v>14.61</v>
      </c>
      <c r="AP308" s="4">
        <v>14.63</v>
      </c>
      <c r="AQ308" s="4">
        <v>14.59</v>
      </c>
    </row>
    <row r="309" spans="16:43">
      <c r="P309" s="4">
        <f t="shared" si="70"/>
        <v>2030</v>
      </c>
      <c r="Q309" s="396">
        <f t="shared" si="77"/>
        <v>47665</v>
      </c>
      <c r="R309" s="136">
        <v>93.78</v>
      </c>
      <c r="S309" s="136">
        <v>89.88</v>
      </c>
      <c r="T309" s="338">
        <f t="shared" si="74"/>
        <v>92.102999999999994</v>
      </c>
      <c r="U309" s="324">
        <v>416</v>
      </c>
      <c r="V309" s="324">
        <v>328</v>
      </c>
      <c r="W309" s="324">
        <f t="shared" si="71"/>
        <v>0.55913978494623651</v>
      </c>
      <c r="X309" s="324">
        <f t="shared" si="72"/>
        <v>0.44086021505376344</v>
      </c>
      <c r="AB309" s="4">
        <f t="shared" si="75"/>
        <v>2030</v>
      </c>
      <c r="AC309" s="394">
        <f t="shared" si="76"/>
        <v>47665</v>
      </c>
      <c r="AD309" s="135">
        <f t="shared" si="73"/>
        <v>11.775513866231645</v>
      </c>
      <c r="AE309" s="136">
        <v>11.775513866231645</v>
      </c>
      <c r="AG309" s="4">
        <f t="shared" si="66"/>
        <v>2029</v>
      </c>
      <c r="AH309" s="394">
        <v>47269</v>
      </c>
      <c r="AI309" s="4">
        <f t="shared" si="67"/>
        <v>7.2549999999999999</v>
      </c>
      <c r="AJ309" s="4">
        <v>7.35</v>
      </c>
      <c r="AK309" s="4">
        <v>7.16</v>
      </c>
      <c r="AM309" s="4">
        <f t="shared" si="68"/>
        <v>2033</v>
      </c>
      <c r="AN309" s="337">
        <v>48670</v>
      </c>
      <c r="AO309" s="4">
        <f t="shared" si="69"/>
        <v>13.66</v>
      </c>
      <c r="AP309" s="4">
        <v>13.8</v>
      </c>
      <c r="AQ309" s="4">
        <v>13.52</v>
      </c>
    </row>
    <row r="310" spans="16:43">
      <c r="P310" s="4">
        <f t="shared" si="70"/>
        <v>2030</v>
      </c>
      <c r="Q310" s="396">
        <f t="shared" si="77"/>
        <v>47696</v>
      </c>
      <c r="R310" s="136">
        <v>94.24</v>
      </c>
      <c r="S310" s="136">
        <v>90.4</v>
      </c>
      <c r="T310" s="338">
        <f t="shared" si="74"/>
        <v>92.588799999999992</v>
      </c>
      <c r="U310" s="324">
        <v>432</v>
      </c>
      <c r="V310" s="324">
        <v>312</v>
      </c>
      <c r="W310" s="324">
        <f t="shared" si="71"/>
        <v>0.58064516129032262</v>
      </c>
      <c r="X310" s="324">
        <f t="shared" si="72"/>
        <v>0.41935483870967744</v>
      </c>
      <c r="AB310" s="4">
        <f t="shared" si="75"/>
        <v>2030</v>
      </c>
      <c r="AC310" s="394">
        <f t="shared" si="76"/>
        <v>47696</v>
      </c>
      <c r="AD310" s="135">
        <f t="shared" si="73"/>
        <v>11.775513866231645</v>
      </c>
      <c r="AE310" s="136">
        <v>11.775513866231645</v>
      </c>
      <c r="AG310" s="4">
        <f t="shared" si="66"/>
        <v>2029</v>
      </c>
      <c r="AH310" s="394">
        <v>47299</v>
      </c>
      <c r="AI310" s="4">
        <f t="shared" si="67"/>
        <v>7.37</v>
      </c>
      <c r="AJ310" s="4">
        <v>7.46</v>
      </c>
      <c r="AK310" s="4">
        <v>7.28</v>
      </c>
      <c r="AM310" s="4">
        <f t="shared" si="68"/>
        <v>2033</v>
      </c>
      <c r="AN310" s="337">
        <v>48700</v>
      </c>
      <c r="AO310" s="4">
        <f t="shared" si="69"/>
        <v>13.66</v>
      </c>
      <c r="AP310" s="4">
        <v>13.8</v>
      </c>
      <c r="AQ310" s="4">
        <v>13.52</v>
      </c>
    </row>
    <row r="311" spans="16:43">
      <c r="P311" s="4">
        <f t="shared" si="70"/>
        <v>2030</v>
      </c>
      <c r="Q311" s="396">
        <f t="shared" si="77"/>
        <v>47727</v>
      </c>
      <c r="R311" s="136">
        <v>93.41</v>
      </c>
      <c r="S311" s="136">
        <v>87.6</v>
      </c>
      <c r="T311" s="338">
        <f t="shared" si="74"/>
        <v>90.911699999999996</v>
      </c>
      <c r="U311" s="324">
        <v>384</v>
      </c>
      <c r="V311" s="324">
        <v>336</v>
      </c>
      <c r="W311" s="324">
        <f t="shared" si="71"/>
        <v>0.53333333333333333</v>
      </c>
      <c r="X311" s="324">
        <f t="shared" si="72"/>
        <v>0.46666666666666667</v>
      </c>
      <c r="AB311" s="4">
        <f t="shared" si="75"/>
        <v>2030</v>
      </c>
      <c r="AC311" s="394">
        <f t="shared" si="76"/>
        <v>47727</v>
      </c>
      <c r="AD311" s="135">
        <f t="shared" si="73"/>
        <v>11.775513866231645</v>
      </c>
      <c r="AE311" s="136">
        <v>11.775513866231645</v>
      </c>
      <c r="AG311" s="4">
        <f t="shared" si="66"/>
        <v>2029</v>
      </c>
      <c r="AH311" s="394">
        <v>47330</v>
      </c>
      <c r="AI311" s="4">
        <f t="shared" si="67"/>
        <v>7.48</v>
      </c>
      <c r="AJ311" s="4">
        <v>7.57</v>
      </c>
      <c r="AK311" s="4">
        <v>7.39</v>
      </c>
      <c r="AM311" s="4">
        <f t="shared" si="68"/>
        <v>2033</v>
      </c>
      <c r="AN311" s="337">
        <v>48731</v>
      </c>
      <c r="AO311" s="4">
        <f t="shared" si="69"/>
        <v>13.865</v>
      </c>
      <c r="AP311" s="4">
        <v>14</v>
      </c>
      <c r="AQ311" s="4">
        <v>13.73</v>
      </c>
    </row>
    <row r="312" spans="16:43">
      <c r="P312" s="4">
        <f t="shared" si="70"/>
        <v>2030</v>
      </c>
      <c r="Q312" s="396">
        <f t="shared" si="77"/>
        <v>47757</v>
      </c>
      <c r="R312" s="136">
        <v>92.7</v>
      </c>
      <c r="S312" s="136">
        <v>80.930000000000007</v>
      </c>
      <c r="T312" s="338">
        <f t="shared" si="74"/>
        <v>87.638900000000007</v>
      </c>
      <c r="U312" s="324">
        <v>432</v>
      </c>
      <c r="V312" s="324">
        <v>312</v>
      </c>
      <c r="W312" s="324">
        <f t="shared" si="71"/>
        <v>0.58064516129032262</v>
      </c>
      <c r="X312" s="324">
        <f t="shared" si="72"/>
        <v>0.41935483870967744</v>
      </c>
      <c r="AB312" s="4">
        <f t="shared" si="75"/>
        <v>2030</v>
      </c>
      <c r="AC312" s="394">
        <f t="shared" si="76"/>
        <v>47757</v>
      </c>
      <c r="AD312" s="135">
        <f t="shared" si="73"/>
        <v>12.190141381185427</v>
      </c>
      <c r="AE312" s="136">
        <v>12.190141381185427</v>
      </c>
      <c r="AG312" s="4">
        <f t="shared" si="66"/>
        <v>2029</v>
      </c>
      <c r="AH312" s="394">
        <v>47361</v>
      </c>
      <c r="AI312" s="4">
        <f t="shared" si="67"/>
        <v>7.48</v>
      </c>
      <c r="AJ312" s="4">
        <v>7.57</v>
      </c>
      <c r="AK312" s="4">
        <v>7.39</v>
      </c>
      <c r="AM312" s="4">
        <f t="shared" si="68"/>
        <v>2033</v>
      </c>
      <c r="AN312" s="337">
        <v>48761</v>
      </c>
      <c r="AO312" s="4">
        <f t="shared" si="69"/>
        <v>14.08</v>
      </c>
      <c r="AP312" s="4">
        <v>14.21</v>
      </c>
      <c r="AQ312" s="4">
        <v>13.95</v>
      </c>
    </row>
    <row r="313" spans="16:43">
      <c r="P313" s="4">
        <f t="shared" si="70"/>
        <v>2030</v>
      </c>
      <c r="Q313" s="396">
        <f t="shared" si="77"/>
        <v>47788</v>
      </c>
      <c r="R313" s="136">
        <v>104.7</v>
      </c>
      <c r="S313" s="136">
        <v>91.81</v>
      </c>
      <c r="T313" s="338">
        <f t="shared" si="74"/>
        <v>99.157299999999992</v>
      </c>
      <c r="U313" s="324">
        <v>400</v>
      </c>
      <c r="V313" s="324">
        <v>320</v>
      </c>
      <c r="W313" s="324">
        <f t="shared" si="71"/>
        <v>0.55555555555555558</v>
      </c>
      <c r="X313" s="324">
        <f t="shared" si="72"/>
        <v>0.44444444444444442</v>
      </c>
      <c r="AB313" s="4">
        <f t="shared" si="75"/>
        <v>2030</v>
      </c>
      <c r="AC313" s="394">
        <f t="shared" si="76"/>
        <v>47788</v>
      </c>
      <c r="AD313" s="135">
        <f t="shared" si="73"/>
        <v>12.366867862969004</v>
      </c>
      <c r="AE313" s="136">
        <v>12.366867862969004</v>
      </c>
      <c r="AG313" s="4">
        <f t="shared" si="66"/>
        <v>2029</v>
      </c>
      <c r="AH313" s="394">
        <v>47391</v>
      </c>
      <c r="AI313" s="4">
        <f t="shared" si="67"/>
        <v>7.48</v>
      </c>
      <c r="AJ313" s="4">
        <v>7.57</v>
      </c>
      <c r="AK313" s="4">
        <v>7.39</v>
      </c>
      <c r="AM313" s="4">
        <f t="shared" si="68"/>
        <v>2033</v>
      </c>
      <c r="AN313" s="337">
        <v>48792</v>
      </c>
      <c r="AO313" s="4">
        <f t="shared" si="69"/>
        <v>14.08</v>
      </c>
      <c r="AP313" s="4">
        <v>14.21</v>
      </c>
      <c r="AQ313" s="4">
        <v>13.95</v>
      </c>
    </row>
    <row r="314" spans="16:43">
      <c r="P314" s="4">
        <f t="shared" si="70"/>
        <v>2030</v>
      </c>
      <c r="Q314" s="396">
        <f t="shared" si="77"/>
        <v>47818</v>
      </c>
      <c r="R314" s="136">
        <v>109.6</v>
      </c>
      <c r="S314" s="136">
        <v>100.51</v>
      </c>
      <c r="T314" s="338">
        <f t="shared" si="74"/>
        <v>105.6913</v>
      </c>
      <c r="U314" s="324">
        <v>400</v>
      </c>
      <c r="V314" s="324">
        <v>344</v>
      </c>
      <c r="W314" s="324">
        <f t="shared" si="71"/>
        <v>0.5376344086021505</v>
      </c>
      <c r="X314" s="324">
        <f t="shared" si="72"/>
        <v>0.46236559139784944</v>
      </c>
      <c r="AB314" s="4">
        <f t="shared" si="75"/>
        <v>2030</v>
      </c>
      <c r="AC314" s="394">
        <f t="shared" si="76"/>
        <v>47818</v>
      </c>
      <c r="AD314" s="135">
        <f t="shared" si="73"/>
        <v>12.961620445894505</v>
      </c>
      <c r="AE314" s="136">
        <v>12.961620445894505</v>
      </c>
      <c r="AG314" s="4">
        <f t="shared" si="66"/>
        <v>2029</v>
      </c>
      <c r="AH314" s="394">
        <v>47422</v>
      </c>
      <c r="AI314" s="4">
        <f t="shared" si="67"/>
        <v>7.7650000000000006</v>
      </c>
      <c r="AJ314" s="4">
        <v>7.8</v>
      </c>
      <c r="AK314" s="4">
        <v>7.73</v>
      </c>
      <c r="AM314" s="4">
        <f t="shared" si="68"/>
        <v>2033</v>
      </c>
      <c r="AN314" s="337">
        <v>48823</v>
      </c>
      <c r="AO314" s="4">
        <f t="shared" si="69"/>
        <v>14.08</v>
      </c>
      <c r="AP314" s="4">
        <v>14.21</v>
      </c>
      <c r="AQ314" s="4">
        <v>13.95</v>
      </c>
    </row>
    <row r="315" spans="16:43">
      <c r="P315" s="4">
        <f t="shared" si="70"/>
        <v>2031</v>
      </c>
      <c r="Q315" s="396">
        <f t="shared" si="77"/>
        <v>47849</v>
      </c>
      <c r="R315" s="136">
        <v>114.83</v>
      </c>
      <c r="S315" s="136">
        <v>103.64</v>
      </c>
      <c r="T315" s="338">
        <f t="shared" si="74"/>
        <v>110.01829999999998</v>
      </c>
      <c r="U315" s="324">
        <v>416</v>
      </c>
      <c r="V315" s="324">
        <v>328</v>
      </c>
      <c r="W315" s="324">
        <f t="shared" si="71"/>
        <v>0.55913978494623651</v>
      </c>
      <c r="X315" s="324">
        <f t="shared" si="72"/>
        <v>0.44086021505376344</v>
      </c>
      <c r="AB315" s="4">
        <f t="shared" si="75"/>
        <v>2031</v>
      </c>
      <c r="AC315" s="394">
        <f t="shared" si="76"/>
        <v>47849</v>
      </c>
      <c r="AD315" s="135">
        <f t="shared" si="73"/>
        <v>14.069559543230017</v>
      </c>
      <c r="AE315" s="136">
        <v>14.069559543230017</v>
      </c>
      <c r="AG315" s="4">
        <f t="shared" si="66"/>
        <v>2029</v>
      </c>
      <c r="AH315" s="394">
        <v>47452</v>
      </c>
      <c r="AI315" s="4">
        <f t="shared" si="67"/>
        <v>7.88</v>
      </c>
      <c r="AJ315" s="4">
        <v>7.91</v>
      </c>
      <c r="AK315" s="4">
        <v>7.85</v>
      </c>
      <c r="AM315" s="4">
        <f t="shared" si="68"/>
        <v>2033</v>
      </c>
      <c r="AN315" s="337">
        <v>48853</v>
      </c>
      <c r="AO315" s="4">
        <f t="shared" si="69"/>
        <v>14.61</v>
      </c>
      <c r="AP315" s="4">
        <v>14.63</v>
      </c>
      <c r="AQ315" s="4">
        <v>14.59</v>
      </c>
    </row>
    <row r="316" spans="16:43">
      <c r="P316" s="4">
        <f t="shared" si="70"/>
        <v>2031</v>
      </c>
      <c r="Q316" s="396">
        <f t="shared" si="77"/>
        <v>47880</v>
      </c>
      <c r="R316" s="136">
        <v>108.08</v>
      </c>
      <c r="S316" s="136">
        <v>94</v>
      </c>
      <c r="T316" s="338">
        <f t="shared" si="74"/>
        <v>102.0256</v>
      </c>
      <c r="U316" s="324">
        <v>384</v>
      </c>
      <c r="V316" s="324">
        <v>288</v>
      </c>
      <c r="W316" s="324">
        <f t="shared" si="71"/>
        <v>0.5714285714285714</v>
      </c>
      <c r="X316" s="324">
        <f t="shared" si="72"/>
        <v>0.42857142857142855</v>
      </c>
      <c r="AB316" s="4">
        <f t="shared" si="75"/>
        <v>2031</v>
      </c>
      <c r="AC316" s="394">
        <f t="shared" si="76"/>
        <v>47880</v>
      </c>
      <c r="AD316" s="135">
        <f t="shared" si="73"/>
        <v>13.216514410005436</v>
      </c>
      <c r="AE316" s="136">
        <v>13.216514410005436</v>
      </c>
      <c r="AG316" s="4">
        <f t="shared" si="66"/>
        <v>2029</v>
      </c>
      <c r="AH316" s="394">
        <v>47483</v>
      </c>
      <c r="AI316" s="4">
        <f t="shared" si="67"/>
        <v>8.27</v>
      </c>
      <c r="AJ316" s="4">
        <v>8.24</v>
      </c>
      <c r="AK316" s="4">
        <v>8.3000000000000007</v>
      </c>
      <c r="AM316" s="4">
        <f t="shared" si="68"/>
        <v>2033</v>
      </c>
      <c r="AN316" s="337">
        <v>48884</v>
      </c>
      <c r="AO316" s="4">
        <f t="shared" si="69"/>
        <v>14.824999999999999</v>
      </c>
      <c r="AP316" s="4">
        <v>14.84</v>
      </c>
      <c r="AQ316" s="4">
        <v>14.81</v>
      </c>
    </row>
    <row r="317" spans="16:43">
      <c r="P317" s="4">
        <f t="shared" si="70"/>
        <v>2031</v>
      </c>
      <c r="Q317" s="396">
        <f t="shared" si="77"/>
        <v>47908</v>
      </c>
      <c r="R317" s="136">
        <v>91.6</v>
      </c>
      <c r="S317" s="136">
        <v>81.91</v>
      </c>
      <c r="T317" s="338">
        <f t="shared" si="74"/>
        <v>87.433299999999988</v>
      </c>
      <c r="U317" s="324">
        <v>416</v>
      </c>
      <c r="V317" s="324">
        <v>328</v>
      </c>
      <c r="W317" s="324">
        <f t="shared" si="71"/>
        <v>0.55913978494623651</v>
      </c>
      <c r="X317" s="324">
        <f t="shared" si="72"/>
        <v>0.44086021505376344</v>
      </c>
      <c r="AB317" s="4">
        <f t="shared" si="75"/>
        <v>2031</v>
      </c>
      <c r="AC317" s="394">
        <f t="shared" si="76"/>
        <v>47908</v>
      </c>
      <c r="AD317" s="135">
        <f t="shared" si="73"/>
        <v>12.431441000543773</v>
      </c>
      <c r="AE317" s="136">
        <v>12.431441000543773</v>
      </c>
      <c r="AG317" s="4">
        <f t="shared" si="66"/>
        <v>2030</v>
      </c>
      <c r="AH317" s="394">
        <v>47514</v>
      </c>
      <c r="AI317" s="4">
        <f t="shared" si="67"/>
        <v>9.2050000000000001</v>
      </c>
      <c r="AJ317" s="4">
        <v>9.11</v>
      </c>
      <c r="AK317" s="4">
        <v>9.3000000000000007</v>
      </c>
      <c r="AM317" s="4">
        <f t="shared" si="68"/>
        <v>2033</v>
      </c>
      <c r="AN317" s="337">
        <v>48914</v>
      </c>
      <c r="AO317" s="4">
        <f t="shared" si="69"/>
        <v>15.565000000000001</v>
      </c>
      <c r="AP317" s="4">
        <v>15.47</v>
      </c>
      <c r="AQ317" s="4">
        <v>15.66</v>
      </c>
    </row>
    <row r="318" spans="16:43">
      <c r="P318" s="4">
        <f t="shared" si="70"/>
        <v>2031</v>
      </c>
      <c r="Q318" s="396">
        <f t="shared" si="77"/>
        <v>47939</v>
      </c>
      <c r="R318" s="136">
        <v>91.11</v>
      </c>
      <c r="S318" s="136">
        <v>86.8</v>
      </c>
      <c r="T318" s="338">
        <f t="shared" si="74"/>
        <v>89.256699999999995</v>
      </c>
      <c r="U318" s="324">
        <v>416</v>
      </c>
      <c r="V318" s="324">
        <v>304</v>
      </c>
      <c r="W318" s="324">
        <f t="shared" si="71"/>
        <v>0.57777777777777772</v>
      </c>
      <c r="X318" s="324">
        <f t="shared" si="72"/>
        <v>0.42222222222222222</v>
      </c>
      <c r="AB318" s="4">
        <f t="shared" si="75"/>
        <v>2031</v>
      </c>
      <c r="AC318" s="394">
        <f t="shared" si="76"/>
        <v>47939</v>
      </c>
      <c r="AD318" s="135">
        <f t="shared" si="73"/>
        <v>11.765318107667209</v>
      </c>
      <c r="AE318" s="136">
        <v>11.765318107667209</v>
      </c>
      <c r="AG318" s="4">
        <f t="shared" si="66"/>
        <v>2030</v>
      </c>
      <c r="AH318" s="394">
        <v>47542</v>
      </c>
      <c r="AI318" s="4">
        <f t="shared" si="67"/>
        <v>8.5599999999999987</v>
      </c>
      <c r="AJ318" s="4">
        <v>8.5299999999999994</v>
      </c>
      <c r="AK318" s="4">
        <v>8.59</v>
      </c>
      <c r="AM318" s="4">
        <f t="shared" si="68"/>
        <v>2034</v>
      </c>
      <c r="AN318" s="337">
        <v>48945</v>
      </c>
      <c r="AO318" s="4">
        <f t="shared" si="69"/>
        <v>17.035</v>
      </c>
      <c r="AP318" s="4">
        <v>16.809999999999999</v>
      </c>
      <c r="AQ318" s="4">
        <v>17.260000000000002</v>
      </c>
    </row>
    <row r="319" spans="16:43">
      <c r="P319" s="4">
        <f t="shared" si="70"/>
        <v>2031</v>
      </c>
      <c r="Q319" s="396">
        <f t="shared" si="77"/>
        <v>47969</v>
      </c>
      <c r="R319" s="136">
        <v>92.78</v>
      </c>
      <c r="S319" s="136">
        <v>87.27</v>
      </c>
      <c r="T319" s="338">
        <f t="shared" si="74"/>
        <v>90.410699999999991</v>
      </c>
      <c r="U319" s="324">
        <v>416</v>
      </c>
      <c r="V319" s="324">
        <v>328</v>
      </c>
      <c r="W319" s="324">
        <f t="shared" si="71"/>
        <v>0.55913978494623651</v>
      </c>
      <c r="X319" s="324">
        <f t="shared" si="72"/>
        <v>0.44086021505376344</v>
      </c>
      <c r="AB319" s="4">
        <f t="shared" si="75"/>
        <v>2031</v>
      </c>
      <c r="AC319" s="394">
        <f t="shared" si="76"/>
        <v>47969</v>
      </c>
      <c r="AD319" s="135">
        <f t="shared" si="73"/>
        <v>11.646367591082109</v>
      </c>
      <c r="AE319" s="136">
        <v>11.646367591082109</v>
      </c>
      <c r="AG319" s="4">
        <f t="shared" si="66"/>
        <v>2030</v>
      </c>
      <c r="AH319" s="394">
        <v>47573</v>
      </c>
      <c r="AI319" s="4">
        <f t="shared" si="67"/>
        <v>8.0350000000000001</v>
      </c>
      <c r="AJ319" s="4">
        <v>8.07</v>
      </c>
      <c r="AK319" s="4">
        <v>8</v>
      </c>
      <c r="AM319" s="4">
        <f t="shared" si="68"/>
        <v>2034</v>
      </c>
      <c r="AN319" s="337">
        <v>48976</v>
      </c>
      <c r="AO319" s="4">
        <f t="shared" si="69"/>
        <v>15.85</v>
      </c>
      <c r="AP319" s="4">
        <v>15.75</v>
      </c>
      <c r="AQ319" s="4">
        <v>15.95</v>
      </c>
    </row>
    <row r="320" spans="16:43">
      <c r="P320" s="4">
        <f t="shared" si="70"/>
        <v>2031</v>
      </c>
      <c r="Q320" s="396">
        <f t="shared" si="77"/>
        <v>48000</v>
      </c>
      <c r="R320" s="136">
        <v>100.43</v>
      </c>
      <c r="S320" s="136">
        <v>89.63</v>
      </c>
      <c r="T320" s="338">
        <f t="shared" si="74"/>
        <v>95.786000000000001</v>
      </c>
      <c r="U320" s="324">
        <v>400</v>
      </c>
      <c r="V320" s="324">
        <v>320</v>
      </c>
      <c r="W320" s="324">
        <f t="shared" si="71"/>
        <v>0.55555555555555558</v>
      </c>
      <c r="X320" s="324">
        <f t="shared" si="72"/>
        <v>0.44444444444444442</v>
      </c>
      <c r="AB320" s="4">
        <f t="shared" si="75"/>
        <v>2031</v>
      </c>
      <c r="AC320" s="394">
        <f t="shared" si="76"/>
        <v>48000</v>
      </c>
      <c r="AD320" s="135">
        <f t="shared" si="73"/>
        <v>11.826492659053834</v>
      </c>
      <c r="AE320" s="136">
        <v>11.826492659053834</v>
      </c>
      <c r="AG320" s="4">
        <f t="shared" si="66"/>
        <v>2030</v>
      </c>
      <c r="AH320" s="394">
        <v>47603</v>
      </c>
      <c r="AI320" s="4">
        <f t="shared" si="67"/>
        <v>7.51</v>
      </c>
      <c r="AJ320" s="4">
        <v>7.61</v>
      </c>
      <c r="AK320" s="4">
        <v>7.41</v>
      </c>
      <c r="AM320" s="4">
        <f t="shared" si="68"/>
        <v>2034</v>
      </c>
      <c r="AN320" s="337">
        <v>49004</v>
      </c>
      <c r="AO320" s="4">
        <f t="shared" si="69"/>
        <v>14.875</v>
      </c>
      <c r="AP320" s="4">
        <v>14.9</v>
      </c>
      <c r="AQ320" s="4">
        <v>14.85</v>
      </c>
    </row>
    <row r="321" spans="16:43">
      <c r="P321" s="4">
        <f t="shared" si="70"/>
        <v>2031</v>
      </c>
      <c r="Q321" s="396">
        <f t="shared" si="77"/>
        <v>48030</v>
      </c>
      <c r="R321" s="136">
        <v>95.65</v>
      </c>
      <c r="S321" s="136">
        <v>91.68</v>
      </c>
      <c r="T321" s="338">
        <f t="shared" si="74"/>
        <v>93.942900000000009</v>
      </c>
      <c r="U321" s="324">
        <v>416</v>
      </c>
      <c r="V321" s="324">
        <v>328</v>
      </c>
      <c r="W321" s="324">
        <f t="shared" si="71"/>
        <v>0.55913978494623651</v>
      </c>
      <c r="X321" s="324">
        <f t="shared" si="72"/>
        <v>0.44086021505376344</v>
      </c>
      <c r="AB321" s="4">
        <f t="shared" si="75"/>
        <v>2031</v>
      </c>
      <c r="AC321" s="394">
        <f t="shared" si="76"/>
        <v>48030</v>
      </c>
      <c r="AD321" s="135">
        <f t="shared" si="73"/>
        <v>12.006617727025555</v>
      </c>
      <c r="AE321" s="136">
        <v>12.006617727025555</v>
      </c>
      <c r="AG321" s="4">
        <f t="shared" si="66"/>
        <v>2030</v>
      </c>
      <c r="AH321" s="394">
        <v>47634</v>
      </c>
      <c r="AI321" s="4">
        <f t="shared" si="67"/>
        <v>7.51</v>
      </c>
      <c r="AJ321" s="4">
        <v>7.61</v>
      </c>
      <c r="AK321" s="4">
        <v>7.41</v>
      </c>
      <c r="AM321" s="4">
        <f t="shared" si="68"/>
        <v>2034</v>
      </c>
      <c r="AN321" s="337">
        <v>49035</v>
      </c>
      <c r="AO321" s="4">
        <f t="shared" si="69"/>
        <v>13.899999999999999</v>
      </c>
      <c r="AP321" s="4">
        <v>14.04</v>
      </c>
      <c r="AQ321" s="4">
        <v>13.76</v>
      </c>
    </row>
    <row r="322" spans="16:43">
      <c r="P322" s="4">
        <f t="shared" si="70"/>
        <v>2031</v>
      </c>
      <c r="Q322" s="396">
        <f t="shared" si="77"/>
        <v>48061</v>
      </c>
      <c r="R322" s="136">
        <v>96.12</v>
      </c>
      <c r="S322" s="136">
        <v>92.21</v>
      </c>
      <c r="T322" s="338">
        <f t="shared" si="74"/>
        <v>94.438699999999983</v>
      </c>
      <c r="U322" s="324">
        <v>416</v>
      </c>
      <c r="V322" s="324">
        <v>328</v>
      </c>
      <c r="W322" s="324">
        <f t="shared" si="71"/>
        <v>0.55913978494623651</v>
      </c>
      <c r="X322" s="324">
        <f t="shared" si="72"/>
        <v>0.44086021505376344</v>
      </c>
      <c r="AB322" s="4">
        <f t="shared" si="75"/>
        <v>2031</v>
      </c>
      <c r="AC322" s="394">
        <f t="shared" si="76"/>
        <v>48061</v>
      </c>
      <c r="AD322" s="135">
        <f t="shared" si="73"/>
        <v>12.006617727025555</v>
      </c>
      <c r="AE322" s="136">
        <v>12.006617727025555</v>
      </c>
      <c r="AG322" s="4">
        <f t="shared" si="66"/>
        <v>2030</v>
      </c>
      <c r="AH322" s="394">
        <v>47664</v>
      </c>
      <c r="AI322" s="4">
        <f t="shared" si="67"/>
        <v>7.625</v>
      </c>
      <c r="AJ322" s="4">
        <v>7.72</v>
      </c>
      <c r="AK322" s="4">
        <v>7.53</v>
      </c>
      <c r="AM322" s="4">
        <f t="shared" si="68"/>
        <v>2034</v>
      </c>
      <c r="AN322" s="337">
        <v>49065</v>
      </c>
      <c r="AO322" s="4">
        <f t="shared" si="69"/>
        <v>13.899999999999999</v>
      </c>
      <c r="AP322" s="4">
        <v>14.04</v>
      </c>
      <c r="AQ322" s="4">
        <v>13.76</v>
      </c>
    </row>
    <row r="323" spans="16:43">
      <c r="P323" s="4">
        <f t="shared" si="70"/>
        <v>2031</v>
      </c>
      <c r="Q323" s="396">
        <f t="shared" si="77"/>
        <v>48092</v>
      </c>
      <c r="R323" s="136">
        <v>95.28</v>
      </c>
      <c r="S323" s="136">
        <v>89.35</v>
      </c>
      <c r="T323" s="338">
        <f t="shared" si="74"/>
        <v>92.730099999999993</v>
      </c>
      <c r="U323" s="324">
        <v>400</v>
      </c>
      <c r="V323" s="324">
        <v>320</v>
      </c>
      <c r="W323" s="324">
        <f t="shared" si="71"/>
        <v>0.55555555555555558</v>
      </c>
      <c r="X323" s="324">
        <f t="shared" si="72"/>
        <v>0.44444444444444442</v>
      </c>
      <c r="AB323" s="4">
        <f t="shared" si="75"/>
        <v>2031</v>
      </c>
      <c r="AC323" s="394">
        <f t="shared" si="76"/>
        <v>48092</v>
      </c>
      <c r="AD323" s="135">
        <f t="shared" si="73"/>
        <v>12.006617727025555</v>
      </c>
      <c r="AE323" s="136">
        <v>12.006617727025555</v>
      </c>
      <c r="AG323" s="4">
        <f t="shared" si="66"/>
        <v>2030</v>
      </c>
      <c r="AH323" s="394">
        <v>47695</v>
      </c>
      <c r="AI323" s="4">
        <f t="shared" si="67"/>
        <v>7.7450000000000001</v>
      </c>
      <c r="AJ323" s="4">
        <v>7.84</v>
      </c>
      <c r="AK323" s="4">
        <v>7.65</v>
      </c>
      <c r="AM323" s="4">
        <f t="shared" si="68"/>
        <v>2034</v>
      </c>
      <c r="AN323" s="337">
        <v>49096</v>
      </c>
      <c r="AO323" s="4">
        <f t="shared" si="69"/>
        <v>14.120000000000001</v>
      </c>
      <c r="AP323" s="4">
        <v>14.26</v>
      </c>
      <c r="AQ323" s="4">
        <v>13.98</v>
      </c>
    </row>
    <row r="324" spans="16:43">
      <c r="P324" s="4">
        <f t="shared" si="70"/>
        <v>2031</v>
      </c>
      <c r="Q324" s="396">
        <f t="shared" si="77"/>
        <v>48122</v>
      </c>
      <c r="R324" s="136">
        <v>94.55</v>
      </c>
      <c r="S324" s="136">
        <v>82.55</v>
      </c>
      <c r="T324" s="338">
        <f t="shared" si="74"/>
        <v>89.389999999999986</v>
      </c>
      <c r="U324" s="324">
        <v>432</v>
      </c>
      <c r="V324" s="324">
        <v>312</v>
      </c>
      <c r="W324" s="324">
        <f t="shared" si="71"/>
        <v>0.58064516129032262</v>
      </c>
      <c r="X324" s="324">
        <f t="shared" si="72"/>
        <v>0.41935483870967744</v>
      </c>
      <c r="AB324" s="4">
        <f t="shared" si="75"/>
        <v>2031</v>
      </c>
      <c r="AC324" s="394">
        <f t="shared" si="76"/>
        <v>48122</v>
      </c>
      <c r="AD324" s="135">
        <f t="shared" si="73"/>
        <v>12.431441000543773</v>
      </c>
      <c r="AE324" s="136">
        <v>12.431441000543773</v>
      </c>
      <c r="AG324" s="4">
        <f t="shared" si="66"/>
        <v>2030</v>
      </c>
      <c r="AH324" s="394">
        <v>47726</v>
      </c>
      <c r="AI324" s="4">
        <f t="shared" si="67"/>
        <v>7.7450000000000001</v>
      </c>
      <c r="AJ324" s="4">
        <v>7.84</v>
      </c>
      <c r="AK324" s="4">
        <v>7.65</v>
      </c>
      <c r="AM324" s="4">
        <f t="shared" si="68"/>
        <v>2034</v>
      </c>
      <c r="AN324" s="337">
        <v>49126</v>
      </c>
      <c r="AO324" s="4">
        <f t="shared" si="69"/>
        <v>14.335000000000001</v>
      </c>
      <c r="AP324" s="4">
        <v>14.47</v>
      </c>
      <c r="AQ324" s="4">
        <v>14.2</v>
      </c>
    </row>
    <row r="325" spans="16:43">
      <c r="P325" s="4">
        <f t="shared" si="70"/>
        <v>2031</v>
      </c>
      <c r="Q325" s="396">
        <f t="shared" si="77"/>
        <v>48153</v>
      </c>
      <c r="R325" s="136">
        <v>106.79</v>
      </c>
      <c r="S325" s="136">
        <v>93.64</v>
      </c>
      <c r="T325" s="338">
        <f t="shared" si="74"/>
        <v>101.13550000000001</v>
      </c>
      <c r="U325" s="324">
        <v>384</v>
      </c>
      <c r="V325" s="324">
        <v>336</v>
      </c>
      <c r="W325" s="324">
        <f t="shared" si="71"/>
        <v>0.53333333333333333</v>
      </c>
      <c r="X325" s="324">
        <f t="shared" si="72"/>
        <v>0.46666666666666667</v>
      </c>
      <c r="AB325" s="4">
        <f t="shared" si="75"/>
        <v>2031</v>
      </c>
      <c r="AC325" s="394">
        <f t="shared" si="76"/>
        <v>48153</v>
      </c>
      <c r="AD325" s="135">
        <f t="shared" si="73"/>
        <v>12.614964654703643</v>
      </c>
      <c r="AE325" s="136">
        <v>12.614964654703643</v>
      </c>
      <c r="AG325" s="4">
        <f t="shared" si="66"/>
        <v>2030</v>
      </c>
      <c r="AH325" s="394">
        <v>47756</v>
      </c>
      <c r="AI325" s="4">
        <f t="shared" si="67"/>
        <v>7.7450000000000001</v>
      </c>
      <c r="AJ325" s="4">
        <v>7.84</v>
      </c>
      <c r="AK325" s="4">
        <v>7.65</v>
      </c>
      <c r="AM325" s="4">
        <f t="shared" si="68"/>
        <v>2034</v>
      </c>
      <c r="AN325" s="337">
        <v>49157</v>
      </c>
      <c r="AO325" s="4">
        <f t="shared" si="69"/>
        <v>14.335000000000001</v>
      </c>
      <c r="AP325" s="4">
        <v>14.47</v>
      </c>
      <c r="AQ325" s="4">
        <v>14.2</v>
      </c>
    </row>
    <row r="326" spans="16:43">
      <c r="P326" s="4">
        <f t="shared" si="70"/>
        <v>2031</v>
      </c>
      <c r="Q326" s="396">
        <f t="shared" si="77"/>
        <v>48183</v>
      </c>
      <c r="R326" s="136">
        <v>111.79</v>
      </c>
      <c r="S326" s="136">
        <v>102.52</v>
      </c>
      <c r="T326" s="338">
        <f t="shared" si="74"/>
        <v>107.8039</v>
      </c>
      <c r="U326" s="324">
        <v>416</v>
      </c>
      <c r="V326" s="324">
        <v>328</v>
      </c>
      <c r="W326" s="324">
        <f t="shared" si="71"/>
        <v>0.55913978494623651</v>
      </c>
      <c r="X326" s="324">
        <f t="shared" si="72"/>
        <v>0.44086021505376344</v>
      </c>
      <c r="AB326" s="4">
        <f t="shared" si="75"/>
        <v>2031</v>
      </c>
      <c r="AC326" s="394">
        <f t="shared" si="76"/>
        <v>48183</v>
      </c>
      <c r="AD326" s="135">
        <f t="shared" si="73"/>
        <v>13.216514410005436</v>
      </c>
      <c r="AE326" s="136">
        <v>13.216514410005436</v>
      </c>
      <c r="AG326" s="4">
        <f t="shared" si="66"/>
        <v>2030</v>
      </c>
      <c r="AH326" s="394">
        <v>47787</v>
      </c>
      <c r="AI326" s="4">
        <f t="shared" si="67"/>
        <v>8.0350000000000001</v>
      </c>
      <c r="AJ326" s="4">
        <v>8.07</v>
      </c>
      <c r="AK326" s="4">
        <v>8</v>
      </c>
      <c r="AM326" s="4">
        <f t="shared" si="68"/>
        <v>2034</v>
      </c>
      <c r="AN326" s="337">
        <v>49188</v>
      </c>
      <c r="AO326" s="4">
        <f t="shared" si="69"/>
        <v>14.335000000000001</v>
      </c>
      <c r="AP326" s="4">
        <v>14.47</v>
      </c>
      <c r="AQ326" s="4">
        <v>14.2</v>
      </c>
    </row>
    <row r="327" spans="16:43">
      <c r="P327" s="4">
        <f t="shared" si="70"/>
        <v>2032</v>
      </c>
      <c r="Q327" s="396">
        <f t="shared" si="77"/>
        <v>48214</v>
      </c>
      <c r="R327" s="136">
        <v>117.25</v>
      </c>
      <c r="S327" s="136">
        <v>105.82</v>
      </c>
      <c r="T327" s="338">
        <f t="shared" si="74"/>
        <v>112.33509999999998</v>
      </c>
      <c r="U327" s="324">
        <v>416</v>
      </c>
      <c r="V327" s="324">
        <v>328</v>
      </c>
      <c r="W327" s="324">
        <f t="shared" si="71"/>
        <v>0.55913978494623651</v>
      </c>
      <c r="X327" s="324">
        <f t="shared" si="72"/>
        <v>0.44086021505376344</v>
      </c>
      <c r="AB327" s="4">
        <f t="shared" si="75"/>
        <v>2032</v>
      </c>
      <c r="AC327" s="394">
        <f t="shared" si="76"/>
        <v>48214</v>
      </c>
      <c r="AD327" s="135">
        <f t="shared" si="73"/>
        <v>14.361837955410548</v>
      </c>
      <c r="AE327" s="136">
        <v>14.361837955410548</v>
      </c>
      <c r="AG327" s="4">
        <f t="shared" si="66"/>
        <v>2030</v>
      </c>
      <c r="AH327" s="394">
        <v>47817</v>
      </c>
      <c r="AI327" s="4">
        <f t="shared" si="67"/>
        <v>8.1499999999999986</v>
      </c>
      <c r="AJ327" s="4">
        <v>8.18</v>
      </c>
      <c r="AK327" s="4">
        <v>8.1199999999999992</v>
      </c>
      <c r="AM327" s="4">
        <f t="shared" si="68"/>
        <v>2034</v>
      </c>
      <c r="AN327" s="337">
        <v>49218</v>
      </c>
      <c r="AO327" s="4">
        <f t="shared" si="69"/>
        <v>14.875</v>
      </c>
      <c r="AP327" s="4">
        <v>14.9</v>
      </c>
      <c r="AQ327" s="4">
        <v>14.85</v>
      </c>
    </row>
    <row r="328" spans="16:43">
      <c r="P328" s="4">
        <f t="shared" si="70"/>
        <v>2032</v>
      </c>
      <c r="Q328" s="396">
        <f t="shared" si="77"/>
        <v>48245</v>
      </c>
      <c r="R328" s="136">
        <v>110.35</v>
      </c>
      <c r="S328" s="136">
        <v>95.98</v>
      </c>
      <c r="T328" s="338">
        <f t="shared" si="74"/>
        <v>104.17089999999999</v>
      </c>
      <c r="U328" s="324">
        <v>384</v>
      </c>
      <c r="V328" s="324">
        <v>312</v>
      </c>
      <c r="W328" s="324">
        <f t="shared" si="71"/>
        <v>0.55172413793103448</v>
      </c>
      <c r="X328" s="324">
        <f t="shared" si="72"/>
        <v>0.44827586206896552</v>
      </c>
      <c r="AB328" s="4">
        <f t="shared" si="75"/>
        <v>2032</v>
      </c>
      <c r="AC328" s="394">
        <f t="shared" si="76"/>
        <v>48245</v>
      </c>
      <c r="AD328" s="135">
        <f t="shared" si="73"/>
        <v>13.495198477433386</v>
      </c>
      <c r="AE328" s="136">
        <v>13.495198477433386</v>
      </c>
      <c r="AG328" s="4">
        <f t="shared" si="66"/>
        <v>2030</v>
      </c>
      <c r="AH328" s="394">
        <v>47848</v>
      </c>
      <c r="AI328" s="4">
        <f t="shared" si="67"/>
        <v>8.5599999999999987</v>
      </c>
      <c r="AJ328" s="4">
        <v>8.5299999999999994</v>
      </c>
      <c r="AK328" s="4">
        <v>8.59</v>
      </c>
      <c r="AM328" s="4">
        <f t="shared" si="68"/>
        <v>2034</v>
      </c>
      <c r="AN328" s="337">
        <v>49249</v>
      </c>
      <c r="AO328" s="4">
        <f t="shared" si="69"/>
        <v>15.09</v>
      </c>
      <c r="AP328" s="4">
        <v>15.11</v>
      </c>
      <c r="AQ328" s="4">
        <v>15.07</v>
      </c>
    </row>
    <row r="329" spans="16:43">
      <c r="P329" s="4">
        <f t="shared" si="70"/>
        <v>2032</v>
      </c>
      <c r="Q329" s="396">
        <f t="shared" si="77"/>
        <v>48274</v>
      </c>
      <c r="R329" s="136">
        <v>93.53</v>
      </c>
      <c r="S329" s="136">
        <v>83.63</v>
      </c>
      <c r="T329" s="338">
        <f t="shared" si="74"/>
        <v>89.272999999999996</v>
      </c>
      <c r="U329" s="324">
        <v>432</v>
      </c>
      <c r="V329" s="324">
        <v>312</v>
      </c>
      <c r="W329" s="324">
        <f t="shared" si="71"/>
        <v>0.58064516129032262</v>
      </c>
      <c r="X329" s="324">
        <f t="shared" si="72"/>
        <v>0.41935483870967744</v>
      </c>
      <c r="AB329" s="4">
        <f t="shared" si="75"/>
        <v>2032</v>
      </c>
      <c r="AC329" s="394">
        <f t="shared" si="76"/>
        <v>48274</v>
      </c>
      <c r="AD329" s="135">
        <f t="shared" si="73"/>
        <v>12.693132137030997</v>
      </c>
      <c r="AE329" s="136">
        <v>12.693132137030997</v>
      </c>
      <c r="AG329" s="4">
        <f t="shared" si="66"/>
        <v>2031</v>
      </c>
      <c r="AH329" s="394">
        <v>47879</v>
      </c>
      <c r="AI329" s="4">
        <f t="shared" si="67"/>
        <v>9.5249999999999986</v>
      </c>
      <c r="AJ329" s="4">
        <v>9.43</v>
      </c>
      <c r="AK329" s="4">
        <v>9.6199999999999992</v>
      </c>
      <c r="AM329" s="4">
        <f t="shared" si="68"/>
        <v>2034</v>
      </c>
      <c r="AN329" s="337">
        <v>49279</v>
      </c>
      <c r="AO329" s="4">
        <f t="shared" si="69"/>
        <v>15.85</v>
      </c>
      <c r="AP329" s="4">
        <v>15.75</v>
      </c>
      <c r="AQ329" s="4">
        <v>15.95</v>
      </c>
    </row>
    <row r="330" spans="16:43">
      <c r="P330" s="4">
        <f t="shared" si="70"/>
        <v>2032</v>
      </c>
      <c r="Q330" s="396">
        <f t="shared" si="77"/>
        <v>48305</v>
      </c>
      <c r="R330" s="136">
        <v>93.02</v>
      </c>
      <c r="S330" s="136">
        <v>88.62</v>
      </c>
      <c r="T330" s="338">
        <f t="shared" si="74"/>
        <v>91.127999999999986</v>
      </c>
      <c r="U330" s="324">
        <v>416</v>
      </c>
      <c r="V330" s="324">
        <v>304</v>
      </c>
      <c r="W330" s="324">
        <f t="shared" si="71"/>
        <v>0.57777777777777772</v>
      </c>
      <c r="X330" s="324">
        <f t="shared" si="72"/>
        <v>0.42222222222222222</v>
      </c>
      <c r="AB330" s="4">
        <f t="shared" si="75"/>
        <v>2032</v>
      </c>
      <c r="AC330" s="394">
        <f t="shared" si="76"/>
        <v>48305</v>
      </c>
      <c r="AD330" s="135">
        <f t="shared" si="73"/>
        <v>12.01341489940185</v>
      </c>
      <c r="AE330" s="136">
        <v>12.01341489940185</v>
      </c>
      <c r="AG330" s="4">
        <f t="shared" si="66"/>
        <v>2031</v>
      </c>
      <c r="AH330" s="394">
        <v>47907</v>
      </c>
      <c r="AI330" s="4">
        <f t="shared" si="67"/>
        <v>8.86</v>
      </c>
      <c r="AJ330" s="4">
        <v>8.83</v>
      </c>
      <c r="AK330" s="4">
        <v>8.89</v>
      </c>
      <c r="AM330" s="4">
        <f t="shared" si="68"/>
        <v>2035</v>
      </c>
      <c r="AN330" s="337">
        <v>49310</v>
      </c>
      <c r="AO330" s="4">
        <f t="shared" si="69"/>
        <v>17.34</v>
      </c>
      <c r="AP330" s="4">
        <v>17.11</v>
      </c>
      <c r="AQ330" s="4">
        <v>17.57</v>
      </c>
    </row>
    <row r="331" spans="16:43">
      <c r="P331" s="4">
        <f t="shared" si="70"/>
        <v>2032</v>
      </c>
      <c r="Q331" s="396">
        <f t="shared" si="77"/>
        <v>48335</v>
      </c>
      <c r="R331" s="136">
        <v>94.73</v>
      </c>
      <c r="S331" s="136">
        <v>89.11</v>
      </c>
      <c r="T331" s="338">
        <f t="shared" si="74"/>
        <v>92.313400000000001</v>
      </c>
      <c r="U331" s="324">
        <v>400</v>
      </c>
      <c r="V331" s="324">
        <v>344</v>
      </c>
      <c r="W331" s="324">
        <f t="shared" si="71"/>
        <v>0.5376344086021505</v>
      </c>
      <c r="X331" s="324">
        <f t="shared" si="72"/>
        <v>0.46236559139784944</v>
      </c>
      <c r="AB331" s="4">
        <f t="shared" si="75"/>
        <v>2032</v>
      </c>
      <c r="AC331" s="394">
        <f t="shared" si="76"/>
        <v>48335</v>
      </c>
      <c r="AD331" s="135">
        <f t="shared" si="73"/>
        <v>11.887667210440457</v>
      </c>
      <c r="AE331" s="136">
        <v>11.887667210440457</v>
      </c>
      <c r="AG331" s="4">
        <f t="shared" si="66"/>
        <v>2031</v>
      </c>
      <c r="AH331" s="394">
        <v>47938</v>
      </c>
      <c r="AI331" s="4">
        <f t="shared" si="67"/>
        <v>8.3149999999999995</v>
      </c>
      <c r="AJ331" s="4">
        <v>8.35</v>
      </c>
      <c r="AK331" s="4">
        <v>8.2799999999999994</v>
      </c>
      <c r="AM331" s="4">
        <f t="shared" si="68"/>
        <v>2035</v>
      </c>
      <c r="AN331" s="337">
        <v>49341</v>
      </c>
      <c r="AO331" s="4">
        <f t="shared" si="69"/>
        <v>16.130000000000003</v>
      </c>
      <c r="AP331" s="4">
        <v>16.03</v>
      </c>
      <c r="AQ331" s="4">
        <v>16.23</v>
      </c>
    </row>
    <row r="332" spans="16:43">
      <c r="P332" s="4">
        <f t="shared" si="70"/>
        <v>2032</v>
      </c>
      <c r="Q332" s="396">
        <f t="shared" si="77"/>
        <v>48366</v>
      </c>
      <c r="R332" s="136">
        <v>102.54</v>
      </c>
      <c r="S332" s="136">
        <v>91.51</v>
      </c>
      <c r="T332" s="338">
        <f t="shared" si="74"/>
        <v>97.7971</v>
      </c>
      <c r="U332" s="324">
        <v>416</v>
      </c>
      <c r="V332" s="324">
        <v>304</v>
      </c>
      <c r="W332" s="324">
        <f t="shared" si="71"/>
        <v>0.57777777777777772</v>
      </c>
      <c r="X332" s="324">
        <f t="shared" si="72"/>
        <v>0.42222222222222222</v>
      </c>
      <c r="AB332" s="4">
        <f t="shared" si="75"/>
        <v>2032</v>
      </c>
      <c r="AC332" s="394">
        <f t="shared" si="76"/>
        <v>48366</v>
      </c>
      <c r="AD332" s="135">
        <f t="shared" si="73"/>
        <v>12.077988036976619</v>
      </c>
      <c r="AE332" s="136">
        <v>12.077988036976619</v>
      </c>
      <c r="AG332" s="4">
        <f t="shared" si="66"/>
        <v>2031</v>
      </c>
      <c r="AH332" s="394">
        <v>47968</v>
      </c>
      <c r="AI332" s="4">
        <f t="shared" si="67"/>
        <v>7.77</v>
      </c>
      <c r="AJ332" s="4">
        <v>7.87</v>
      </c>
      <c r="AK332" s="4">
        <v>7.67</v>
      </c>
      <c r="AM332" s="4">
        <f t="shared" si="68"/>
        <v>2035</v>
      </c>
      <c r="AN332" s="337">
        <v>49369</v>
      </c>
      <c r="AO332" s="4">
        <f t="shared" si="69"/>
        <v>15.14</v>
      </c>
      <c r="AP332" s="4">
        <v>15.16</v>
      </c>
      <c r="AQ332" s="4">
        <v>15.12</v>
      </c>
    </row>
    <row r="333" spans="16:43">
      <c r="P333" s="4">
        <f t="shared" si="70"/>
        <v>2032</v>
      </c>
      <c r="Q333" s="396">
        <f t="shared" si="77"/>
        <v>48396</v>
      </c>
      <c r="R333" s="136">
        <v>97.66</v>
      </c>
      <c r="S333" s="136">
        <v>93.61</v>
      </c>
      <c r="T333" s="338">
        <f t="shared" si="74"/>
        <v>95.918499999999995</v>
      </c>
      <c r="U333" s="324">
        <v>416</v>
      </c>
      <c r="V333" s="324">
        <v>328</v>
      </c>
      <c r="W333" s="324">
        <f t="shared" si="71"/>
        <v>0.55913978494623651</v>
      </c>
      <c r="X333" s="324">
        <f t="shared" si="72"/>
        <v>0.44086021505376344</v>
      </c>
      <c r="AB333" s="4">
        <f t="shared" si="75"/>
        <v>2032</v>
      </c>
      <c r="AC333" s="394">
        <f t="shared" si="76"/>
        <v>48396</v>
      </c>
      <c r="AD333" s="135">
        <f t="shared" si="73"/>
        <v>12.261511691136484</v>
      </c>
      <c r="AE333" s="136">
        <v>12.261511691136484</v>
      </c>
      <c r="AG333" s="4">
        <f t="shared" ref="AG333:AG371" si="78">YEAR(AH333)</f>
        <v>2031</v>
      </c>
      <c r="AH333" s="394">
        <v>47999</v>
      </c>
      <c r="AI333" s="4">
        <f t="shared" ref="AI333:AI371" si="79">AVERAGE(AJ333:AK333)</f>
        <v>7.77</v>
      </c>
      <c r="AJ333" s="4">
        <v>7.87</v>
      </c>
      <c r="AK333" s="4">
        <v>7.67</v>
      </c>
      <c r="AM333" s="4">
        <f t="shared" ref="AM333:AM372" si="80">YEAR(AN333)</f>
        <v>2035</v>
      </c>
      <c r="AN333" s="337">
        <v>49400</v>
      </c>
      <c r="AO333" s="4">
        <f t="shared" ref="AO333:AO372" si="81">AVERAGE(AP333:AQ333)</f>
        <v>14.155000000000001</v>
      </c>
      <c r="AP333" s="4">
        <v>14.3</v>
      </c>
      <c r="AQ333" s="4">
        <v>14.01</v>
      </c>
    </row>
    <row r="334" spans="16:43">
      <c r="P334" s="4">
        <f t="shared" si="70"/>
        <v>2032</v>
      </c>
      <c r="Q334" s="396">
        <f t="shared" si="77"/>
        <v>48427</v>
      </c>
      <c r="R334" s="136">
        <v>98.14</v>
      </c>
      <c r="S334" s="136">
        <v>94.14</v>
      </c>
      <c r="T334" s="338">
        <f t="shared" si="74"/>
        <v>96.419999999999987</v>
      </c>
      <c r="U334" s="324">
        <v>416</v>
      </c>
      <c r="V334" s="324">
        <v>328</v>
      </c>
      <c r="W334" s="324">
        <f t="shared" si="71"/>
        <v>0.55913978494623651</v>
      </c>
      <c r="X334" s="324">
        <f t="shared" si="72"/>
        <v>0.44086021505376344</v>
      </c>
      <c r="AB334" s="4">
        <f t="shared" si="75"/>
        <v>2032</v>
      </c>
      <c r="AC334" s="394">
        <f t="shared" si="76"/>
        <v>48427</v>
      </c>
      <c r="AD334" s="135">
        <f t="shared" si="73"/>
        <v>12.261511691136484</v>
      </c>
      <c r="AE334" s="136">
        <v>12.261511691136484</v>
      </c>
      <c r="AG334" s="4">
        <f t="shared" si="78"/>
        <v>2031</v>
      </c>
      <c r="AH334" s="394">
        <v>48029</v>
      </c>
      <c r="AI334" s="4">
        <f t="shared" si="79"/>
        <v>7.8949999999999996</v>
      </c>
      <c r="AJ334" s="4">
        <v>7.99</v>
      </c>
      <c r="AK334" s="4">
        <v>7.8</v>
      </c>
      <c r="AM334" s="4">
        <f t="shared" si="80"/>
        <v>2035</v>
      </c>
      <c r="AN334" s="337">
        <v>49430</v>
      </c>
      <c r="AO334" s="4">
        <f t="shared" si="81"/>
        <v>14.155000000000001</v>
      </c>
      <c r="AP334" s="4">
        <v>14.3</v>
      </c>
      <c r="AQ334" s="4">
        <v>14.01</v>
      </c>
    </row>
    <row r="335" spans="16:43">
      <c r="P335" s="4">
        <f t="shared" si="70"/>
        <v>2032</v>
      </c>
      <c r="Q335" s="396">
        <f t="shared" si="77"/>
        <v>48458</v>
      </c>
      <c r="R335" s="136">
        <v>97.28</v>
      </c>
      <c r="S335" s="136">
        <v>91.22</v>
      </c>
      <c r="T335" s="338">
        <f t="shared" si="74"/>
        <v>94.674199999999999</v>
      </c>
      <c r="U335" s="324">
        <v>400</v>
      </c>
      <c r="V335" s="324">
        <v>320</v>
      </c>
      <c r="W335" s="324">
        <f t="shared" si="71"/>
        <v>0.55555555555555558</v>
      </c>
      <c r="X335" s="324">
        <f t="shared" si="72"/>
        <v>0.44444444444444442</v>
      </c>
      <c r="AB335" s="4">
        <f t="shared" si="75"/>
        <v>2032</v>
      </c>
      <c r="AC335" s="394">
        <f t="shared" si="76"/>
        <v>48458</v>
      </c>
      <c r="AD335" s="135">
        <f t="shared" si="73"/>
        <v>12.261511691136484</v>
      </c>
      <c r="AE335" s="136">
        <v>12.261511691136484</v>
      </c>
      <c r="AG335" s="4">
        <f t="shared" si="78"/>
        <v>2031</v>
      </c>
      <c r="AH335" s="394">
        <v>48060</v>
      </c>
      <c r="AI335" s="4">
        <f t="shared" si="79"/>
        <v>8.0150000000000006</v>
      </c>
      <c r="AJ335" s="4">
        <v>8.11</v>
      </c>
      <c r="AK335" s="4">
        <v>7.92</v>
      </c>
      <c r="AM335" s="4">
        <f t="shared" si="80"/>
        <v>2035</v>
      </c>
      <c r="AN335" s="337">
        <v>49461</v>
      </c>
      <c r="AO335" s="4">
        <f t="shared" si="81"/>
        <v>14.370000000000001</v>
      </c>
      <c r="AP335" s="4">
        <v>14.51</v>
      </c>
      <c r="AQ335" s="4">
        <v>14.23</v>
      </c>
    </row>
    <row r="336" spans="16:43">
      <c r="P336" s="4">
        <f t="shared" ref="P336:P383" si="82">+YEAR(Q336)</f>
        <v>2032</v>
      </c>
      <c r="Q336" s="396">
        <f t="shared" si="77"/>
        <v>48488</v>
      </c>
      <c r="R336" s="136">
        <v>96.54</v>
      </c>
      <c r="S336" s="136">
        <v>84.28</v>
      </c>
      <c r="T336" s="338">
        <f t="shared" si="74"/>
        <v>91.268200000000007</v>
      </c>
      <c r="U336" s="324">
        <v>416</v>
      </c>
      <c r="V336" s="324">
        <v>328</v>
      </c>
      <c r="W336" s="324">
        <f t="shared" ref="W336:W383" si="83">U336/(U336+V336)</f>
        <v>0.55913978494623651</v>
      </c>
      <c r="X336" s="324">
        <f t="shared" ref="X336:X383" si="84">V336/(U336+V336)</f>
        <v>0.44086021505376344</v>
      </c>
      <c r="AB336" s="4">
        <f t="shared" si="75"/>
        <v>2032</v>
      </c>
      <c r="AC336" s="394">
        <f t="shared" si="76"/>
        <v>48488</v>
      </c>
      <c r="AD336" s="135">
        <f t="shared" ref="AD336:AD383" si="85">AE336</f>
        <v>12.693132137030997</v>
      </c>
      <c r="AE336" s="136">
        <v>12.693132137030997</v>
      </c>
      <c r="AG336" s="4">
        <f t="shared" si="78"/>
        <v>2031</v>
      </c>
      <c r="AH336" s="394">
        <v>48091</v>
      </c>
      <c r="AI336" s="4">
        <f t="shared" si="79"/>
        <v>8.0150000000000006</v>
      </c>
      <c r="AJ336" s="4">
        <v>8.11</v>
      </c>
      <c r="AK336" s="4">
        <v>7.92</v>
      </c>
      <c r="AM336" s="4">
        <f t="shared" si="80"/>
        <v>2035</v>
      </c>
      <c r="AN336" s="337">
        <v>49491</v>
      </c>
      <c r="AO336" s="4">
        <f t="shared" si="81"/>
        <v>14.59</v>
      </c>
      <c r="AP336" s="4">
        <v>14.73</v>
      </c>
      <c r="AQ336" s="4">
        <v>14.45</v>
      </c>
    </row>
    <row r="337" spans="16:43">
      <c r="P337" s="4">
        <f t="shared" si="82"/>
        <v>2032</v>
      </c>
      <c r="Q337" s="396">
        <f t="shared" si="77"/>
        <v>48519</v>
      </c>
      <c r="R337" s="136">
        <v>109.03</v>
      </c>
      <c r="S337" s="136">
        <v>95.61</v>
      </c>
      <c r="T337" s="338">
        <f t="shared" si="74"/>
        <v>103.2594</v>
      </c>
      <c r="U337" s="324">
        <v>400</v>
      </c>
      <c r="V337" s="324">
        <v>320</v>
      </c>
      <c r="W337" s="324">
        <f t="shared" si="83"/>
        <v>0.55555555555555558</v>
      </c>
      <c r="X337" s="324">
        <f t="shared" si="84"/>
        <v>0.44444444444444442</v>
      </c>
      <c r="AB337" s="4">
        <f t="shared" si="75"/>
        <v>2032</v>
      </c>
      <c r="AC337" s="394">
        <f t="shared" si="76"/>
        <v>48519</v>
      </c>
      <c r="AD337" s="135">
        <f t="shared" si="85"/>
        <v>12.876655791190865</v>
      </c>
      <c r="AE337" s="136">
        <v>12.876655791190865</v>
      </c>
      <c r="AG337" s="4">
        <f t="shared" si="78"/>
        <v>2031</v>
      </c>
      <c r="AH337" s="394">
        <v>48121</v>
      </c>
      <c r="AI337" s="4">
        <f t="shared" si="79"/>
        <v>8.0150000000000006</v>
      </c>
      <c r="AJ337" s="4">
        <v>8.11</v>
      </c>
      <c r="AK337" s="4">
        <v>7.92</v>
      </c>
      <c r="AM337" s="4">
        <f t="shared" si="80"/>
        <v>2035</v>
      </c>
      <c r="AN337" s="337">
        <v>49522</v>
      </c>
      <c r="AO337" s="4">
        <f t="shared" si="81"/>
        <v>14.59</v>
      </c>
      <c r="AP337" s="4">
        <v>14.73</v>
      </c>
      <c r="AQ337" s="4">
        <v>14.45</v>
      </c>
    </row>
    <row r="338" spans="16:43">
      <c r="P338" s="4">
        <f t="shared" si="82"/>
        <v>2032</v>
      </c>
      <c r="Q338" s="396">
        <f t="shared" si="77"/>
        <v>48549</v>
      </c>
      <c r="R338" s="136">
        <v>114.14</v>
      </c>
      <c r="S338" s="136">
        <v>104.67</v>
      </c>
      <c r="T338" s="338">
        <f t="shared" si="74"/>
        <v>110.06789999999999</v>
      </c>
      <c r="U338" s="324">
        <v>416</v>
      </c>
      <c r="V338" s="324">
        <v>328</v>
      </c>
      <c r="W338" s="324">
        <f t="shared" si="83"/>
        <v>0.55913978494623651</v>
      </c>
      <c r="X338" s="324">
        <f t="shared" si="84"/>
        <v>0.44086021505376344</v>
      </c>
      <c r="AB338" s="4">
        <f t="shared" si="75"/>
        <v>2032</v>
      </c>
      <c r="AC338" s="394">
        <f t="shared" si="76"/>
        <v>48549</v>
      </c>
      <c r="AD338" s="135">
        <f t="shared" si="85"/>
        <v>13.495198477433386</v>
      </c>
      <c r="AE338" s="136">
        <v>13.495198477433386</v>
      </c>
      <c r="AG338" s="4">
        <f t="shared" si="78"/>
        <v>2031</v>
      </c>
      <c r="AH338" s="394">
        <v>48152</v>
      </c>
      <c r="AI338" s="4">
        <f t="shared" si="79"/>
        <v>8.3149999999999995</v>
      </c>
      <c r="AJ338" s="4">
        <v>8.35</v>
      </c>
      <c r="AK338" s="4">
        <v>8.2799999999999994</v>
      </c>
      <c r="AM338" s="4">
        <f t="shared" si="80"/>
        <v>2035</v>
      </c>
      <c r="AN338" s="337">
        <v>49553</v>
      </c>
      <c r="AO338" s="4">
        <f t="shared" si="81"/>
        <v>14.59</v>
      </c>
      <c r="AP338" s="4">
        <v>14.73</v>
      </c>
      <c r="AQ338" s="4">
        <v>14.45</v>
      </c>
    </row>
    <row r="339" spans="16:43">
      <c r="P339" s="4">
        <f t="shared" si="82"/>
        <v>2033</v>
      </c>
      <c r="Q339" s="396">
        <f t="shared" si="77"/>
        <v>48580</v>
      </c>
      <c r="R339" s="136">
        <v>119.71</v>
      </c>
      <c r="S339" s="136">
        <v>108.04</v>
      </c>
      <c r="T339" s="338">
        <f t="shared" si="74"/>
        <v>114.69189999999999</v>
      </c>
      <c r="U339" s="324">
        <v>400</v>
      </c>
      <c r="V339" s="324">
        <v>344</v>
      </c>
      <c r="W339" s="324">
        <f t="shared" si="83"/>
        <v>0.5376344086021505</v>
      </c>
      <c r="X339" s="324">
        <f t="shared" si="84"/>
        <v>0.46236559139784944</v>
      </c>
      <c r="AB339" s="4">
        <f t="shared" si="75"/>
        <v>2033</v>
      </c>
      <c r="AC339" s="394">
        <f t="shared" si="76"/>
        <v>48580</v>
      </c>
      <c r="AD339" s="135">
        <f t="shared" si="85"/>
        <v>14.664312126155517</v>
      </c>
      <c r="AE339" s="136">
        <v>14.664312126155517</v>
      </c>
      <c r="AG339" s="4">
        <f t="shared" si="78"/>
        <v>2031</v>
      </c>
      <c r="AH339" s="394">
        <v>48182</v>
      </c>
      <c r="AI339" s="4">
        <f t="shared" si="79"/>
        <v>8.4350000000000005</v>
      </c>
      <c r="AJ339" s="4">
        <v>8.4700000000000006</v>
      </c>
      <c r="AK339" s="4">
        <v>8.4</v>
      </c>
      <c r="AM339" s="4">
        <f t="shared" si="80"/>
        <v>2035</v>
      </c>
      <c r="AN339" s="337">
        <v>49583</v>
      </c>
      <c r="AO339" s="4">
        <f t="shared" si="81"/>
        <v>15.14</v>
      </c>
      <c r="AP339" s="4">
        <v>15.16</v>
      </c>
      <c r="AQ339" s="4">
        <v>15.12</v>
      </c>
    </row>
    <row r="340" spans="16:43">
      <c r="P340" s="4">
        <f t="shared" si="82"/>
        <v>2033</v>
      </c>
      <c r="Q340" s="396">
        <f t="shared" si="77"/>
        <v>48611</v>
      </c>
      <c r="R340" s="136">
        <v>112.67</v>
      </c>
      <c r="S340" s="136">
        <v>97.99</v>
      </c>
      <c r="T340" s="338">
        <f t="shared" si="74"/>
        <v>106.35759999999999</v>
      </c>
      <c r="U340" s="324">
        <v>384</v>
      </c>
      <c r="V340" s="324">
        <v>288</v>
      </c>
      <c r="W340" s="324">
        <f t="shared" si="83"/>
        <v>0.5714285714285714</v>
      </c>
      <c r="X340" s="324">
        <f t="shared" si="84"/>
        <v>0.42857142857142855</v>
      </c>
      <c r="AB340" s="4">
        <f t="shared" si="75"/>
        <v>2033</v>
      </c>
      <c r="AC340" s="394">
        <f t="shared" si="76"/>
        <v>48611</v>
      </c>
      <c r="AD340" s="135">
        <f t="shared" si="85"/>
        <v>13.780679717237627</v>
      </c>
      <c r="AE340" s="136">
        <v>13.780679717237627</v>
      </c>
      <c r="AG340" s="4">
        <f t="shared" si="78"/>
        <v>2031</v>
      </c>
      <c r="AH340" s="394">
        <v>48213</v>
      </c>
      <c r="AI340" s="4">
        <f t="shared" si="79"/>
        <v>8.86</v>
      </c>
      <c r="AJ340" s="4">
        <v>8.83</v>
      </c>
      <c r="AK340" s="4">
        <v>8.89</v>
      </c>
      <c r="AM340" s="4">
        <f t="shared" si="80"/>
        <v>2035</v>
      </c>
      <c r="AN340" s="337">
        <v>49614</v>
      </c>
      <c r="AO340" s="4">
        <f t="shared" si="81"/>
        <v>15.36</v>
      </c>
      <c r="AP340" s="4">
        <v>15.38</v>
      </c>
      <c r="AQ340" s="4">
        <v>15.34</v>
      </c>
    </row>
    <row r="341" spans="16:43">
      <c r="P341" s="4">
        <f t="shared" si="82"/>
        <v>2033</v>
      </c>
      <c r="Q341" s="396">
        <f t="shared" si="77"/>
        <v>48639</v>
      </c>
      <c r="R341" s="136">
        <v>95.49</v>
      </c>
      <c r="S341" s="136">
        <v>85.39</v>
      </c>
      <c r="T341" s="338">
        <f t="shared" si="74"/>
        <v>91.146999999999991</v>
      </c>
      <c r="U341" s="324">
        <v>432</v>
      </c>
      <c r="V341" s="324">
        <v>312</v>
      </c>
      <c r="W341" s="324">
        <f t="shared" si="83"/>
        <v>0.58064516129032262</v>
      </c>
      <c r="X341" s="324">
        <f t="shared" si="84"/>
        <v>0.41935483870967744</v>
      </c>
      <c r="AB341" s="4">
        <f t="shared" si="75"/>
        <v>2033</v>
      </c>
      <c r="AC341" s="394">
        <f t="shared" si="76"/>
        <v>48639</v>
      </c>
      <c r="AD341" s="135">
        <f t="shared" si="85"/>
        <v>12.958221859706361</v>
      </c>
      <c r="AE341" s="136">
        <v>12.958221859706361</v>
      </c>
      <c r="AG341" s="4">
        <f t="shared" si="78"/>
        <v>2032</v>
      </c>
      <c r="AH341" s="394">
        <v>48244</v>
      </c>
      <c r="AI341" s="4">
        <f t="shared" si="79"/>
        <v>9.86</v>
      </c>
      <c r="AJ341" s="4">
        <v>9.76</v>
      </c>
      <c r="AK341" s="4">
        <v>9.9600000000000009</v>
      </c>
      <c r="AM341" s="4">
        <f t="shared" si="80"/>
        <v>2035</v>
      </c>
      <c r="AN341" s="337">
        <v>49644</v>
      </c>
      <c r="AO341" s="4">
        <f t="shared" si="81"/>
        <v>16.130000000000003</v>
      </c>
      <c r="AP341" s="4">
        <v>16.03</v>
      </c>
      <c r="AQ341" s="4">
        <v>16.23</v>
      </c>
    </row>
    <row r="342" spans="16:43">
      <c r="P342" s="4">
        <f t="shared" si="82"/>
        <v>2033</v>
      </c>
      <c r="Q342" s="396">
        <f t="shared" si="77"/>
        <v>48670</v>
      </c>
      <c r="R342" s="136">
        <v>94.98</v>
      </c>
      <c r="S342" s="136">
        <v>90.49</v>
      </c>
      <c r="T342" s="338">
        <f t="shared" si="74"/>
        <v>93.049299999999988</v>
      </c>
      <c r="U342" s="324">
        <v>416</v>
      </c>
      <c r="V342" s="324">
        <v>304</v>
      </c>
      <c r="W342" s="324">
        <f t="shared" si="83"/>
        <v>0.57777777777777772</v>
      </c>
      <c r="X342" s="324">
        <f t="shared" si="84"/>
        <v>0.42222222222222222</v>
      </c>
      <c r="AB342" s="4">
        <f t="shared" si="75"/>
        <v>2033</v>
      </c>
      <c r="AC342" s="394">
        <f t="shared" si="76"/>
        <v>48670</v>
      </c>
      <c r="AD342" s="135">
        <f t="shared" si="85"/>
        <v>12.264910277324633</v>
      </c>
      <c r="AE342" s="136">
        <v>12.264910277324633</v>
      </c>
      <c r="AG342" s="4">
        <f t="shared" si="78"/>
        <v>2032</v>
      </c>
      <c r="AH342" s="394">
        <v>48273</v>
      </c>
      <c r="AI342" s="4">
        <f t="shared" si="79"/>
        <v>9.17</v>
      </c>
      <c r="AJ342" s="4">
        <v>9.14</v>
      </c>
      <c r="AK342" s="4">
        <v>9.1999999999999993</v>
      </c>
      <c r="AM342" s="4">
        <f t="shared" si="80"/>
        <v>2036</v>
      </c>
      <c r="AN342" s="337">
        <v>49675</v>
      </c>
      <c r="AO342" s="4">
        <f t="shared" si="81"/>
        <v>17.649999999999999</v>
      </c>
      <c r="AP342" s="4">
        <v>17.420000000000002</v>
      </c>
      <c r="AQ342" s="4">
        <v>17.88</v>
      </c>
    </row>
    <row r="343" spans="16:43">
      <c r="P343" s="4">
        <f t="shared" si="82"/>
        <v>2033</v>
      </c>
      <c r="Q343" s="396">
        <f t="shared" si="77"/>
        <v>48700</v>
      </c>
      <c r="R343" s="136">
        <v>96.72</v>
      </c>
      <c r="S343" s="136">
        <v>90.98</v>
      </c>
      <c r="T343" s="338">
        <f t="shared" si="74"/>
        <v>94.251800000000003</v>
      </c>
      <c r="U343" s="324">
        <v>400</v>
      </c>
      <c r="V343" s="324">
        <v>344</v>
      </c>
      <c r="W343" s="324">
        <f t="shared" si="83"/>
        <v>0.5376344086021505</v>
      </c>
      <c r="X343" s="324">
        <f t="shared" si="84"/>
        <v>0.46236559139784944</v>
      </c>
      <c r="AB343" s="4">
        <f t="shared" si="75"/>
        <v>2033</v>
      </c>
      <c r="AC343" s="394">
        <f t="shared" si="76"/>
        <v>48700</v>
      </c>
      <c r="AD343" s="135">
        <f t="shared" si="85"/>
        <v>12.135764002175096</v>
      </c>
      <c r="AE343" s="136">
        <v>12.135764002175096</v>
      </c>
      <c r="AG343" s="4">
        <f t="shared" si="78"/>
        <v>2032</v>
      </c>
      <c r="AH343" s="394">
        <v>48304</v>
      </c>
      <c r="AI343" s="4">
        <f t="shared" si="79"/>
        <v>8.6050000000000004</v>
      </c>
      <c r="AJ343" s="4">
        <v>8.64</v>
      </c>
      <c r="AK343" s="4">
        <v>8.57</v>
      </c>
      <c r="AM343" s="4">
        <f t="shared" si="80"/>
        <v>2036</v>
      </c>
      <c r="AN343" s="337">
        <v>49706</v>
      </c>
      <c r="AO343" s="4">
        <f t="shared" si="81"/>
        <v>16.420000000000002</v>
      </c>
      <c r="AP343" s="4">
        <v>16.32</v>
      </c>
      <c r="AQ343" s="4">
        <v>16.52</v>
      </c>
    </row>
    <row r="344" spans="16:43">
      <c r="P344" s="4">
        <f t="shared" si="82"/>
        <v>2033</v>
      </c>
      <c r="Q344" s="396">
        <f t="shared" si="77"/>
        <v>48731</v>
      </c>
      <c r="R344" s="136">
        <v>104.69</v>
      </c>
      <c r="S344" s="136">
        <v>93.43</v>
      </c>
      <c r="T344" s="338">
        <f t="shared" ref="T344:T383" si="86">R344*0.57+S344*0.43</f>
        <v>99.848199999999991</v>
      </c>
      <c r="U344" s="324">
        <v>416</v>
      </c>
      <c r="V344" s="324">
        <v>304</v>
      </c>
      <c r="W344" s="324">
        <f t="shared" si="83"/>
        <v>0.57777777777777772</v>
      </c>
      <c r="X344" s="324">
        <f t="shared" si="84"/>
        <v>0.42222222222222222</v>
      </c>
      <c r="AB344" s="4">
        <f t="shared" si="75"/>
        <v>2033</v>
      </c>
      <c r="AC344" s="394">
        <f t="shared" si="76"/>
        <v>48731</v>
      </c>
      <c r="AD344" s="135">
        <f t="shared" si="85"/>
        <v>12.326084828711256</v>
      </c>
      <c r="AE344" s="136">
        <v>12.326084828711256</v>
      </c>
      <c r="AG344" s="4">
        <f t="shared" si="78"/>
        <v>2032</v>
      </c>
      <c r="AH344" s="394">
        <v>48334</v>
      </c>
      <c r="AI344" s="4">
        <f t="shared" si="79"/>
        <v>8.0449999999999999</v>
      </c>
      <c r="AJ344" s="4">
        <v>8.15</v>
      </c>
      <c r="AK344" s="4">
        <v>7.94</v>
      </c>
      <c r="AM344" s="4">
        <f t="shared" si="80"/>
        <v>2036</v>
      </c>
      <c r="AN344" s="337">
        <v>49735</v>
      </c>
      <c r="AO344" s="4">
        <f t="shared" si="81"/>
        <v>15.414999999999999</v>
      </c>
      <c r="AP344" s="4">
        <v>15.44</v>
      </c>
      <c r="AQ344" s="4">
        <v>15.39</v>
      </c>
    </row>
    <row r="345" spans="16:43">
      <c r="P345" s="4">
        <f t="shared" si="82"/>
        <v>2033</v>
      </c>
      <c r="Q345" s="396">
        <f t="shared" si="77"/>
        <v>48761</v>
      </c>
      <c r="R345" s="136">
        <v>99.71</v>
      </c>
      <c r="S345" s="136">
        <v>95.57</v>
      </c>
      <c r="T345" s="338">
        <f t="shared" si="86"/>
        <v>97.929799999999986</v>
      </c>
      <c r="U345" s="324">
        <v>400</v>
      </c>
      <c r="V345" s="324">
        <v>344</v>
      </c>
      <c r="W345" s="324">
        <f t="shared" si="83"/>
        <v>0.5376344086021505</v>
      </c>
      <c r="X345" s="324">
        <f t="shared" si="84"/>
        <v>0.46236559139784944</v>
      </c>
      <c r="AB345" s="4">
        <f t="shared" si="75"/>
        <v>2033</v>
      </c>
      <c r="AC345" s="394">
        <f t="shared" si="76"/>
        <v>48761</v>
      </c>
      <c r="AD345" s="135">
        <f t="shared" si="85"/>
        <v>12.519804241435562</v>
      </c>
      <c r="AE345" s="136">
        <v>12.519804241435562</v>
      </c>
      <c r="AG345" s="4">
        <f t="shared" si="78"/>
        <v>2032</v>
      </c>
      <c r="AH345" s="394">
        <v>48365</v>
      </c>
      <c r="AI345" s="4">
        <f t="shared" si="79"/>
        <v>8.0449999999999999</v>
      </c>
      <c r="AJ345" s="4">
        <v>8.15</v>
      </c>
      <c r="AK345" s="4">
        <v>7.94</v>
      </c>
      <c r="AM345" s="4">
        <f t="shared" si="80"/>
        <v>2036</v>
      </c>
      <c r="AN345" s="337">
        <v>49766</v>
      </c>
      <c r="AO345" s="4">
        <f t="shared" si="81"/>
        <v>14.405000000000001</v>
      </c>
      <c r="AP345" s="4">
        <v>14.55</v>
      </c>
      <c r="AQ345" s="4">
        <v>14.26</v>
      </c>
    </row>
    <row r="346" spans="16:43">
      <c r="P346" s="4">
        <f t="shared" si="82"/>
        <v>2033</v>
      </c>
      <c r="Q346" s="396">
        <f t="shared" si="77"/>
        <v>48792</v>
      </c>
      <c r="R346" s="136">
        <v>100.2</v>
      </c>
      <c r="S346" s="136">
        <v>96.12</v>
      </c>
      <c r="T346" s="338">
        <f t="shared" si="86"/>
        <v>98.445599999999999</v>
      </c>
      <c r="U346" s="324">
        <v>432</v>
      </c>
      <c r="V346" s="324">
        <v>312</v>
      </c>
      <c r="W346" s="324">
        <f t="shared" si="83"/>
        <v>0.58064516129032262</v>
      </c>
      <c r="X346" s="324">
        <f t="shared" si="84"/>
        <v>0.41935483870967744</v>
      </c>
      <c r="AB346" s="4">
        <f t="shared" si="75"/>
        <v>2033</v>
      </c>
      <c r="AC346" s="394">
        <f t="shared" si="76"/>
        <v>48792</v>
      </c>
      <c r="AD346" s="135">
        <f t="shared" si="85"/>
        <v>12.519804241435562</v>
      </c>
      <c r="AE346" s="136">
        <v>12.519804241435562</v>
      </c>
      <c r="AG346" s="4">
        <f t="shared" si="78"/>
        <v>2032</v>
      </c>
      <c r="AH346" s="394">
        <v>48395</v>
      </c>
      <c r="AI346" s="4">
        <f t="shared" si="79"/>
        <v>8.17</v>
      </c>
      <c r="AJ346" s="4">
        <v>8.27</v>
      </c>
      <c r="AK346" s="4">
        <v>8.07</v>
      </c>
      <c r="AM346" s="4">
        <f t="shared" si="80"/>
        <v>2036</v>
      </c>
      <c r="AN346" s="337">
        <v>49796</v>
      </c>
      <c r="AO346" s="4">
        <f t="shared" si="81"/>
        <v>14.405000000000001</v>
      </c>
      <c r="AP346" s="4">
        <v>14.55</v>
      </c>
      <c r="AQ346" s="4">
        <v>14.26</v>
      </c>
    </row>
    <row r="347" spans="16:43">
      <c r="P347" s="4">
        <f t="shared" si="82"/>
        <v>2033</v>
      </c>
      <c r="Q347" s="396">
        <f t="shared" si="77"/>
        <v>48823</v>
      </c>
      <c r="R347" s="136">
        <v>99.33</v>
      </c>
      <c r="S347" s="136">
        <v>93.14</v>
      </c>
      <c r="T347" s="338">
        <f t="shared" si="86"/>
        <v>96.668299999999988</v>
      </c>
      <c r="U347" s="324">
        <v>400</v>
      </c>
      <c r="V347" s="324">
        <v>320</v>
      </c>
      <c r="W347" s="324">
        <f t="shared" si="83"/>
        <v>0.55555555555555558</v>
      </c>
      <c r="X347" s="324">
        <f t="shared" si="84"/>
        <v>0.44444444444444442</v>
      </c>
      <c r="AB347" s="4">
        <f t="shared" si="75"/>
        <v>2033</v>
      </c>
      <c r="AC347" s="394">
        <f t="shared" si="76"/>
        <v>48823</v>
      </c>
      <c r="AD347" s="135">
        <f t="shared" si="85"/>
        <v>12.519804241435562</v>
      </c>
      <c r="AE347" s="136">
        <v>12.519804241435562</v>
      </c>
      <c r="AG347" s="4">
        <f t="shared" si="78"/>
        <v>2032</v>
      </c>
      <c r="AH347" s="394">
        <v>48426</v>
      </c>
      <c r="AI347" s="4">
        <f t="shared" si="79"/>
        <v>8.2949999999999999</v>
      </c>
      <c r="AJ347" s="4">
        <v>8.4</v>
      </c>
      <c r="AK347" s="4">
        <v>8.19</v>
      </c>
      <c r="AM347" s="4">
        <f t="shared" si="80"/>
        <v>2036</v>
      </c>
      <c r="AN347" s="337">
        <v>49827</v>
      </c>
      <c r="AO347" s="4">
        <f t="shared" si="81"/>
        <v>14.629999999999999</v>
      </c>
      <c r="AP347" s="4">
        <v>14.77</v>
      </c>
      <c r="AQ347" s="4">
        <v>14.49</v>
      </c>
    </row>
    <row r="348" spans="16:43">
      <c r="P348" s="4">
        <f t="shared" si="82"/>
        <v>2033</v>
      </c>
      <c r="Q348" s="396">
        <f t="shared" si="77"/>
        <v>48853</v>
      </c>
      <c r="R348" s="136">
        <v>98.57</v>
      </c>
      <c r="S348" s="136">
        <v>86.05</v>
      </c>
      <c r="T348" s="338">
        <f t="shared" si="86"/>
        <v>93.186399999999992</v>
      </c>
      <c r="U348" s="324">
        <v>416</v>
      </c>
      <c r="V348" s="324">
        <v>328</v>
      </c>
      <c r="W348" s="324">
        <f t="shared" si="83"/>
        <v>0.55913978494623651</v>
      </c>
      <c r="X348" s="324">
        <f t="shared" si="84"/>
        <v>0.44086021505376344</v>
      </c>
      <c r="AB348" s="4">
        <f t="shared" ref="AB348:AB383" si="87">+YEAR(AC348)</f>
        <v>2033</v>
      </c>
      <c r="AC348" s="394">
        <f t="shared" si="76"/>
        <v>48853</v>
      </c>
      <c r="AD348" s="135">
        <f t="shared" si="85"/>
        <v>12.958221859706361</v>
      </c>
      <c r="AE348" s="136">
        <v>12.958221859706361</v>
      </c>
      <c r="AG348" s="4">
        <f t="shared" si="78"/>
        <v>2032</v>
      </c>
      <c r="AH348" s="394">
        <v>48457</v>
      </c>
      <c r="AI348" s="4">
        <f t="shared" si="79"/>
        <v>8.2949999999999999</v>
      </c>
      <c r="AJ348" s="4">
        <v>8.4</v>
      </c>
      <c r="AK348" s="4">
        <v>8.19</v>
      </c>
      <c r="AM348" s="4">
        <f t="shared" si="80"/>
        <v>2036</v>
      </c>
      <c r="AN348" s="337">
        <v>49857</v>
      </c>
      <c r="AO348" s="4">
        <f t="shared" si="81"/>
        <v>14.855</v>
      </c>
      <c r="AP348" s="4">
        <v>15</v>
      </c>
      <c r="AQ348" s="4">
        <v>14.71</v>
      </c>
    </row>
    <row r="349" spans="16:43">
      <c r="P349" s="4">
        <f t="shared" si="82"/>
        <v>2033</v>
      </c>
      <c r="Q349" s="396">
        <f t="shared" si="77"/>
        <v>48884</v>
      </c>
      <c r="R349" s="136">
        <v>111.32</v>
      </c>
      <c r="S349" s="136">
        <v>97.62</v>
      </c>
      <c r="T349" s="338">
        <f t="shared" si="86"/>
        <v>105.429</v>
      </c>
      <c r="U349" s="324">
        <v>400</v>
      </c>
      <c r="V349" s="324">
        <v>320</v>
      </c>
      <c r="W349" s="324">
        <f t="shared" si="83"/>
        <v>0.55555555555555558</v>
      </c>
      <c r="X349" s="324">
        <f t="shared" si="84"/>
        <v>0.44444444444444442</v>
      </c>
      <c r="AB349" s="4">
        <f t="shared" si="87"/>
        <v>2033</v>
      </c>
      <c r="AC349" s="394">
        <f t="shared" ref="AC349:AC383" si="88">EOMONTH(AC348,0)+1</f>
        <v>48884</v>
      </c>
      <c r="AD349" s="135">
        <f t="shared" si="85"/>
        <v>13.148542686242523</v>
      </c>
      <c r="AE349" s="136">
        <v>13.148542686242523</v>
      </c>
      <c r="AG349" s="4">
        <f t="shared" si="78"/>
        <v>2032</v>
      </c>
      <c r="AH349" s="394">
        <v>48487</v>
      </c>
      <c r="AI349" s="4">
        <f t="shared" si="79"/>
        <v>8.2949999999999999</v>
      </c>
      <c r="AJ349" s="4">
        <v>8.4</v>
      </c>
      <c r="AK349" s="4">
        <v>8.19</v>
      </c>
      <c r="AM349" s="4">
        <f t="shared" si="80"/>
        <v>2036</v>
      </c>
      <c r="AN349" s="337">
        <v>49888</v>
      </c>
      <c r="AO349" s="4">
        <f t="shared" si="81"/>
        <v>14.855</v>
      </c>
      <c r="AP349" s="4">
        <v>15</v>
      </c>
      <c r="AQ349" s="4">
        <v>14.71</v>
      </c>
    </row>
    <row r="350" spans="16:43">
      <c r="P350" s="4">
        <f t="shared" si="82"/>
        <v>2033</v>
      </c>
      <c r="Q350" s="396">
        <f t="shared" si="77"/>
        <v>48914</v>
      </c>
      <c r="R350" s="136">
        <v>116.54</v>
      </c>
      <c r="S350" s="136">
        <v>106.87</v>
      </c>
      <c r="T350" s="338">
        <f t="shared" si="86"/>
        <v>112.3819</v>
      </c>
      <c r="U350" s="324">
        <v>416</v>
      </c>
      <c r="V350" s="324">
        <v>328</v>
      </c>
      <c r="W350" s="324">
        <f t="shared" si="83"/>
        <v>0.55913978494623651</v>
      </c>
      <c r="X350" s="324">
        <f t="shared" si="84"/>
        <v>0.44086021505376344</v>
      </c>
      <c r="AB350" s="4">
        <f t="shared" si="87"/>
        <v>2033</v>
      </c>
      <c r="AC350" s="394">
        <f t="shared" si="88"/>
        <v>48914</v>
      </c>
      <c r="AD350" s="135">
        <f t="shared" si="85"/>
        <v>13.780679717237627</v>
      </c>
      <c r="AE350" s="136">
        <v>13.780679717237627</v>
      </c>
      <c r="AG350" s="4">
        <f t="shared" si="78"/>
        <v>2032</v>
      </c>
      <c r="AH350" s="394">
        <v>48518</v>
      </c>
      <c r="AI350" s="4">
        <f t="shared" si="79"/>
        <v>8.6050000000000004</v>
      </c>
      <c r="AJ350" s="4">
        <v>8.64</v>
      </c>
      <c r="AK350" s="4">
        <v>8.57</v>
      </c>
      <c r="AM350" s="4">
        <f t="shared" si="80"/>
        <v>2036</v>
      </c>
      <c r="AN350" s="337">
        <v>49919</v>
      </c>
      <c r="AO350" s="4">
        <f t="shared" si="81"/>
        <v>14.855</v>
      </c>
      <c r="AP350" s="4">
        <v>15</v>
      </c>
      <c r="AQ350" s="4">
        <v>14.71</v>
      </c>
    </row>
    <row r="351" spans="16:43">
      <c r="P351" s="4">
        <f t="shared" si="82"/>
        <v>2034</v>
      </c>
      <c r="Q351" s="396">
        <f t="shared" si="77"/>
        <v>48945</v>
      </c>
      <c r="R351" s="136">
        <v>122.22</v>
      </c>
      <c r="S351" s="136">
        <v>110.31</v>
      </c>
      <c r="T351" s="338">
        <f t="shared" si="86"/>
        <v>117.09869999999999</v>
      </c>
      <c r="U351" s="324">
        <v>400</v>
      </c>
      <c r="V351" s="324">
        <v>344</v>
      </c>
      <c r="W351" s="324">
        <f t="shared" si="83"/>
        <v>0.5376344086021505</v>
      </c>
      <c r="X351" s="324">
        <f t="shared" si="84"/>
        <v>0.46236559139784944</v>
      </c>
      <c r="AB351" s="4">
        <f t="shared" si="87"/>
        <v>2034</v>
      </c>
      <c r="AC351" s="394">
        <f t="shared" si="88"/>
        <v>48945</v>
      </c>
      <c r="AD351" s="135">
        <f t="shared" si="85"/>
        <v>14.970184883088635</v>
      </c>
      <c r="AE351" s="136">
        <v>14.970184883088635</v>
      </c>
      <c r="AG351" s="4">
        <f t="shared" si="78"/>
        <v>2032</v>
      </c>
      <c r="AH351" s="394">
        <v>48548</v>
      </c>
      <c r="AI351" s="4">
        <f t="shared" si="79"/>
        <v>8.7349999999999994</v>
      </c>
      <c r="AJ351" s="4">
        <v>8.77</v>
      </c>
      <c r="AK351" s="4">
        <v>8.6999999999999993</v>
      </c>
      <c r="AM351" s="4">
        <f t="shared" si="80"/>
        <v>2036</v>
      </c>
      <c r="AN351" s="337">
        <v>49949</v>
      </c>
      <c r="AO351" s="4">
        <f t="shared" si="81"/>
        <v>15.414999999999999</v>
      </c>
      <c r="AP351" s="4">
        <v>15.44</v>
      </c>
      <c r="AQ351" s="4">
        <v>15.39</v>
      </c>
    </row>
    <row r="352" spans="16:43">
      <c r="P352" s="4">
        <f t="shared" si="82"/>
        <v>2034</v>
      </c>
      <c r="Q352" s="396">
        <f t="shared" si="77"/>
        <v>48976</v>
      </c>
      <c r="R352" s="136">
        <v>115.03</v>
      </c>
      <c r="S352" s="136">
        <v>100.05</v>
      </c>
      <c r="T352" s="338">
        <f t="shared" si="86"/>
        <v>108.58859999999999</v>
      </c>
      <c r="U352" s="324">
        <v>384</v>
      </c>
      <c r="V352" s="324">
        <v>288</v>
      </c>
      <c r="W352" s="324">
        <f t="shared" si="83"/>
        <v>0.5714285714285714</v>
      </c>
      <c r="X352" s="324">
        <f t="shared" si="84"/>
        <v>0.42857142857142855</v>
      </c>
      <c r="AB352" s="4">
        <f t="shared" si="87"/>
        <v>2034</v>
      </c>
      <c r="AC352" s="394">
        <f t="shared" si="88"/>
        <v>48976</v>
      </c>
      <c r="AD352" s="135">
        <f t="shared" si="85"/>
        <v>14.06616095704187</v>
      </c>
      <c r="AE352" s="136">
        <v>14.06616095704187</v>
      </c>
      <c r="AG352" s="4">
        <f t="shared" si="78"/>
        <v>2032</v>
      </c>
      <c r="AH352" s="394">
        <v>48579</v>
      </c>
      <c r="AI352" s="4">
        <f t="shared" si="79"/>
        <v>9.17</v>
      </c>
      <c r="AJ352" s="4">
        <v>9.14</v>
      </c>
      <c r="AK352" s="4">
        <v>9.1999999999999993</v>
      </c>
      <c r="AM352" s="4">
        <f t="shared" si="80"/>
        <v>2036</v>
      </c>
      <c r="AN352" s="337">
        <v>49980</v>
      </c>
      <c r="AO352" s="4">
        <f t="shared" si="81"/>
        <v>15.64</v>
      </c>
      <c r="AP352" s="4">
        <v>15.66</v>
      </c>
      <c r="AQ352" s="4">
        <v>15.62</v>
      </c>
    </row>
    <row r="353" spans="16:43">
      <c r="P353" s="4">
        <f t="shared" si="82"/>
        <v>2034</v>
      </c>
      <c r="Q353" s="396">
        <f t="shared" si="77"/>
        <v>49004</v>
      </c>
      <c r="R353" s="136">
        <v>97.5</v>
      </c>
      <c r="S353" s="136">
        <v>87.18</v>
      </c>
      <c r="T353" s="338">
        <f t="shared" si="86"/>
        <v>93.062399999999997</v>
      </c>
      <c r="U353" s="324">
        <v>432</v>
      </c>
      <c r="V353" s="324">
        <v>312</v>
      </c>
      <c r="W353" s="324">
        <f t="shared" si="83"/>
        <v>0.58064516129032262</v>
      </c>
      <c r="X353" s="324">
        <f t="shared" si="84"/>
        <v>0.41935483870967744</v>
      </c>
      <c r="AB353" s="4">
        <f t="shared" si="87"/>
        <v>2034</v>
      </c>
      <c r="AC353" s="394">
        <f t="shared" si="88"/>
        <v>49004</v>
      </c>
      <c r="AD353" s="135">
        <f t="shared" si="85"/>
        <v>13.230108754758021</v>
      </c>
      <c r="AE353" s="136">
        <v>13.230108754758021</v>
      </c>
      <c r="AG353" s="4">
        <f t="shared" si="78"/>
        <v>2033</v>
      </c>
      <c r="AH353" s="394">
        <v>48610</v>
      </c>
      <c r="AI353" s="4">
        <f t="shared" si="79"/>
        <v>10.205</v>
      </c>
      <c r="AJ353" s="4">
        <v>10.1</v>
      </c>
      <c r="AK353" s="4">
        <v>10.31</v>
      </c>
      <c r="AM353" s="4">
        <f t="shared" si="80"/>
        <v>2036</v>
      </c>
      <c r="AN353" s="337">
        <v>50010</v>
      </c>
      <c r="AO353" s="4">
        <f t="shared" si="81"/>
        <v>16.420000000000002</v>
      </c>
      <c r="AP353" s="4">
        <v>16.32</v>
      </c>
      <c r="AQ353" s="4">
        <v>16.52</v>
      </c>
    </row>
    <row r="354" spans="16:43">
      <c r="P354" s="4">
        <f t="shared" si="82"/>
        <v>2034</v>
      </c>
      <c r="Q354" s="396">
        <f t="shared" si="77"/>
        <v>49035</v>
      </c>
      <c r="R354" s="136">
        <v>96.97</v>
      </c>
      <c r="S354" s="136">
        <v>92.39</v>
      </c>
      <c r="T354" s="338">
        <f t="shared" si="86"/>
        <v>95.000599999999991</v>
      </c>
      <c r="U354" s="324">
        <v>400</v>
      </c>
      <c r="V354" s="324">
        <v>320</v>
      </c>
      <c r="W354" s="324">
        <f t="shared" si="83"/>
        <v>0.55555555555555558</v>
      </c>
      <c r="X354" s="324">
        <f t="shared" si="84"/>
        <v>0.44444444444444442</v>
      </c>
      <c r="AB354" s="4">
        <f t="shared" si="87"/>
        <v>2034</v>
      </c>
      <c r="AC354" s="394">
        <f t="shared" si="88"/>
        <v>49035</v>
      </c>
      <c r="AD354" s="135">
        <f t="shared" si="85"/>
        <v>12.519804241435562</v>
      </c>
      <c r="AE354" s="136">
        <v>12.519804241435562</v>
      </c>
      <c r="AG354" s="4">
        <f t="shared" si="78"/>
        <v>2033</v>
      </c>
      <c r="AH354" s="394">
        <v>48638</v>
      </c>
      <c r="AI354" s="4">
        <f t="shared" si="79"/>
        <v>9.495000000000001</v>
      </c>
      <c r="AJ354" s="4">
        <v>9.4600000000000009</v>
      </c>
      <c r="AK354" s="4">
        <v>9.5299999999999994</v>
      </c>
      <c r="AM354" s="4">
        <f t="shared" si="80"/>
        <v>2037</v>
      </c>
      <c r="AN354" s="337">
        <v>50041</v>
      </c>
      <c r="AO354" s="4">
        <f t="shared" si="81"/>
        <v>17.984999999999999</v>
      </c>
      <c r="AP354" s="4">
        <v>17.75</v>
      </c>
      <c r="AQ354" s="4">
        <v>18.22</v>
      </c>
    </row>
    <row r="355" spans="16:43">
      <c r="P355" s="4">
        <f t="shared" si="82"/>
        <v>2034</v>
      </c>
      <c r="Q355" s="396">
        <f t="shared" si="77"/>
        <v>49065</v>
      </c>
      <c r="R355" s="136">
        <v>98.75</v>
      </c>
      <c r="S355" s="136">
        <v>92.89</v>
      </c>
      <c r="T355" s="338">
        <f t="shared" si="86"/>
        <v>96.230199999999996</v>
      </c>
      <c r="U355" s="324">
        <v>416</v>
      </c>
      <c r="V355" s="324">
        <v>328</v>
      </c>
      <c r="W355" s="324">
        <f t="shared" si="83"/>
        <v>0.55913978494623651</v>
      </c>
      <c r="X355" s="324">
        <f t="shared" si="84"/>
        <v>0.44086021505376344</v>
      </c>
      <c r="AB355" s="4">
        <f t="shared" si="87"/>
        <v>2034</v>
      </c>
      <c r="AC355" s="394">
        <f t="shared" si="88"/>
        <v>49065</v>
      </c>
      <c r="AD355" s="135">
        <f t="shared" si="85"/>
        <v>12.390657966286026</v>
      </c>
      <c r="AE355" s="136">
        <v>12.390657966286026</v>
      </c>
      <c r="AG355" s="4">
        <f t="shared" si="78"/>
        <v>2033</v>
      </c>
      <c r="AH355" s="394">
        <v>48669</v>
      </c>
      <c r="AI355" s="4">
        <f t="shared" si="79"/>
        <v>8.91</v>
      </c>
      <c r="AJ355" s="4">
        <v>8.9499999999999993</v>
      </c>
      <c r="AK355" s="4">
        <v>8.8699999999999992</v>
      </c>
      <c r="AM355" s="4">
        <f t="shared" si="80"/>
        <v>2037</v>
      </c>
      <c r="AN355" s="337">
        <v>50072</v>
      </c>
      <c r="AO355" s="4">
        <f t="shared" si="81"/>
        <v>16.734999999999999</v>
      </c>
      <c r="AP355" s="4">
        <v>16.63</v>
      </c>
      <c r="AQ355" s="4">
        <v>16.84</v>
      </c>
    </row>
    <row r="356" spans="16:43">
      <c r="P356" s="4">
        <f t="shared" si="82"/>
        <v>2034</v>
      </c>
      <c r="Q356" s="396">
        <f t="shared" si="77"/>
        <v>49096</v>
      </c>
      <c r="R356" s="136">
        <v>106.89</v>
      </c>
      <c r="S356" s="136">
        <v>95.39</v>
      </c>
      <c r="T356" s="338">
        <f t="shared" si="86"/>
        <v>101.94499999999999</v>
      </c>
      <c r="U356" s="324">
        <v>416</v>
      </c>
      <c r="V356" s="324">
        <v>304</v>
      </c>
      <c r="W356" s="324">
        <f t="shared" si="83"/>
        <v>0.57777777777777772</v>
      </c>
      <c r="X356" s="324">
        <f t="shared" si="84"/>
        <v>0.42222222222222222</v>
      </c>
      <c r="AB356" s="4">
        <f t="shared" si="87"/>
        <v>2034</v>
      </c>
      <c r="AC356" s="394">
        <f t="shared" si="88"/>
        <v>49096</v>
      </c>
      <c r="AD356" s="135">
        <f t="shared" si="85"/>
        <v>12.584377379010331</v>
      </c>
      <c r="AE356" s="136">
        <v>12.584377379010331</v>
      </c>
      <c r="AG356" s="4">
        <f t="shared" si="78"/>
        <v>2033</v>
      </c>
      <c r="AH356" s="394">
        <v>48699</v>
      </c>
      <c r="AI356" s="4">
        <f t="shared" si="79"/>
        <v>8.33</v>
      </c>
      <c r="AJ356" s="4">
        <v>8.44</v>
      </c>
      <c r="AK356" s="4">
        <v>8.2200000000000006</v>
      </c>
      <c r="AM356" s="4">
        <f t="shared" si="80"/>
        <v>2037</v>
      </c>
      <c r="AN356" s="337">
        <v>50100</v>
      </c>
      <c r="AO356" s="4">
        <f t="shared" si="81"/>
        <v>15.71</v>
      </c>
      <c r="AP356" s="4">
        <v>15.73</v>
      </c>
      <c r="AQ356" s="4">
        <v>15.69</v>
      </c>
    </row>
    <row r="357" spans="16:43">
      <c r="P357" s="4">
        <f t="shared" si="82"/>
        <v>2034</v>
      </c>
      <c r="Q357" s="396">
        <f t="shared" si="77"/>
        <v>49126</v>
      </c>
      <c r="R357" s="136">
        <v>101.81</v>
      </c>
      <c r="S357" s="136">
        <v>97.58</v>
      </c>
      <c r="T357" s="338">
        <f t="shared" si="86"/>
        <v>99.991099999999989</v>
      </c>
      <c r="U357" s="324">
        <v>400</v>
      </c>
      <c r="V357" s="324">
        <v>344</v>
      </c>
      <c r="W357" s="324">
        <f t="shared" si="83"/>
        <v>0.5376344086021505</v>
      </c>
      <c r="X357" s="324">
        <f t="shared" si="84"/>
        <v>0.46236559139784944</v>
      </c>
      <c r="AB357" s="4">
        <f t="shared" si="87"/>
        <v>2034</v>
      </c>
      <c r="AC357" s="394">
        <f t="shared" si="88"/>
        <v>49126</v>
      </c>
      <c r="AD357" s="135">
        <f t="shared" si="85"/>
        <v>12.77809679173464</v>
      </c>
      <c r="AE357" s="136">
        <v>12.77809679173464</v>
      </c>
      <c r="AG357" s="4">
        <f t="shared" si="78"/>
        <v>2033</v>
      </c>
      <c r="AH357" s="394">
        <v>48730</v>
      </c>
      <c r="AI357" s="4">
        <f t="shared" si="79"/>
        <v>8.33</v>
      </c>
      <c r="AJ357" s="4">
        <v>8.44</v>
      </c>
      <c r="AK357" s="4">
        <v>8.2200000000000006</v>
      </c>
      <c r="AM357" s="4">
        <f t="shared" si="80"/>
        <v>2037</v>
      </c>
      <c r="AN357" s="337">
        <v>50131</v>
      </c>
      <c r="AO357" s="4">
        <f t="shared" si="81"/>
        <v>14.68</v>
      </c>
      <c r="AP357" s="4">
        <v>14.83</v>
      </c>
      <c r="AQ357" s="4">
        <v>14.53</v>
      </c>
    </row>
    <row r="358" spans="16:43">
      <c r="P358" s="4">
        <f t="shared" si="82"/>
        <v>2034</v>
      </c>
      <c r="Q358" s="396">
        <f t="shared" si="77"/>
        <v>49157</v>
      </c>
      <c r="R358" s="136">
        <v>102.31</v>
      </c>
      <c r="S358" s="136">
        <v>98.14</v>
      </c>
      <c r="T358" s="338">
        <f t="shared" si="86"/>
        <v>100.51689999999999</v>
      </c>
      <c r="U358" s="324">
        <v>432</v>
      </c>
      <c r="V358" s="324">
        <v>312</v>
      </c>
      <c r="W358" s="324">
        <f t="shared" si="83"/>
        <v>0.58064516129032262</v>
      </c>
      <c r="X358" s="324">
        <f t="shared" si="84"/>
        <v>0.41935483870967744</v>
      </c>
      <c r="AB358" s="4">
        <f t="shared" si="87"/>
        <v>2034</v>
      </c>
      <c r="AC358" s="394">
        <f t="shared" si="88"/>
        <v>49157</v>
      </c>
      <c r="AD358" s="135">
        <f t="shared" si="85"/>
        <v>12.77809679173464</v>
      </c>
      <c r="AE358" s="136">
        <v>12.77809679173464</v>
      </c>
      <c r="AG358" s="4">
        <f t="shared" si="78"/>
        <v>2033</v>
      </c>
      <c r="AH358" s="394">
        <v>48760</v>
      </c>
      <c r="AI358" s="4">
        <f t="shared" si="79"/>
        <v>8.4550000000000001</v>
      </c>
      <c r="AJ358" s="4">
        <v>8.56</v>
      </c>
      <c r="AK358" s="4">
        <v>8.35</v>
      </c>
      <c r="AM358" s="4">
        <f t="shared" si="80"/>
        <v>2037</v>
      </c>
      <c r="AN358" s="337">
        <v>50161</v>
      </c>
      <c r="AO358" s="4">
        <f t="shared" si="81"/>
        <v>14.68</v>
      </c>
      <c r="AP358" s="4">
        <v>14.83</v>
      </c>
      <c r="AQ358" s="4">
        <v>14.53</v>
      </c>
    </row>
    <row r="359" spans="16:43">
      <c r="P359" s="4">
        <f t="shared" si="82"/>
        <v>2034</v>
      </c>
      <c r="Q359" s="396">
        <f t="shared" si="77"/>
        <v>49188</v>
      </c>
      <c r="R359" s="136">
        <v>101.41</v>
      </c>
      <c r="S359" s="136">
        <v>95.1</v>
      </c>
      <c r="T359" s="338">
        <f t="shared" si="86"/>
        <v>98.696699999999993</v>
      </c>
      <c r="U359" s="324">
        <v>400</v>
      </c>
      <c r="V359" s="324">
        <v>320</v>
      </c>
      <c r="W359" s="324">
        <f t="shared" si="83"/>
        <v>0.55555555555555558</v>
      </c>
      <c r="X359" s="324">
        <f t="shared" si="84"/>
        <v>0.44444444444444442</v>
      </c>
      <c r="AB359" s="4">
        <f t="shared" si="87"/>
        <v>2034</v>
      </c>
      <c r="AC359" s="394">
        <f t="shared" si="88"/>
        <v>49188</v>
      </c>
      <c r="AD359" s="135">
        <f t="shared" si="85"/>
        <v>12.77809679173464</v>
      </c>
      <c r="AE359" s="136">
        <v>12.77809679173464</v>
      </c>
      <c r="AG359" s="4">
        <f t="shared" si="78"/>
        <v>2033</v>
      </c>
      <c r="AH359" s="394">
        <v>48791</v>
      </c>
      <c r="AI359" s="4">
        <f t="shared" si="79"/>
        <v>8.5850000000000009</v>
      </c>
      <c r="AJ359" s="4">
        <v>8.69</v>
      </c>
      <c r="AK359" s="4">
        <v>8.48</v>
      </c>
      <c r="AM359" s="4">
        <f t="shared" si="80"/>
        <v>2037</v>
      </c>
      <c r="AN359" s="337">
        <v>50192</v>
      </c>
      <c r="AO359" s="4">
        <f t="shared" si="81"/>
        <v>14.91</v>
      </c>
      <c r="AP359" s="4">
        <v>15.06</v>
      </c>
      <c r="AQ359" s="4">
        <v>14.76</v>
      </c>
    </row>
    <row r="360" spans="16:43">
      <c r="P360" s="4">
        <f t="shared" si="82"/>
        <v>2034</v>
      </c>
      <c r="Q360" s="396">
        <f t="shared" ref="Q360:Q383" si="89">EOMONTH(Q359,0)+1</f>
        <v>49218</v>
      </c>
      <c r="R360" s="136">
        <v>100.64</v>
      </c>
      <c r="S360" s="136">
        <v>87.86</v>
      </c>
      <c r="T360" s="338">
        <f t="shared" si="86"/>
        <v>95.144599999999997</v>
      </c>
      <c r="U360" s="324">
        <v>416</v>
      </c>
      <c r="V360" s="324">
        <v>328</v>
      </c>
      <c r="W360" s="324">
        <f t="shared" si="83"/>
        <v>0.55913978494623651</v>
      </c>
      <c r="X360" s="324">
        <f t="shared" si="84"/>
        <v>0.44086021505376344</v>
      </c>
      <c r="AB360" s="4">
        <f t="shared" si="87"/>
        <v>2034</v>
      </c>
      <c r="AC360" s="394">
        <f t="shared" si="88"/>
        <v>49218</v>
      </c>
      <c r="AD360" s="135">
        <f t="shared" si="85"/>
        <v>13.230108754758021</v>
      </c>
      <c r="AE360" s="136">
        <v>13.230108754758021</v>
      </c>
      <c r="AG360" s="4">
        <f t="shared" si="78"/>
        <v>2033</v>
      </c>
      <c r="AH360" s="394">
        <v>48822</v>
      </c>
      <c r="AI360" s="4">
        <f t="shared" si="79"/>
        <v>8.5850000000000009</v>
      </c>
      <c r="AJ360" s="4">
        <v>8.69</v>
      </c>
      <c r="AK360" s="4">
        <v>8.48</v>
      </c>
      <c r="AM360" s="4">
        <f t="shared" si="80"/>
        <v>2037</v>
      </c>
      <c r="AN360" s="337">
        <v>50222</v>
      </c>
      <c r="AO360" s="4">
        <f t="shared" si="81"/>
        <v>15.135</v>
      </c>
      <c r="AP360" s="4">
        <v>15.28</v>
      </c>
      <c r="AQ360" s="4">
        <v>14.99</v>
      </c>
    </row>
    <row r="361" spans="16:43">
      <c r="P361" s="4">
        <f t="shared" si="82"/>
        <v>2034</v>
      </c>
      <c r="Q361" s="396">
        <f t="shared" si="89"/>
        <v>49249</v>
      </c>
      <c r="R361" s="136">
        <v>113.66</v>
      </c>
      <c r="S361" s="136">
        <v>99.67</v>
      </c>
      <c r="T361" s="338">
        <f t="shared" si="86"/>
        <v>107.64429999999999</v>
      </c>
      <c r="U361" s="324">
        <v>400</v>
      </c>
      <c r="V361" s="324">
        <v>320</v>
      </c>
      <c r="W361" s="324">
        <f t="shared" si="83"/>
        <v>0.55555555555555558</v>
      </c>
      <c r="X361" s="324">
        <f t="shared" si="84"/>
        <v>0.44444444444444442</v>
      </c>
      <c r="AB361" s="4">
        <f t="shared" si="87"/>
        <v>2034</v>
      </c>
      <c r="AC361" s="394">
        <f t="shared" si="88"/>
        <v>49249</v>
      </c>
      <c r="AD361" s="135">
        <f t="shared" si="85"/>
        <v>13.423828167482325</v>
      </c>
      <c r="AE361" s="136">
        <v>13.423828167482325</v>
      </c>
      <c r="AG361" s="4">
        <f t="shared" si="78"/>
        <v>2033</v>
      </c>
      <c r="AH361" s="394">
        <v>48852</v>
      </c>
      <c r="AI361" s="4">
        <f t="shared" si="79"/>
        <v>8.5850000000000009</v>
      </c>
      <c r="AJ361" s="4">
        <v>8.69</v>
      </c>
      <c r="AK361" s="4">
        <v>8.48</v>
      </c>
      <c r="AM361" s="4">
        <f t="shared" si="80"/>
        <v>2037</v>
      </c>
      <c r="AN361" s="337">
        <v>50253</v>
      </c>
      <c r="AO361" s="4">
        <f t="shared" si="81"/>
        <v>15.135</v>
      </c>
      <c r="AP361" s="4">
        <v>15.28</v>
      </c>
      <c r="AQ361" s="4">
        <v>14.99</v>
      </c>
    </row>
    <row r="362" spans="16:43">
      <c r="P362" s="4">
        <f t="shared" si="82"/>
        <v>2034</v>
      </c>
      <c r="Q362" s="396">
        <f t="shared" si="89"/>
        <v>49279</v>
      </c>
      <c r="R362" s="136">
        <v>118.99</v>
      </c>
      <c r="S362" s="136">
        <v>109.11</v>
      </c>
      <c r="T362" s="338">
        <f t="shared" si="86"/>
        <v>114.74159999999999</v>
      </c>
      <c r="U362" s="324">
        <v>400</v>
      </c>
      <c r="V362" s="324">
        <v>344</v>
      </c>
      <c r="W362" s="324">
        <f t="shared" si="83"/>
        <v>0.5376344086021505</v>
      </c>
      <c r="X362" s="324">
        <f t="shared" si="84"/>
        <v>0.46236559139784944</v>
      </c>
      <c r="AB362" s="4">
        <f t="shared" si="87"/>
        <v>2034</v>
      </c>
      <c r="AC362" s="394">
        <f t="shared" si="88"/>
        <v>49279</v>
      </c>
      <c r="AD362" s="135">
        <f t="shared" si="85"/>
        <v>14.06616095704187</v>
      </c>
      <c r="AE362" s="136">
        <v>14.06616095704187</v>
      </c>
      <c r="AG362" s="4">
        <f t="shared" si="78"/>
        <v>2033</v>
      </c>
      <c r="AH362" s="394">
        <v>48883</v>
      </c>
      <c r="AI362" s="4">
        <f t="shared" si="79"/>
        <v>8.91</v>
      </c>
      <c r="AJ362" s="4">
        <v>8.9499999999999993</v>
      </c>
      <c r="AK362" s="4">
        <v>8.8699999999999992</v>
      </c>
      <c r="AM362" s="4">
        <f t="shared" si="80"/>
        <v>2037</v>
      </c>
      <c r="AN362" s="337">
        <v>50284</v>
      </c>
      <c r="AO362" s="4">
        <f t="shared" si="81"/>
        <v>15.135</v>
      </c>
      <c r="AP362" s="4">
        <v>15.28</v>
      </c>
      <c r="AQ362" s="4">
        <v>14.99</v>
      </c>
    </row>
    <row r="363" spans="16:43">
      <c r="P363" s="4">
        <f t="shared" si="82"/>
        <v>2035</v>
      </c>
      <c r="Q363" s="396">
        <f t="shared" si="89"/>
        <v>49310</v>
      </c>
      <c r="R363" s="136">
        <v>124.79</v>
      </c>
      <c r="S363" s="136">
        <v>112.62</v>
      </c>
      <c r="T363" s="338">
        <f t="shared" si="86"/>
        <v>119.55689999999998</v>
      </c>
      <c r="U363" s="324">
        <v>416</v>
      </c>
      <c r="V363" s="324">
        <v>328</v>
      </c>
      <c r="W363" s="324">
        <f t="shared" si="83"/>
        <v>0.55913978494623651</v>
      </c>
      <c r="X363" s="324">
        <f t="shared" si="84"/>
        <v>0.44086021505376344</v>
      </c>
      <c r="AB363" s="4">
        <f t="shared" si="87"/>
        <v>2035</v>
      </c>
      <c r="AC363" s="394">
        <f t="shared" si="88"/>
        <v>49310</v>
      </c>
      <c r="AD363" s="135">
        <f t="shared" si="85"/>
        <v>15.282854812398041</v>
      </c>
      <c r="AE363" s="136">
        <v>15.282854812398041</v>
      </c>
      <c r="AG363" s="4">
        <f t="shared" si="78"/>
        <v>2033</v>
      </c>
      <c r="AH363" s="394">
        <v>48913</v>
      </c>
      <c r="AI363" s="4">
        <f t="shared" si="79"/>
        <v>9.0350000000000001</v>
      </c>
      <c r="AJ363" s="4">
        <v>9.07</v>
      </c>
      <c r="AK363" s="4">
        <v>9</v>
      </c>
      <c r="AM363" s="4">
        <f t="shared" si="80"/>
        <v>2037</v>
      </c>
      <c r="AN363" s="337">
        <v>50314</v>
      </c>
      <c r="AO363" s="4">
        <f t="shared" si="81"/>
        <v>15.71</v>
      </c>
      <c r="AP363" s="4">
        <v>15.73</v>
      </c>
      <c r="AQ363" s="4">
        <v>15.69</v>
      </c>
    </row>
    <row r="364" spans="16:43">
      <c r="P364" s="4">
        <f t="shared" si="82"/>
        <v>2035</v>
      </c>
      <c r="Q364" s="396">
        <f t="shared" si="89"/>
        <v>49341</v>
      </c>
      <c r="R364" s="136">
        <v>117.45</v>
      </c>
      <c r="S364" s="136">
        <v>102.15</v>
      </c>
      <c r="T364" s="338">
        <f t="shared" si="86"/>
        <v>110.87100000000001</v>
      </c>
      <c r="U364" s="324">
        <v>384</v>
      </c>
      <c r="V364" s="324">
        <v>288</v>
      </c>
      <c r="W364" s="324">
        <f t="shared" si="83"/>
        <v>0.5714285714285714</v>
      </c>
      <c r="X364" s="324">
        <f t="shared" si="84"/>
        <v>0.42857142857142855</v>
      </c>
      <c r="AB364" s="4">
        <f t="shared" si="87"/>
        <v>2035</v>
      </c>
      <c r="AC364" s="394">
        <f t="shared" si="88"/>
        <v>49341</v>
      </c>
      <c r="AD364" s="135">
        <f t="shared" si="85"/>
        <v>14.361837955410548</v>
      </c>
      <c r="AE364" s="136">
        <v>14.361837955410548</v>
      </c>
      <c r="AG364" s="4">
        <f t="shared" si="78"/>
        <v>2033</v>
      </c>
      <c r="AH364" s="394">
        <v>48944</v>
      </c>
      <c r="AI364" s="4">
        <f t="shared" si="79"/>
        <v>9.495000000000001</v>
      </c>
      <c r="AJ364" s="4">
        <v>9.4600000000000009</v>
      </c>
      <c r="AK364" s="4">
        <v>9.5299999999999994</v>
      </c>
      <c r="AM364" s="4">
        <f t="shared" si="80"/>
        <v>2037</v>
      </c>
      <c r="AN364" s="337">
        <v>50345</v>
      </c>
      <c r="AO364" s="4">
        <f t="shared" si="81"/>
        <v>15.934999999999999</v>
      </c>
      <c r="AP364" s="4">
        <v>15.95</v>
      </c>
      <c r="AQ364" s="4">
        <v>15.92</v>
      </c>
    </row>
    <row r="365" spans="16:43">
      <c r="P365" s="4">
        <f t="shared" si="82"/>
        <v>2035</v>
      </c>
      <c r="Q365" s="396">
        <f t="shared" si="89"/>
        <v>49369</v>
      </c>
      <c r="R365" s="136">
        <v>99.54</v>
      </c>
      <c r="S365" s="136">
        <v>89.01</v>
      </c>
      <c r="T365" s="338">
        <f t="shared" si="86"/>
        <v>95.012100000000004</v>
      </c>
      <c r="U365" s="324">
        <v>432</v>
      </c>
      <c r="V365" s="324">
        <v>312</v>
      </c>
      <c r="W365" s="324">
        <f t="shared" si="83"/>
        <v>0.58064516129032262</v>
      </c>
      <c r="X365" s="324">
        <f t="shared" si="84"/>
        <v>0.41935483870967744</v>
      </c>
      <c r="AB365" s="4">
        <f t="shared" si="87"/>
        <v>2035</v>
      </c>
      <c r="AC365" s="394">
        <f t="shared" si="88"/>
        <v>49369</v>
      </c>
      <c r="AD365" s="135">
        <f t="shared" si="85"/>
        <v>13.508792822185971</v>
      </c>
      <c r="AE365" s="136">
        <v>13.508792822185971</v>
      </c>
      <c r="AG365" s="4">
        <f t="shared" si="78"/>
        <v>2034</v>
      </c>
      <c r="AH365" s="394">
        <v>48975</v>
      </c>
      <c r="AI365" s="4">
        <f t="shared" si="79"/>
        <v>10.559999999999999</v>
      </c>
      <c r="AJ365" s="4">
        <v>10.45</v>
      </c>
      <c r="AK365" s="4">
        <v>10.67</v>
      </c>
      <c r="AM365" s="4">
        <f t="shared" si="80"/>
        <v>2037</v>
      </c>
      <c r="AN365" s="337">
        <v>50375</v>
      </c>
      <c r="AO365" s="4">
        <f t="shared" si="81"/>
        <v>16.734999999999999</v>
      </c>
      <c r="AP365" s="4">
        <v>16.63</v>
      </c>
      <c r="AQ365" s="4">
        <v>16.84</v>
      </c>
    </row>
    <row r="366" spans="16:43">
      <c r="P366" s="4">
        <f t="shared" si="82"/>
        <v>2035</v>
      </c>
      <c r="Q366" s="396">
        <f t="shared" si="89"/>
        <v>49400</v>
      </c>
      <c r="R366" s="136">
        <v>99.01</v>
      </c>
      <c r="S366" s="136">
        <v>94.33</v>
      </c>
      <c r="T366" s="338">
        <f t="shared" si="86"/>
        <v>96.997600000000006</v>
      </c>
      <c r="U366" s="324">
        <v>400</v>
      </c>
      <c r="V366" s="324">
        <v>320</v>
      </c>
      <c r="W366" s="324">
        <f t="shared" si="83"/>
        <v>0.55555555555555558</v>
      </c>
      <c r="X366" s="324">
        <f t="shared" si="84"/>
        <v>0.44444444444444442</v>
      </c>
      <c r="AB366" s="4">
        <f t="shared" si="87"/>
        <v>2035</v>
      </c>
      <c r="AC366" s="394">
        <f t="shared" si="88"/>
        <v>49400</v>
      </c>
      <c r="AD366" s="135">
        <f t="shared" si="85"/>
        <v>12.784893964110928</v>
      </c>
      <c r="AE366" s="136">
        <v>12.784893964110928</v>
      </c>
      <c r="AG366" s="4">
        <f t="shared" si="78"/>
        <v>2034</v>
      </c>
      <c r="AH366" s="394">
        <v>49003</v>
      </c>
      <c r="AI366" s="4">
        <f t="shared" si="79"/>
        <v>9.8249999999999993</v>
      </c>
      <c r="AJ366" s="4">
        <v>9.7899999999999991</v>
      </c>
      <c r="AK366" s="4">
        <v>9.86</v>
      </c>
      <c r="AM366" s="4">
        <f t="shared" si="80"/>
        <v>2038</v>
      </c>
      <c r="AN366" s="337">
        <v>50406</v>
      </c>
      <c r="AO366" s="4">
        <f t="shared" si="81"/>
        <v>18.310000000000002</v>
      </c>
      <c r="AP366" s="4">
        <v>18.07</v>
      </c>
      <c r="AQ366" s="4">
        <v>18.55</v>
      </c>
    </row>
    <row r="367" spans="16:43">
      <c r="P367" s="4">
        <f t="shared" si="82"/>
        <v>2035</v>
      </c>
      <c r="Q367" s="396">
        <f t="shared" si="89"/>
        <v>49430</v>
      </c>
      <c r="R367" s="136">
        <v>100.82</v>
      </c>
      <c r="S367" s="136">
        <v>94.84</v>
      </c>
      <c r="T367" s="338">
        <f t="shared" si="86"/>
        <v>98.248599999999982</v>
      </c>
      <c r="U367" s="324">
        <v>416</v>
      </c>
      <c r="V367" s="324">
        <v>328</v>
      </c>
      <c r="W367" s="324">
        <f t="shared" si="83"/>
        <v>0.55913978494623651</v>
      </c>
      <c r="X367" s="324">
        <f t="shared" si="84"/>
        <v>0.44086021505376344</v>
      </c>
      <c r="AB367" s="4">
        <f t="shared" si="87"/>
        <v>2035</v>
      </c>
      <c r="AC367" s="394">
        <f t="shared" si="88"/>
        <v>49430</v>
      </c>
      <c r="AD367" s="135">
        <f t="shared" si="85"/>
        <v>12.652349102773247</v>
      </c>
      <c r="AE367" s="136">
        <v>12.652349102773247</v>
      </c>
      <c r="AG367" s="4">
        <f t="shared" si="78"/>
        <v>2034</v>
      </c>
      <c r="AH367" s="394">
        <v>49034</v>
      </c>
      <c r="AI367" s="4">
        <f t="shared" si="79"/>
        <v>9.2199999999999989</v>
      </c>
      <c r="AJ367" s="4">
        <v>9.26</v>
      </c>
      <c r="AK367" s="4">
        <v>9.18</v>
      </c>
      <c r="AM367" s="4">
        <f t="shared" si="80"/>
        <v>2038</v>
      </c>
      <c r="AN367" s="337">
        <v>50437</v>
      </c>
      <c r="AO367" s="4">
        <f t="shared" si="81"/>
        <v>17.035</v>
      </c>
      <c r="AP367" s="4">
        <v>16.93</v>
      </c>
      <c r="AQ367" s="4">
        <v>17.14</v>
      </c>
    </row>
    <row r="368" spans="16:43">
      <c r="P368" s="4">
        <f t="shared" si="82"/>
        <v>2035</v>
      </c>
      <c r="Q368" s="396">
        <f t="shared" si="89"/>
        <v>49461</v>
      </c>
      <c r="R368" s="136">
        <v>109.14</v>
      </c>
      <c r="S368" s="136">
        <v>97.4</v>
      </c>
      <c r="T368" s="338">
        <f t="shared" si="86"/>
        <v>104.09180000000001</v>
      </c>
      <c r="U368" s="324">
        <v>416</v>
      </c>
      <c r="V368" s="324">
        <v>304</v>
      </c>
      <c r="W368" s="324">
        <f t="shared" si="83"/>
        <v>0.57777777777777772</v>
      </c>
      <c r="X368" s="324">
        <f t="shared" si="84"/>
        <v>0.42222222222222222</v>
      </c>
      <c r="AB368" s="4">
        <f t="shared" si="87"/>
        <v>2035</v>
      </c>
      <c r="AC368" s="394">
        <f t="shared" si="88"/>
        <v>49461</v>
      </c>
      <c r="AD368" s="135">
        <f t="shared" si="85"/>
        <v>12.849467101685697</v>
      </c>
      <c r="AE368" s="136">
        <v>12.849467101685697</v>
      </c>
      <c r="AG368" s="4">
        <f t="shared" si="78"/>
        <v>2034</v>
      </c>
      <c r="AH368" s="394">
        <v>49064</v>
      </c>
      <c r="AI368" s="4">
        <f t="shared" si="79"/>
        <v>8.620000000000001</v>
      </c>
      <c r="AJ368" s="4">
        <v>8.73</v>
      </c>
      <c r="AK368" s="4">
        <v>8.51</v>
      </c>
      <c r="AM368" s="4">
        <f t="shared" si="80"/>
        <v>2038</v>
      </c>
      <c r="AN368" s="337">
        <v>50465</v>
      </c>
      <c r="AO368" s="4">
        <f t="shared" si="81"/>
        <v>15.990000000000002</v>
      </c>
      <c r="AP368" s="4">
        <v>16.010000000000002</v>
      </c>
      <c r="AQ368" s="4">
        <v>15.97</v>
      </c>
    </row>
    <row r="369" spans="16:43">
      <c r="P369" s="4">
        <f t="shared" si="82"/>
        <v>2035</v>
      </c>
      <c r="Q369" s="396">
        <f t="shared" si="89"/>
        <v>49491</v>
      </c>
      <c r="R369" s="136">
        <v>103.94</v>
      </c>
      <c r="S369" s="136">
        <v>99.63</v>
      </c>
      <c r="T369" s="338">
        <f t="shared" si="86"/>
        <v>102.08669999999999</v>
      </c>
      <c r="U369" s="324">
        <v>400</v>
      </c>
      <c r="V369" s="324">
        <v>344</v>
      </c>
      <c r="W369" s="324">
        <f t="shared" si="83"/>
        <v>0.5376344086021505</v>
      </c>
      <c r="X369" s="324">
        <f t="shared" si="84"/>
        <v>0.46236559139784944</v>
      </c>
      <c r="AB369" s="4">
        <f t="shared" si="87"/>
        <v>2035</v>
      </c>
      <c r="AC369" s="394">
        <f t="shared" si="88"/>
        <v>49491</v>
      </c>
      <c r="AD369" s="135">
        <f t="shared" si="85"/>
        <v>13.049983686786298</v>
      </c>
      <c r="AE369" s="136">
        <v>13.049983686786298</v>
      </c>
      <c r="AG369" s="4">
        <f t="shared" si="78"/>
        <v>2034</v>
      </c>
      <c r="AH369" s="394">
        <v>49095</v>
      </c>
      <c r="AI369" s="4">
        <f t="shared" si="79"/>
        <v>8.620000000000001</v>
      </c>
      <c r="AJ369" s="4">
        <v>8.73</v>
      </c>
      <c r="AK369" s="4">
        <v>8.51</v>
      </c>
      <c r="AM369" s="4">
        <f t="shared" si="80"/>
        <v>2038</v>
      </c>
      <c r="AN369" s="337">
        <v>50496</v>
      </c>
      <c r="AO369" s="4">
        <f t="shared" si="81"/>
        <v>14.945</v>
      </c>
      <c r="AP369" s="4">
        <v>15.1</v>
      </c>
      <c r="AQ369" s="4">
        <v>14.79</v>
      </c>
    </row>
    <row r="370" spans="16:43">
      <c r="P370" s="4">
        <f t="shared" si="82"/>
        <v>2035</v>
      </c>
      <c r="Q370" s="396">
        <f t="shared" si="89"/>
        <v>49522</v>
      </c>
      <c r="R370" s="136">
        <v>104.46</v>
      </c>
      <c r="S370" s="136">
        <v>100.2</v>
      </c>
      <c r="T370" s="338">
        <f t="shared" si="86"/>
        <v>102.62819999999999</v>
      </c>
      <c r="U370" s="324">
        <v>432</v>
      </c>
      <c r="V370" s="324">
        <v>312</v>
      </c>
      <c r="W370" s="324">
        <f t="shared" si="83"/>
        <v>0.58064516129032262</v>
      </c>
      <c r="X370" s="324">
        <f t="shared" si="84"/>
        <v>0.41935483870967744</v>
      </c>
      <c r="AB370" s="4">
        <f t="shared" si="87"/>
        <v>2035</v>
      </c>
      <c r="AC370" s="394">
        <f t="shared" si="88"/>
        <v>49522</v>
      </c>
      <c r="AD370" s="135">
        <f t="shared" si="85"/>
        <v>13.049983686786298</v>
      </c>
      <c r="AE370" s="136">
        <v>13.049983686786298</v>
      </c>
      <c r="AG370" s="4">
        <f t="shared" si="78"/>
        <v>2034</v>
      </c>
      <c r="AH370" s="394">
        <v>49125</v>
      </c>
      <c r="AI370" s="4">
        <f t="shared" si="79"/>
        <v>8.75</v>
      </c>
      <c r="AJ370" s="4">
        <v>8.86</v>
      </c>
      <c r="AK370" s="4">
        <v>8.64</v>
      </c>
      <c r="AM370" s="4">
        <f t="shared" si="80"/>
        <v>2038</v>
      </c>
      <c r="AN370" s="337">
        <v>50526</v>
      </c>
      <c r="AO370" s="4">
        <f t="shared" si="81"/>
        <v>14.945</v>
      </c>
      <c r="AP370" s="4">
        <v>15.1</v>
      </c>
      <c r="AQ370" s="4">
        <v>14.79</v>
      </c>
    </row>
    <row r="371" spans="16:43">
      <c r="P371" s="4">
        <f t="shared" si="82"/>
        <v>2035</v>
      </c>
      <c r="Q371" s="396">
        <f t="shared" si="89"/>
        <v>49553</v>
      </c>
      <c r="R371" s="136">
        <v>103.54</v>
      </c>
      <c r="S371" s="136">
        <v>97.09</v>
      </c>
      <c r="T371" s="338">
        <f t="shared" si="86"/>
        <v>100.76650000000001</v>
      </c>
      <c r="U371" s="324">
        <v>384</v>
      </c>
      <c r="V371" s="324">
        <v>336</v>
      </c>
      <c r="W371" s="324">
        <f t="shared" si="83"/>
        <v>0.53333333333333333</v>
      </c>
      <c r="X371" s="324">
        <f t="shared" si="84"/>
        <v>0.46666666666666667</v>
      </c>
      <c r="AB371" s="4">
        <f t="shared" si="87"/>
        <v>2035</v>
      </c>
      <c r="AC371" s="394">
        <f t="shared" si="88"/>
        <v>49553</v>
      </c>
      <c r="AD371" s="135">
        <f t="shared" si="85"/>
        <v>13.049983686786298</v>
      </c>
      <c r="AE371" s="136">
        <v>13.049983686786298</v>
      </c>
      <c r="AG371" s="4">
        <f t="shared" si="78"/>
        <v>2034</v>
      </c>
      <c r="AH371" s="394">
        <v>49156</v>
      </c>
      <c r="AI371" s="4">
        <f t="shared" si="79"/>
        <v>8.8849999999999998</v>
      </c>
      <c r="AJ371" s="4">
        <v>8.99</v>
      </c>
      <c r="AK371" s="4">
        <v>8.7799999999999994</v>
      </c>
      <c r="AM371" s="4">
        <f t="shared" si="80"/>
        <v>2038</v>
      </c>
      <c r="AN371" s="337">
        <v>50557</v>
      </c>
      <c r="AO371" s="4">
        <f t="shared" si="81"/>
        <v>15.18</v>
      </c>
      <c r="AP371" s="4">
        <v>15.33</v>
      </c>
      <c r="AQ371" s="4">
        <v>15.03</v>
      </c>
    </row>
    <row r="372" spans="16:43">
      <c r="P372" s="4">
        <f t="shared" si="82"/>
        <v>2035</v>
      </c>
      <c r="Q372" s="396">
        <f t="shared" si="89"/>
        <v>49583</v>
      </c>
      <c r="R372" s="136">
        <v>102.75</v>
      </c>
      <c r="S372" s="136">
        <v>89.71</v>
      </c>
      <c r="T372" s="338">
        <f t="shared" si="86"/>
        <v>97.142799999999994</v>
      </c>
      <c r="U372" s="324">
        <v>432</v>
      </c>
      <c r="V372" s="324">
        <v>312</v>
      </c>
      <c r="W372" s="324">
        <f t="shared" si="83"/>
        <v>0.58064516129032262</v>
      </c>
      <c r="X372" s="324">
        <f t="shared" si="84"/>
        <v>0.41935483870967744</v>
      </c>
      <c r="AB372" s="4">
        <f t="shared" si="87"/>
        <v>2035</v>
      </c>
      <c r="AC372" s="394">
        <f t="shared" si="88"/>
        <v>49583</v>
      </c>
      <c r="AD372" s="135">
        <f t="shared" si="85"/>
        <v>13.508792822185971</v>
      </c>
      <c r="AE372" s="136">
        <v>13.508792822185971</v>
      </c>
      <c r="AM372" s="4">
        <f t="shared" si="80"/>
        <v>2038</v>
      </c>
      <c r="AN372" s="337">
        <v>50587</v>
      </c>
      <c r="AO372" s="4">
        <f t="shared" si="81"/>
        <v>15.41</v>
      </c>
      <c r="AP372" s="4">
        <v>15.56</v>
      </c>
      <c r="AQ372" s="4">
        <v>15.26</v>
      </c>
    </row>
    <row r="373" spans="16:43">
      <c r="P373" s="4">
        <f t="shared" si="82"/>
        <v>2035</v>
      </c>
      <c r="Q373" s="396">
        <f t="shared" si="89"/>
        <v>49614</v>
      </c>
      <c r="R373" s="136">
        <v>116.05</v>
      </c>
      <c r="S373" s="136">
        <v>101.76</v>
      </c>
      <c r="T373" s="338">
        <f t="shared" si="86"/>
        <v>109.9053</v>
      </c>
      <c r="U373" s="324">
        <v>400</v>
      </c>
      <c r="V373" s="324">
        <v>320</v>
      </c>
      <c r="W373" s="324">
        <f t="shared" si="83"/>
        <v>0.55555555555555558</v>
      </c>
      <c r="X373" s="324">
        <f t="shared" si="84"/>
        <v>0.44444444444444442</v>
      </c>
      <c r="AB373" s="4">
        <f t="shared" si="87"/>
        <v>2035</v>
      </c>
      <c r="AC373" s="394">
        <f t="shared" si="88"/>
        <v>49614</v>
      </c>
      <c r="AD373" s="135">
        <f t="shared" si="85"/>
        <v>13.705910821098422</v>
      </c>
      <c r="AE373" s="136">
        <v>13.705910821098422</v>
      </c>
    </row>
    <row r="374" spans="16:43">
      <c r="P374" s="4">
        <f t="shared" si="82"/>
        <v>2035</v>
      </c>
      <c r="Q374" s="396">
        <f t="shared" si="89"/>
        <v>49644</v>
      </c>
      <c r="R374" s="136">
        <v>121.48</v>
      </c>
      <c r="S374" s="136">
        <v>111.4</v>
      </c>
      <c r="T374" s="338">
        <f t="shared" si="86"/>
        <v>117.1456</v>
      </c>
      <c r="U374" s="324">
        <v>400</v>
      </c>
      <c r="V374" s="324">
        <v>344</v>
      </c>
      <c r="W374" s="324">
        <f t="shared" si="83"/>
        <v>0.5376344086021505</v>
      </c>
      <c r="X374" s="324">
        <f t="shared" si="84"/>
        <v>0.46236559139784944</v>
      </c>
      <c r="AB374" s="4">
        <f t="shared" si="87"/>
        <v>2035</v>
      </c>
      <c r="AC374" s="394">
        <f t="shared" si="88"/>
        <v>49644</v>
      </c>
      <c r="AD374" s="135">
        <f t="shared" si="85"/>
        <v>14.361837955410548</v>
      </c>
      <c r="AE374" s="136">
        <v>14.361837955410548</v>
      </c>
    </row>
    <row r="375" spans="16:43">
      <c r="P375" s="4">
        <f t="shared" si="82"/>
        <v>2036</v>
      </c>
      <c r="Q375" s="396">
        <f t="shared" si="89"/>
        <v>49675</v>
      </c>
      <c r="R375" s="136">
        <v>127.41</v>
      </c>
      <c r="S375" s="136">
        <v>114.99</v>
      </c>
      <c r="T375" s="338">
        <f t="shared" si="86"/>
        <v>122.06939999999997</v>
      </c>
      <c r="U375" s="324">
        <v>416</v>
      </c>
      <c r="V375" s="324">
        <v>328</v>
      </c>
      <c r="W375" s="324">
        <f t="shared" si="83"/>
        <v>0.55913978494623651</v>
      </c>
      <c r="X375" s="324">
        <f t="shared" si="84"/>
        <v>0.44086021505376344</v>
      </c>
      <c r="AB375" s="4">
        <f t="shared" si="87"/>
        <v>2036</v>
      </c>
      <c r="AC375" s="394">
        <f t="shared" si="88"/>
        <v>49675</v>
      </c>
      <c r="AD375" s="135">
        <f t="shared" si="85"/>
        <v>15.60232191408374</v>
      </c>
      <c r="AE375" s="136">
        <v>15.60232191408374</v>
      </c>
    </row>
    <row r="376" spans="16:43">
      <c r="P376" s="4">
        <f t="shared" si="82"/>
        <v>2036</v>
      </c>
      <c r="Q376" s="396">
        <f t="shared" si="89"/>
        <v>49706</v>
      </c>
      <c r="R376" s="136">
        <v>119.92</v>
      </c>
      <c r="S376" s="136">
        <v>104.3</v>
      </c>
      <c r="T376" s="338">
        <f t="shared" si="86"/>
        <v>113.20339999999999</v>
      </c>
      <c r="U376" s="324">
        <v>400</v>
      </c>
      <c r="V376" s="324">
        <v>296</v>
      </c>
      <c r="W376" s="324">
        <f t="shared" si="83"/>
        <v>0.57471264367816088</v>
      </c>
      <c r="X376" s="324">
        <f t="shared" si="84"/>
        <v>0.42528735632183906</v>
      </c>
      <c r="AB376" s="4">
        <f t="shared" si="87"/>
        <v>2036</v>
      </c>
      <c r="AC376" s="394">
        <f t="shared" si="88"/>
        <v>49706</v>
      </c>
      <c r="AD376" s="135">
        <f t="shared" si="85"/>
        <v>14.660913539967373</v>
      </c>
      <c r="AE376" s="136">
        <v>14.660913539967373</v>
      </c>
    </row>
    <row r="377" spans="16:43">
      <c r="P377" s="4">
        <f t="shared" si="82"/>
        <v>2036</v>
      </c>
      <c r="Q377" s="396">
        <f t="shared" si="89"/>
        <v>49735</v>
      </c>
      <c r="R377" s="136">
        <v>101.63</v>
      </c>
      <c r="S377" s="136">
        <v>90.88</v>
      </c>
      <c r="T377" s="338">
        <f t="shared" si="86"/>
        <v>97.007499999999993</v>
      </c>
      <c r="U377" s="324">
        <v>416</v>
      </c>
      <c r="V377" s="324">
        <v>328</v>
      </c>
      <c r="W377" s="324">
        <f t="shared" si="83"/>
        <v>0.55913978494623651</v>
      </c>
      <c r="X377" s="324">
        <f t="shared" si="84"/>
        <v>0.44086021505376344</v>
      </c>
      <c r="AB377" s="4">
        <f t="shared" si="87"/>
        <v>2036</v>
      </c>
      <c r="AC377" s="394">
        <f t="shared" si="88"/>
        <v>49735</v>
      </c>
      <c r="AD377" s="135">
        <f t="shared" si="85"/>
        <v>13.790875475802062</v>
      </c>
      <c r="AE377" s="136">
        <v>13.790875475802062</v>
      </c>
    </row>
    <row r="378" spans="16:43">
      <c r="P378" s="4">
        <f t="shared" si="82"/>
        <v>2036</v>
      </c>
      <c r="Q378" s="396">
        <f t="shared" si="89"/>
        <v>49766</v>
      </c>
      <c r="R378" s="136">
        <v>101.09</v>
      </c>
      <c r="S378" s="136">
        <v>96.31</v>
      </c>
      <c r="T378" s="338">
        <f t="shared" si="86"/>
        <v>99.034599999999998</v>
      </c>
      <c r="U378" s="324">
        <v>416</v>
      </c>
      <c r="V378" s="324">
        <v>304</v>
      </c>
      <c r="W378" s="324">
        <f t="shared" si="83"/>
        <v>0.57777777777777772</v>
      </c>
      <c r="X378" s="324">
        <f t="shared" si="84"/>
        <v>0.42222222222222222</v>
      </c>
      <c r="AB378" s="4">
        <f t="shared" si="87"/>
        <v>2036</v>
      </c>
      <c r="AC378" s="394">
        <f t="shared" si="88"/>
        <v>49766</v>
      </c>
      <c r="AD378" s="135">
        <f t="shared" si="85"/>
        <v>13.049983686786298</v>
      </c>
      <c r="AE378" s="136">
        <v>13.049983686786298</v>
      </c>
    </row>
    <row r="379" spans="16:43">
      <c r="P379" s="4">
        <f t="shared" si="82"/>
        <v>2036</v>
      </c>
      <c r="Q379" s="396">
        <f t="shared" si="89"/>
        <v>49796</v>
      </c>
      <c r="R379" s="136">
        <v>102.94</v>
      </c>
      <c r="S379" s="136">
        <v>96.83</v>
      </c>
      <c r="T379" s="338">
        <f t="shared" si="86"/>
        <v>100.31269999999999</v>
      </c>
      <c r="U379" s="324">
        <v>416</v>
      </c>
      <c r="V379" s="324">
        <v>328</v>
      </c>
      <c r="W379" s="324">
        <f t="shared" si="83"/>
        <v>0.55913978494623651</v>
      </c>
      <c r="X379" s="324">
        <f t="shared" si="84"/>
        <v>0.44086021505376344</v>
      </c>
      <c r="AB379" s="4">
        <f t="shared" si="87"/>
        <v>2036</v>
      </c>
      <c r="AC379" s="394">
        <f t="shared" si="88"/>
        <v>49796</v>
      </c>
      <c r="AD379" s="135">
        <f t="shared" si="85"/>
        <v>12.917438825448613</v>
      </c>
      <c r="AE379" s="136">
        <v>12.917438825448613</v>
      </c>
    </row>
    <row r="380" spans="16:43">
      <c r="P380" s="4">
        <f t="shared" si="82"/>
        <v>2036</v>
      </c>
      <c r="Q380" s="396">
        <f t="shared" si="89"/>
        <v>49827</v>
      </c>
      <c r="R380" s="136">
        <v>111.43</v>
      </c>
      <c r="S380" s="136">
        <v>99.44</v>
      </c>
      <c r="T380" s="338">
        <f t="shared" si="86"/>
        <v>106.2743</v>
      </c>
      <c r="U380" s="324">
        <v>400</v>
      </c>
      <c r="V380" s="324">
        <v>320</v>
      </c>
      <c r="W380" s="324">
        <f t="shared" si="83"/>
        <v>0.55555555555555558</v>
      </c>
      <c r="X380" s="324">
        <f t="shared" si="84"/>
        <v>0.44444444444444442</v>
      </c>
      <c r="AB380" s="4">
        <f t="shared" si="87"/>
        <v>2036</v>
      </c>
      <c r="AC380" s="394">
        <f t="shared" si="88"/>
        <v>49827</v>
      </c>
      <c r="AD380" s="135">
        <f t="shared" si="85"/>
        <v>13.117955410549211</v>
      </c>
      <c r="AE380" s="136">
        <v>13.117955410549211</v>
      </c>
    </row>
    <row r="381" spans="16:43">
      <c r="P381" s="4">
        <f t="shared" si="82"/>
        <v>2036</v>
      </c>
      <c r="Q381" s="396">
        <f t="shared" si="89"/>
        <v>49857</v>
      </c>
      <c r="R381" s="136">
        <v>106.13</v>
      </c>
      <c r="S381" s="136">
        <v>101.72</v>
      </c>
      <c r="T381" s="338">
        <f t="shared" si="86"/>
        <v>104.23369999999998</v>
      </c>
      <c r="U381" s="324">
        <v>416</v>
      </c>
      <c r="V381" s="324">
        <v>328</v>
      </c>
      <c r="W381" s="324">
        <f t="shared" si="83"/>
        <v>0.55913978494623651</v>
      </c>
      <c r="X381" s="324">
        <f t="shared" si="84"/>
        <v>0.44086021505376344</v>
      </c>
      <c r="AB381" s="4">
        <f t="shared" si="87"/>
        <v>2036</v>
      </c>
      <c r="AC381" s="394">
        <f t="shared" si="88"/>
        <v>49857</v>
      </c>
      <c r="AD381" s="135">
        <f t="shared" si="85"/>
        <v>13.318471995649809</v>
      </c>
      <c r="AE381" s="136">
        <v>13.318471995649809</v>
      </c>
    </row>
    <row r="382" spans="16:43">
      <c r="P382" s="4">
        <f t="shared" si="82"/>
        <v>2036</v>
      </c>
      <c r="Q382" s="396">
        <f t="shared" si="89"/>
        <v>49888</v>
      </c>
      <c r="R382" s="136">
        <v>106.65</v>
      </c>
      <c r="S382" s="136">
        <v>102.31</v>
      </c>
      <c r="T382" s="338">
        <f t="shared" si="86"/>
        <v>104.7838</v>
      </c>
      <c r="U382" s="324">
        <v>416</v>
      </c>
      <c r="V382" s="324">
        <v>328</v>
      </c>
      <c r="W382" s="324">
        <f t="shared" si="83"/>
        <v>0.55913978494623651</v>
      </c>
      <c r="X382" s="324">
        <f t="shared" si="84"/>
        <v>0.44086021505376344</v>
      </c>
      <c r="AB382" s="4">
        <f t="shared" si="87"/>
        <v>2036</v>
      </c>
      <c r="AC382" s="394">
        <f t="shared" si="88"/>
        <v>49888</v>
      </c>
      <c r="AD382" s="135">
        <f t="shared" si="85"/>
        <v>13.318471995649809</v>
      </c>
      <c r="AE382" s="136">
        <v>13.318471995649809</v>
      </c>
    </row>
    <row r="383" spans="16:43">
      <c r="P383" s="4">
        <f t="shared" si="82"/>
        <v>2036</v>
      </c>
      <c r="Q383" s="396">
        <f t="shared" si="89"/>
        <v>49919</v>
      </c>
      <c r="R383" s="136">
        <v>105.71433999999999</v>
      </c>
      <c r="S383" s="136">
        <v>99.128889999999998</v>
      </c>
      <c r="T383" s="338">
        <f t="shared" si="86"/>
        <v>102.88259649999999</v>
      </c>
      <c r="U383" s="324">
        <v>400</v>
      </c>
      <c r="V383" s="324">
        <v>320</v>
      </c>
      <c r="W383" s="324">
        <f t="shared" si="83"/>
        <v>0.55555555555555558</v>
      </c>
      <c r="X383" s="324">
        <f t="shared" si="84"/>
        <v>0.44444444444444442</v>
      </c>
      <c r="AB383" s="4">
        <f t="shared" si="87"/>
        <v>2036</v>
      </c>
      <c r="AC383" s="394">
        <f t="shared" si="88"/>
        <v>49919</v>
      </c>
      <c r="AD383" s="135">
        <f t="shared" si="85"/>
        <v>13.323403344208808</v>
      </c>
      <c r="AE383" s="136">
        <v>13.323403344208808</v>
      </c>
    </row>
  </sheetData>
  <pageMargins left="0.25" right="0.25" top="0.25" bottom="0.75" header="0.3" footer="0.3"/>
  <pageSetup scale="80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0"/>
  <sheetViews>
    <sheetView topLeftCell="A38" workbookViewId="0">
      <selection activeCell="Y54" sqref="Y54"/>
    </sheetView>
  </sheetViews>
  <sheetFormatPr defaultRowHeight="11.25"/>
  <cols>
    <col min="1" max="1" width="8.1640625" style="157" customWidth="1"/>
    <col min="2" max="2" width="4.1640625" style="157" customWidth="1"/>
    <col min="3" max="3" width="11" style="157" customWidth="1"/>
    <col min="4" max="4" width="4.83203125" style="157" customWidth="1"/>
    <col min="5" max="5" width="10.83203125" style="157" customWidth="1"/>
    <col min="6" max="6" width="4.33203125" style="157" customWidth="1"/>
    <col min="7" max="7" width="17.33203125" style="157" customWidth="1"/>
    <col min="8" max="8" width="2.83203125" style="157" customWidth="1"/>
    <col min="9" max="9" width="13.5" style="157" customWidth="1"/>
    <col min="10" max="10" width="2.83203125" style="157" customWidth="1"/>
    <col min="11" max="11" width="13.5" style="157" customWidth="1"/>
    <col min="12" max="12" width="2.83203125" style="157" customWidth="1"/>
    <col min="13" max="13" width="15.33203125" style="157" customWidth="1"/>
    <col min="14" max="14" width="2.83203125" style="157" customWidth="1"/>
    <col min="15" max="15" width="13.1640625" style="157" customWidth="1"/>
    <col min="16" max="16" width="2.83203125" style="157" customWidth="1"/>
    <col min="17" max="17" width="13.83203125" style="157" customWidth="1"/>
    <col min="18" max="18" width="3.1640625" style="157" customWidth="1"/>
    <col min="19" max="19" width="13.1640625" style="157" customWidth="1"/>
    <col min="20" max="20" width="2.83203125" style="157" customWidth="1"/>
    <col min="21" max="21" width="15.1640625" style="157" customWidth="1"/>
    <col min="22" max="22" width="2.83203125" style="157" customWidth="1"/>
    <col min="23" max="23" width="14.1640625" style="157" customWidth="1"/>
    <col min="24" max="24" width="2.83203125" style="157" customWidth="1"/>
    <col min="25" max="25" width="14.6640625" style="157" customWidth="1"/>
    <col min="26" max="26" width="2.83203125" style="157" customWidth="1"/>
    <col min="27" max="27" width="2.6640625" style="157" customWidth="1"/>
    <col min="28" max="28" width="7.83203125" style="157" customWidth="1"/>
    <col min="29" max="29" width="3" style="157" customWidth="1"/>
    <col min="30" max="30" width="13" style="157" bestFit="1" customWidth="1"/>
    <col min="31" max="31" width="3.1640625" style="157" customWidth="1"/>
    <col min="32" max="32" width="12.1640625" style="157" customWidth="1"/>
    <col min="33" max="33" width="2.33203125" style="157" customWidth="1"/>
    <col min="34" max="34" width="14.5" style="157" customWidth="1"/>
    <col min="35" max="35" width="2.83203125" style="157" customWidth="1"/>
    <col min="36" max="36" width="13.1640625" style="157" customWidth="1"/>
    <col min="37" max="37" width="2.33203125" style="157" customWidth="1"/>
    <col min="38" max="38" width="13.6640625" style="157" customWidth="1"/>
    <col min="39" max="39" width="1.5" style="157" customWidth="1"/>
    <col min="40" max="40" width="13" style="157" bestFit="1" customWidth="1"/>
    <col min="41" max="41" width="1.33203125" style="157" customWidth="1"/>
    <col min="42" max="42" width="11.33203125" style="157" customWidth="1"/>
    <col min="43" max="43" width="2.5" style="157" customWidth="1"/>
    <col min="44" max="44" width="12.6640625" style="157" customWidth="1"/>
    <col min="45" max="45" width="4" style="157" customWidth="1"/>
    <col min="46" max="46" width="10.1640625" style="157" customWidth="1"/>
    <col min="47" max="47" width="3.33203125" style="157" customWidth="1"/>
    <col min="48" max="48" width="12" style="157" customWidth="1"/>
    <col min="49" max="49" width="1.5" style="157" customWidth="1"/>
    <col min="50" max="50" width="11.33203125" style="157" customWidth="1"/>
    <col min="51" max="51" width="1.83203125" style="157" customWidth="1"/>
    <col min="52" max="52" width="9.33203125" style="157"/>
    <col min="53" max="53" width="2.83203125" style="157" customWidth="1"/>
    <col min="54" max="54" width="9.33203125" style="157"/>
    <col min="55" max="55" width="4" style="157" customWidth="1"/>
    <col min="56" max="56" width="9.33203125" style="157"/>
    <col min="57" max="57" width="2.83203125" style="157" customWidth="1"/>
    <col min="58" max="58" width="10.5" style="157" bestFit="1" customWidth="1"/>
    <col min="59" max="59" width="2.33203125" style="157" customWidth="1"/>
    <col min="60" max="16384" width="9.33203125" style="157"/>
  </cols>
  <sheetData>
    <row r="1" spans="1:57" s="264" customFormat="1">
      <c r="A1" s="264" t="s">
        <v>0</v>
      </c>
    </row>
    <row r="2" spans="1:57" s="264" customFormat="1">
      <c r="A2" s="264" t="str">
        <f>'Workpaper Index'!$C$4</f>
        <v xml:space="preserve">WASHINGTON AUGUST 23, 2019 RENEWABLES REPORT </v>
      </c>
    </row>
    <row r="3" spans="1:57" s="264" customFormat="1">
      <c r="A3" s="264" t="s">
        <v>1</v>
      </c>
    </row>
    <row r="4" spans="1:57" s="264" customFormat="1"/>
    <row r="5" spans="1:57" s="264" customFormat="1">
      <c r="A5" s="264" t="s">
        <v>156</v>
      </c>
    </row>
    <row r="8" spans="1:57">
      <c r="B8" s="280"/>
      <c r="C8" s="281" t="s">
        <v>109</v>
      </c>
      <c r="D8" s="281"/>
      <c r="E8" s="281"/>
      <c r="F8" s="282"/>
      <c r="G8" s="281"/>
      <c r="H8" s="283"/>
      <c r="AB8" s="284" t="s">
        <v>110</v>
      </c>
      <c r="AC8" s="285"/>
      <c r="AD8" s="285"/>
      <c r="AE8" s="285"/>
      <c r="AF8" s="285"/>
      <c r="AG8" s="285"/>
      <c r="AH8" s="285"/>
      <c r="AI8" s="285"/>
      <c r="AJ8" s="285"/>
      <c r="AK8" s="286"/>
      <c r="AZ8" s="284" t="s">
        <v>111</v>
      </c>
      <c r="BA8" s="285"/>
      <c r="BB8" s="285"/>
      <c r="BC8" s="285"/>
      <c r="BD8" s="285"/>
      <c r="BE8" s="286"/>
    </row>
    <row r="9" spans="1:57" ht="12">
      <c r="B9" s="287"/>
      <c r="C9" s="288"/>
      <c r="D9" s="288"/>
      <c r="E9" s="288"/>
      <c r="F9" s="288"/>
      <c r="G9" s="288"/>
      <c r="H9" s="289"/>
      <c r="J9" s="290"/>
      <c r="AB9" s="137"/>
      <c r="AC9" s="138"/>
      <c r="AD9" s="138"/>
      <c r="AE9" s="138"/>
      <c r="AF9" s="139"/>
      <c r="AG9" s="138"/>
      <c r="AH9" s="138"/>
      <c r="AI9" s="138"/>
      <c r="AJ9" s="140"/>
      <c r="AK9" s="141"/>
      <c r="AZ9" s="137"/>
      <c r="BA9" s="138"/>
      <c r="BB9" s="138"/>
      <c r="BC9" s="138"/>
      <c r="BD9" s="139"/>
      <c r="BE9" s="142"/>
    </row>
    <row r="10" spans="1:57" ht="12">
      <c r="B10" s="291"/>
      <c r="C10" s="292" t="s">
        <v>112</v>
      </c>
      <c r="D10" s="292"/>
      <c r="E10" s="292"/>
      <c r="F10" s="292"/>
      <c r="G10" s="293" t="s">
        <v>17</v>
      </c>
      <c r="H10" s="294"/>
      <c r="AB10" s="143"/>
      <c r="AC10" s="144"/>
      <c r="AD10" s="144"/>
      <c r="AE10" s="144"/>
      <c r="AF10" s="145"/>
      <c r="AG10" s="146"/>
      <c r="AH10" s="147"/>
      <c r="AI10" s="148"/>
      <c r="AJ10" s="4"/>
      <c r="AK10" s="271"/>
      <c r="AN10" s="295"/>
      <c r="AZ10" s="143"/>
      <c r="BA10" s="144"/>
      <c r="BB10" s="144"/>
      <c r="BC10" s="144"/>
      <c r="BD10" s="145"/>
      <c r="BE10" s="149"/>
    </row>
    <row r="11" spans="1:57" ht="12">
      <c r="B11" s="291"/>
      <c r="C11" s="292" t="s">
        <v>41</v>
      </c>
      <c r="D11" s="292"/>
      <c r="E11" s="292"/>
      <c r="F11" s="292"/>
      <c r="G11" s="293">
        <v>94</v>
      </c>
      <c r="H11" s="294"/>
      <c r="AB11" s="143" t="s">
        <v>113</v>
      </c>
      <c r="AC11" s="144"/>
      <c r="AD11" s="144"/>
      <c r="AE11" s="144"/>
      <c r="AF11" s="155">
        <f>+G11*(G12/AJ16)</f>
        <v>62.60880648141876</v>
      </c>
      <c r="AG11" s="148"/>
      <c r="AH11" s="144" t="s">
        <v>114</v>
      </c>
      <c r="AI11" s="145"/>
      <c r="AJ11" s="150">
        <v>7.9126910299003335</v>
      </c>
      <c r="AK11" s="271"/>
      <c r="AN11" s="295"/>
      <c r="AZ11" s="143" t="s">
        <v>113</v>
      </c>
      <c r="BA11" s="144"/>
      <c r="BB11" s="144"/>
      <c r="BC11" s="144"/>
      <c r="BD11" s="155">
        <f>(AF11*AF13-G11*G19)</f>
        <v>58.222139814752097</v>
      </c>
      <c r="BE11" s="151"/>
    </row>
    <row r="12" spans="1:57" ht="12">
      <c r="B12" s="291"/>
      <c r="C12" s="292" t="s">
        <v>42</v>
      </c>
      <c r="D12" s="292"/>
      <c r="E12" s="292"/>
      <c r="F12" s="292"/>
      <c r="G12" s="296">
        <v>0.32430715621392298</v>
      </c>
      <c r="H12" s="294"/>
      <c r="AB12" s="143" t="s">
        <v>42</v>
      </c>
      <c r="AC12" s="144"/>
      <c r="AD12" s="144"/>
      <c r="AE12" s="144"/>
      <c r="AF12" s="152">
        <f>+AD54/8760/AF11</f>
        <v>0.48695976743468433</v>
      </c>
      <c r="AG12" s="148"/>
      <c r="AH12" s="138" t="s">
        <v>115</v>
      </c>
      <c r="AI12" s="139"/>
      <c r="AJ12" s="138">
        <v>2006</v>
      </c>
      <c r="AK12" s="271"/>
      <c r="AZ12" s="143"/>
      <c r="BA12" s="144"/>
      <c r="BB12" s="144"/>
      <c r="BC12" s="144"/>
      <c r="BD12" s="152"/>
      <c r="BE12" s="153"/>
    </row>
    <row r="13" spans="1:57" ht="12">
      <c r="B13" s="291"/>
      <c r="C13" s="292" t="s">
        <v>43</v>
      </c>
      <c r="D13" s="292"/>
      <c r="E13" s="292"/>
      <c r="F13" s="292"/>
      <c r="G13" s="293">
        <v>2008</v>
      </c>
      <c r="H13" s="294"/>
      <c r="AB13" s="143" t="s">
        <v>116</v>
      </c>
      <c r="AC13" s="144"/>
      <c r="AD13" s="144"/>
      <c r="AE13" s="144"/>
      <c r="AF13" s="154">
        <v>1</v>
      </c>
      <c r="AG13" s="148"/>
      <c r="AH13" s="138" t="s">
        <v>117</v>
      </c>
      <c r="AI13" s="139"/>
      <c r="AJ13" s="150">
        <v>2.2243013100436677</v>
      </c>
      <c r="AK13" s="271"/>
      <c r="AZ13" s="143" t="s">
        <v>116</v>
      </c>
      <c r="BA13" s="144"/>
      <c r="BB13" s="144"/>
      <c r="BC13" s="144"/>
      <c r="BD13" s="154">
        <v>1</v>
      </c>
      <c r="BE13" s="153"/>
    </row>
    <row r="14" spans="1:57" ht="12">
      <c r="B14" s="291"/>
      <c r="C14" s="292" t="s">
        <v>44</v>
      </c>
      <c r="D14" s="292"/>
      <c r="E14" s="292"/>
      <c r="F14" s="292"/>
      <c r="G14" s="293">
        <v>25</v>
      </c>
      <c r="H14" s="294"/>
      <c r="AB14" s="143" t="s">
        <v>118</v>
      </c>
      <c r="AC14" s="144"/>
      <c r="AD14" s="144"/>
      <c r="AE14" s="144"/>
      <c r="AF14" s="155">
        <v>7266.0213306432961</v>
      </c>
      <c r="AG14" s="148"/>
      <c r="AH14" s="138"/>
      <c r="AI14" s="139"/>
      <c r="AJ14" s="150"/>
      <c r="AK14" s="271"/>
      <c r="AZ14" s="143" t="s">
        <v>119</v>
      </c>
      <c r="BA14" s="144"/>
      <c r="BB14" s="144"/>
      <c r="BC14" s="144"/>
      <c r="BD14" s="156">
        <v>454</v>
      </c>
      <c r="BE14" s="153"/>
    </row>
    <row r="15" spans="1:57" ht="12">
      <c r="A15" s="157" t="s">
        <v>120</v>
      </c>
      <c r="B15" s="291"/>
      <c r="C15" s="292" t="s">
        <v>121</v>
      </c>
      <c r="D15" s="292"/>
      <c r="E15" s="292"/>
      <c r="F15" s="292"/>
      <c r="G15" s="297">
        <v>192.46011054334076</v>
      </c>
      <c r="H15" s="294"/>
      <c r="AB15" s="143" t="s">
        <v>119</v>
      </c>
      <c r="AC15" s="144"/>
      <c r="AD15" s="144"/>
      <c r="AE15" s="144"/>
      <c r="AF15" s="156">
        <v>651.09966777408636</v>
      </c>
      <c r="AG15" s="148"/>
      <c r="AH15" s="138" t="s">
        <v>160</v>
      </c>
      <c r="AI15" s="139"/>
      <c r="AJ15" s="150">
        <v>2.302423580786026</v>
      </c>
      <c r="AK15" s="271"/>
      <c r="AZ15" s="143" t="s">
        <v>122</v>
      </c>
      <c r="BA15" s="144"/>
      <c r="BB15" s="144"/>
      <c r="BC15" s="144"/>
      <c r="BD15" s="158">
        <v>8.3299999999999999E-2</v>
      </c>
      <c r="BE15" s="153"/>
    </row>
    <row r="16" spans="1:57" ht="12">
      <c r="A16" s="157" t="s">
        <v>120</v>
      </c>
      <c r="B16" s="291"/>
      <c r="C16" s="292" t="s">
        <v>123</v>
      </c>
      <c r="D16" s="292"/>
      <c r="E16" s="292"/>
      <c r="F16" s="292"/>
      <c r="G16" s="297">
        <v>14.384830645825609</v>
      </c>
      <c r="H16" s="294"/>
      <c r="AB16" s="143" t="s">
        <v>122</v>
      </c>
      <c r="AC16" s="144"/>
      <c r="AD16" s="144"/>
      <c r="AE16" s="144"/>
      <c r="AF16" s="158">
        <v>8.6199999999999999E-2</v>
      </c>
      <c r="AG16" s="148"/>
      <c r="AH16" s="138" t="s">
        <v>124</v>
      </c>
      <c r="AI16" s="145"/>
      <c r="AJ16" s="159">
        <v>0.48691029900332239</v>
      </c>
      <c r="AK16" s="271"/>
      <c r="AZ16" s="143" t="s">
        <v>114</v>
      </c>
      <c r="BA16" s="145"/>
      <c r="BB16" s="150">
        <v>5.75</v>
      </c>
      <c r="BC16" s="4"/>
      <c r="BD16" s="4"/>
      <c r="BE16" s="151"/>
    </row>
    <row r="17" spans="1:60" ht="12">
      <c r="A17" s="157" t="s">
        <v>120</v>
      </c>
      <c r="B17" s="291"/>
      <c r="C17" s="292" t="s">
        <v>125</v>
      </c>
      <c r="D17" s="292"/>
      <c r="E17" s="292"/>
      <c r="F17" s="292"/>
      <c r="G17" s="297">
        <v>5.3332720597611454</v>
      </c>
      <c r="H17" s="294"/>
      <c r="AB17" s="3"/>
      <c r="AG17" s="148"/>
      <c r="AH17" s="4"/>
      <c r="AI17" s="148"/>
      <c r="AJ17" s="144"/>
      <c r="AK17" s="151"/>
      <c r="AZ17" s="137" t="s">
        <v>115</v>
      </c>
      <c r="BA17" s="139"/>
      <c r="BB17" s="138">
        <v>2006</v>
      </c>
      <c r="BC17" s="4"/>
      <c r="BD17" s="4"/>
      <c r="BE17" s="149"/>
    </row>
    <row r="18" spans="1:60" ht="12">
      <c r="B18" s="291"/>
      <c r="C18" s="292" t="s">
        <v>126</v>
      </c>
      <c r="D18" s="292"/>
      <c r="E18" s="292"/>
      <c r="F18" s="292"/>
      <c r="G18" s="296">
        <v>7.3164524549999999E-2</v>
      </c>
      <c r="H18" s="29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2"/>
      <c r="AZ18" s="160"/>
      <c r="BA18" s="161"/>
      <c r="BB18" s="161"/>
      <c r="BC18" s="161"/>
      <c r="BD18" s="161"/>
      <c r="BE18" s="163"/>
    </row>
    <row r="19" spans="1:60">
      <c r="B19" s="298"/>
      <c r="C19" s="299" t="s">
        <v>116</v>
      </c>
      <c r="D19" s="299"/>
      <c r="E19" s="299"/>
      <c r="F19" s="299"/>
      <c r="G19" s="300">
        <f>14/300</f>
        <v>4.6666666666666669E-2</v>
      </c>
      <c r="H19" s="301"/>
      <c r="I19" s="157" t="s">
        <v>127</v>
      </c>
    </row>
    <row r="20" spans="1:60" ht="12.75">
      <c r="B20" s="264"/>
      <c r="C20" s="264"/>
      <c r="D20" s="264"/>
      <c r="E20" s="264"/>
      <c r="F20" s="264"/>
      <c r="G20" s="264"/>
      <c r="H20" s="264"/>
      <c r="AH20" s="243"/>
    </row>
    <row r="23" spans="1:60">
      <c r="B23" s="284"/>
      <c r="C23" s="302" t="s">
        <v>128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3"/>
      <c r="AB23" s="284" t="s">
        <v>110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6"/>
      <c r="AZ23" s="284" t="s">
        <v>111</v>
      </c>
      <c r="BA23" s="285"/>
      <c r="BB23" s="285"/>
      <c r="BC23" s="285"/>
      <c r="BD23" s="285"/>
      <c r="BE23" s="285"/>
      <c r="BF23" s="285"/>
      <c r="BG23" s="285"/>
      <c r="BH23" s="286"/>
    </row>
    <row r="24" spans="1:60">
      <c r="B24" s="3"/>
      <c r="C24" s="4"/>
      <c r="D24" s="4"/>
      <c r="E24" s="4"/>
      <c r="F24" s="4"/>
      <c r="G24" s="304"/>
      <c r="H24" s="4"/>
      <c r="I24" s="304"/>
      <c r="J24" s="4"/>
      <c r="K24" s="304"/>
      <c r="L24" s="4"/>
      <c r="M24" s="4"/>
      <c r="N24" s="4"/>
      <c r="O24" s="304"/>
      <c r="P24" s="4"/>
      <c r="Q24" s="304"/>
      <c r="R24" s="4"/>
      <c r="S24" s="304"/>
      <c r="T24" s="4"/>
      <c r="U24" s="304"/>
      <c r="V24" s="4"/>
      <c r="W24" s="304"/>
      <c r="X24" s="4"/>
      <c r="Y24" s="304"/>
      <c r="Z24" s="271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71"/>
      <c r="AZ24" s="3"/>
      <c r="BA24" s="4"/>
      <c r="BB24" s="4"/>
      <c r="BC24" s="4"/>
      <c r="BD24" s="4"/>
      <c r="BE24" s="4"/>
      <c r="BF24" s="4"/>
      <c r="BG24" s="4"/>
      <c r="BH24" s="271"/>
    </row>
    <row r="25" spans="1:60" ht="60">
      <c r="B25" s="3"/>
      <c r="C25" s="4"/>
      <c r="D25" s="4"/>
      <c r="E25" s="304"/>
      <c r="F25" s="4"/>
      <c r="G25" s="305" t="s">
        <v>129</v>
      </c>
      <c r="H25" s="4"/>
      <c r="I25" s="305" t="s">
        <v>130</v>
      </c>
      <c r="J25" s="4"/>
      <c r="K25" s="305" t="s">
        <v>131</v>
      </c>
      <c r="L25" s="4"/>
      <c r="M25" s="305" t="s">
        <v>125</v>
      </c>
      <c r="N25" s="4"/>
      <c r="O25" s="305" t="s">
        <v>132</v>
      </c>
      <c r="P25" s="4"/>
      <c r="Q25" s="305" t="s">
        <v>133</v>
      </c>
      <c r="R25" s="4"/>
      <c r="S25" s="305" t="s">
        <v>30</v>
      </c>
      <c r="T25" s="4"/>
      <c r="U25" s="305" t="s">
        <v>134</v>
      </c>
      <c r="V25" s="4"/>
      <c r="W25" s="305" t="s">
        <v>135</v>
      </c>
      <c r="X25" s="270"/>
      <c r="Y25" s="305" t="s">
        <v>135</v>
      </c>
      <c r="Z25" s="271"/>
      <c r="AB25" s="164"/>
      <c r="AC25" s="139"/>
      <c r="AD25" s="306" t="s">
        <v>129</v>
      </c>
      <c r="AE25" s="4"/>
      <c r="AF25" s="165" t="s">
        <v>136</v>
      </c>
      <c r="AG25" s="166"/>
      <c r="AH25" s="165" t="s">
        <v>137</v>
      </c>
      <c r="AI25" s="4"/>
      <c r="AJ25" s="165" t="s">
        <v>138</v>
      </c>
      <c r="AK25" s="4"/>
      <c r="AL25" s="165" t="s">
        <v>139</v>
      </c>
      <c r="AM25" s="4"/>
      <c r="AN25" s="165" t="s">
        <v>140</v>
      </c>
      <c r="AO25" s="4"/>
      <c r="AP25" s="165" t="s">
        <v>140</v>
      </c>
      <c r="AQ25" s="4"/>
      <c r="AR25" s="165" t="s">
        <v>160</v>
      </c>
      <c r="AS25" s="165"/>
      <c r="AT25" s="165" t="s">
        <v>141</v>
      </c>
      <c r="AU25" s="4"/>
      <c r="AV25" s="165" t="s">
        <v>142</v>
      </c>
      <c r="AW25" s="4"/>
      <c r="AX25" s="307" t="s">
        <v>143</v>
      </c>
      <c r="AZ25" s="164"/>
      <c r="BA25" s="139"/>
      <c r="BB25" s="165" t="s">
        <v>136</v>
      </c>
      <c r="BC25" s="4"/>
      <c r="BD25" s="165" t="s">
        <v>137</v>
      </c>
      <c r="BE25" s="4"/>
      <c r="BF25" s="165" t="s">
        <v>139</v>
      </c>
      <c r="BG25" s="4"/>
      <c r="BH25" s="167"/>
    </row>
    <row r="26" spans="1:60" ht="22.5">
      <c r="B26" s="3"/>
      <c r="C26" s="308" t="s">
        <v>144</v>
      </c>
      <c r="D26" s="4"/>
      <c r="E26" s="305" t="s">
        <v>145</v>
      </c>
      <c r="F26" s="4"/>
      <c r="G26" s="304" t="s">
        <v>146</v>
      </c>
      <c r="H26" s="4"/>
      <c r="I26" s="304" t="s">
        <v>147</v>
      </c>
      <c r="J26" s="4"/>
      <c r="K26" s="304" t="str">
        <f>"($/MWH)"</f>
        <v>($/MWH)</v>
      </c>
      <c r="L26" s="4"/>
      <c r="M26" s="304" t="str">
        <f>"($/MWH)"</f>
        <v>($/MWH)</v>
      </c>
      <c r="N26" s="4"/>
      <c r="O26" s="304" t="str">
        <f>"($/MWH)"</f>
        <v>($/MWH)</v>
      </c>
      <c r="P26" s="4"/>
      <c r="Q26" s="304" t="str">
        <f>"($/MWH)"</f>
        <v>($/MWH)</v>
      </c>
      <c r="R26" s="4"/>
      <c r="S26" s="304" t="str">
        <f>"($000)"</f>
        <v>($000)</v>
      </c>
      <c r="T26" s="4"/>
      <c r="U26" s="304" t="str">
        <f>"($000)"</f>
        <v>($000)</v>
      </c>
      <c r="V26" s="4"/>
      <c r="W26" s="304" t="str">
        <f>"($000)"</f>
        <v>($000)</v>
      </c>
      <c r="X26" s="270"/>
      <c r="Y26" s="304" t="s">
        <v>148</v>
      </c>
      <c r="Z26" s="271"/>
      <c r="AB26" s="168" t="s">
        <v>90</v>
      </c>
      <c r="AC26" s="139"/>
      <c r="AD26" s="4" t="s">
        <v>146</v>
      </c>
      <c r="AE26" s="4"/>
      <c r="AF26" s="166" t="s">
        <v>147</v>
      </c>
      <c r="AG26" s="166"/>
      <c r="AH26" s="166" t="s">
        <v>147</v>
      </c>
      <c r="AI26" s="4"/>
      <c r="AJ26" s="166" t="s">
        <v>149</v>
      </c>
      <c r="AK26" s="4"/>
      <c r="AL26" s="166" t="s">
        <v>150</v>
      </c>
      <c r="AM26" s="4"/>
      <c r="AN26" s="166" t="s">
        <v>151</v>
      </c>
      <c r="AO26" s="4"/>
      <c r="AP26" s="166" t="s">
        <v>149</v>
      </c>
      <c r="AQ26" s="4"/>
      <c r="AR26" s="166" t="s">
        <v>149</v>
      </c>
      <c r="AS26" s="166"/>
      <c r="AT26" s="166" t="s">
        <v>150</v>
      </c>
      <c r="AU26" s="4"/>
      <c r="AV26" s="166" t="s">
        <v>150</v>
      </c>
      <c r="AW26" s="4"/>
      <c r="AX26" s="169" t="s">
        <v>150</v>
      </c>
      <c r="AZ26" s="168" t="s">
        <v>90</v>
      </c>
      <c r="BA26" s="139"/>
      <c r="BB26" s="166" t="s">
        <v>147</v>
      </c>
      <c r="BC26" s="4"/>
      <c r="BD26" s="166" t="s">
        <v>147</v>
      </c>
      <c r="BE26" s="4"/>
      <c r="BF26" s="166" t="s">
        <v>150</v>
      </c>
      <c r="BG26" s="4"/>
      <c r="BH26" s="169"/>
    </row>
    <row r="27" spans="1:60" ht="12">
      <c r="B27" s="3"/>
      <c r="C27" s="309" t="s">
        <v>48</v>
      </c>
      <c r="D27" s="4"/>
      <c r="E27" s="309" t="s">
        <v>48</v>
      </c>
      <c r="F27" s="4"/>
      <c r="G27" s="309" t="s">
        <v>48</v>
      </c>
      <c r="H27" s="4"/>
      <c r="I27" s="309" t="s">
        <v>48</v>
      </c>
      <c r="J27" s="4"/>
      <c r="K27" s="309" t="s">
        <v>48</v>
      </c>
      <c r="L27" s="4"/>
      <c r="M27" s="309" t="s">
        <v>48</v>
      </c>
      <c r="N27" s="4"/>
      <c r="O27" s="309" t="s">
        <v>48</v>
      </c>
      <c r="P27" s="4"/>
      <c r="Q27" s="309" t="s">
        <v>48</v>
      </c>
      <c r="R27" s="4"/>
      <c r="S27" s="309" t="s">
        <v>48</v>
      </c>
      <c r="T27" s="4"/>
      <c r="U27" s="309" t="s">
        <v>48</v>
      </c>
      <c r="V27" s="4"/>
      <c r="W27" s="309" t="s">
        <v>48</v>
      </c>
      <c r="X27" s="4"/>
      <c r="Y27" s="309" t="s">
        <v>48</v>
      </c>
      <c r="Z27" s="271"/>
      <c r="AB27" s="170" t="s">
        <v>48</v>
      </c>
      <c r="AC27" s="139"/>
      <c r="AD27" s="171" t="s">
        <v>48</v>
      </c>
      <c r="AE27" s="4"/>
      <c r="AF27" s="171" t="s">
        <v>48</v>
      </c>
      <c r="AG27" s="4"/>
      <c r="AH27" s="171" t="s">
        <v>48</v>
      </c>
      <c r="AI27" s="4"/>
      <c r="AJ27" s="171" t="s">
        <v>48</v>
      </c>
      <c r="AK27" s="4"/>
      <c r="AL27" s="171" t="s">
        <v>48</v>
      </c>
      <c r="AM27" s="4"/>
      <c r="AN27" s="171" t="s">
        <v>48</v>
      </c>
      <c r="AO27" s="310"/>
      <c r="AP27" s="171" t="s">
        <v>48</v>
      </c>
      <c r="AQ27" s="310"/>
      <c r="AR27" s="171" t="s">
        <v>48</v>
      </c>
      <c r="AS27" s="171"/>
      <c r="AT27" s="171"/>
      <c r="AU27" s="310"/>
      <c r="AV27" s="171" t="s">
        <v>48</v>
      </c>
      <c r="AW27" s="4"/>
      <c r="AX27" s="172" t="s">
        <v>48</v>
      </c>
      <c r="AZ27" s="170" t="s">
        <v>48</v>
      </c>
      <c r="BA27" s="139"/>
      <c r="BB27" s="171" t="s">
        <v>48</v>
      </c>
      <c r="BC27" s="4"/>
      <c r="BD27" s="171" t="s">
        <v>48</v>
      </c>
      <c r="BE27" s="4"/>
      <c r="BF27" s="171" t="s">
        <v>48</v>
      </c>
      <c r="BG27" s="4"/>
      <c r="BH27" s="172"/>
    </row>
    <row r="28" spans="1:60" ht="12">
      <c r="B28" s="3"/>
      <c r="C28" s="7">
        <f>+G13</f>
        <v>2008</v>
      </c>
      <c r="D28" s="7"/>
      <c r="E28" s="311">
        <v>1.7000000000000001E-2</v>
      </c>
      <c r="F28" s="7"/>
      <c r="G28" s="23">
        <v>267537.77831756306</v>
      </c>
      <c r="H28" s="7"/>
      <c r="I28" s="312">
        <f>$G$15*(1+$E28)</f>
        <v>195.73193242257753</v>
      </c>
      <c r="J28" s="312"/>
      <c r="K28" s="312">
        <f>$G$16*(1+$E28)</f>
        <v>14.629372766804643</v>
      </c>
      <c r="L28" s="313"/>
      <c r="M28" s="312">
        <f>$G$17*(1+$E28)</f>
        <v>5.4239376847770844</v>
      </c>
      <c r="N28" s="7"/>
      <c r="O28" s="314">
        <v>5.1866999999999992</v>
      </c>
      <c r="P28" s="7"/>
      <c r="Q28" s="30">
        <v>-31.822979238320347</v>
      </c>
      <c r="R28" s="7"/>
      <c r="S28" s="23">
        <f>(I28*$G$11*1000+(K28+M28+O28+Q28)*G28)/1000</f>
        <v>16637.608803784373</v>
      </c>
      <c r="T28" s="7"/>
      <c r="U28" s="23">
        <f t="shared" ref="U28:U52" si="0">AX28</f>
        <v>18275.792486144186</v>
      </c>
      <c r="V28" s="7"/>
      <c r="W28" s="23">
        <f t="shared" ref="W28:W52" si="1">S28-U28</f>
        <v>-1638.1836823598132</v>
      </c>
      <c r="X28" s="7"/>
      <c r="Y28" s="315">
        <f>+W28*1000/G28</f>
        <v>-6.123186387588655</v>
      </c>
      <c r="Z28" s="271"/>
      <c r="AB28" s="168">
        <f>$C$28</f>
        <v>2008</v>
      </c>
      <c r="AC28" s="138"/>
      <c r="AD28" s="173">
        <f t="shared" ref="AD28:AD52" si="2">G28</f>
        <v>267537.77831756306</v>
      </c>
      <c r="AE28" s="4"/>
      <c r="AF28" s="174">
        <v>58.163412158772744</v>
      </c>
      <c r="AG28" s="316"/>
      <c r="AH28" s="174">
        <v>8.2001037061794015</v>
      </c>
      <c r="AI28" s="316"/>
      <c r="AJ28" s="174">
        <v>2.3050946065283835</v>
      </c>
      <c r="AK28" s="317"/>
      <c r="AL28" s="175">
        <f>((AF28+AH28)*$AF$11*1000+AJ28*AD28)/1000</f>
        <v>4771.6404120577536</v>
      </c>
      <c r="AM28" s="4"/>
      <c r="AN28" s="176">
        <f>INDEX('(2.2)_Forward_Price_Curve'!$G:$G,MATCH($AB28,'(2.2)_Forward_Price_Curve'!$C:$C,0),1)</f>
        <v>7.9707205782722266</v>
      </c>
      <c r="AO28" s="316"/>
      <c r="AP28" s="176">
        <f>AN28*$AF$14/1000</f>
        <v>57.915425742323464</v>
      </c>
      <c r="AQ28" s="316"/>
      <c r="AR28" s="174">
        <v>2.3860545125109165</v>
      </c>
      <c r="AS28" s="174"/>
      <c r="AT28" s="175">
        <f t="shared" ref="AT28:AT52" si="3">AL28-BF28</f>
        <v>2142.8684295054004</v>
      </c>
      <c r="AU28" s="317"/>
      <c r="AV28" s="175">
        <f t="shared" ref="AV28:AV52" si="4">(AP28+AR28)*AD28/1000</f>
        <v>16132.924056638787</v>
      </c>
      <c r="AW28" s="318"/>
      <c r="AX28" s="177">
        <f>AT28+AV28</f>
        <v>18275.792486144186</v>
      </c>
      <c r="AZ28" s="168">
        <f>$C$28</f>
        <v>2008</v>
      </c>
      <c r="BA28" s="138"/>
      <c r="BB28" s="174">
        <v>39.191870478599988</v>
      </c>
      <c r="BC28" s="4"/>
      <c r="BD28" s="174">
        <v>5.9588572499999986</v>
      </c>
      <c r="BE28" s="316"/>
      <c r="BF28" s="175">
        <f>(BB28+BD28)*$BD$11</f>
        <v>2628.7719825523532</v>
      </c>
      <c r="BG28" s="316"/>
      <c r="BH28" s="178"/>
    </row>
    <row r="29" spans="1:60" ht="12">
      <c r="B29" s="3"/>
      <c r="C29" s="7">
        <f>+IF(C28&gt;$G$13+$G$14,XX,C28+1)</f>
        <v>2009</v>
      </c>
      <c r="D29" s="7"/>
      <c r="E29" s="311">
        <v>1.7000000000000001E-2</v>
      </c>
      <c r="F29" s="7"/>
      <c r="G29" s="23">
        <v>266887.27898453025</v>
      </c>
      <c r="H29" s="7"/>
      <c r="I29" s="30">
        <f>I28*(1+$E29)</f>
        <v>199.05937527376133</v>
      </c>
      <c r="J29" s="7"/>
      <c r="K29" s="30">
        <f>K28*(1+$E29)</f>
        <v>14.878072103840321</v>
      </c>
      <c r="L29" s="7"/>
      <c r="M29" s="30">
        <f>M28*(1+$E29)</f>
        <v>5.5161446254182946</v>
      </c>
      <c r="N29" s="7"/>
      <c r="O29" s="314">
        <v>5.2748738999999985</v>
      </c>
      <c r="P29" s="7"/>
      <c r="Q29" s="30">
        <v>-32.441830107908217</v>
      </c>
      <c r="R29" s="7"/>
      <c r="S29" s="23">
        <f t="shared" ref="S29:S52" si="5">(I29*$G$11*1000+(K29+M29+O29+Q29)*G29)/1000</f>
        <v>16904.023265005671</v>
      </c>
      <c r="T29" s="7"/>
      <c r="U29" s="23">
        <f t="shared" si="0"/>
        <v>17904.357904662171</v>
      </c>
      <c r="V29" s="7"/>
      <c r="W29" s="23">
        <f t="shared" si="1"/>
        <v>-1000.3346396564993</v>
      </c>
      <c r="X29" s="7"/>
      <c r="Y29" s="315">
        <f t="shared" ref="Y29:Y52" si="6">+W29*1000/G29</f>
        <v>-3.7481540651268075</v>
      </c>
      <c r="Z29" s="271"/>
      <c r="AB29" s="168">
        <f>+IF(AB28&gt;$G$13+$G$14,XX,AB28+1)</f>
        <v>2009</v>
      </c>
      <c r="AC29" s="138"/>
      <c r="AD29" s="173">
        <f t="shared" si="2"/>
        <v>266887.27898453025</v>
      </c>
      <c r="AE29" s="4"/>
      <c r="AF29" s="176">
        <f>AF28*(1+$E29)</f>
        <v>59.152190165471872</v>
      </c>
      <c r="AG29" s="4"/>
      <c r="AH29" s="176">
        <f>AH28*(1+$E29)</f>
        <v>8.3395054691844503</v>
      </c>
      <c r="AI29" s="4"/>
      <c r="AJ29" s="176">
        <f>AJ28*(1+$E29)</f>
        <v>2.3442812148393659</v>
      </c>
      <c r="AK29" s="4"/>
      <c r="AL29" s="175">
        <f t="shared" ref="AL29:AL52" si="7">((AF29+AH29)*$AF$11*1000+AJ29*AD29)/1000</f>
        <v>4851.2333456960405</v>
      </c>
      <c r="AM29" s="4"/>
      <c r="AN29" s="176">
        <f>INDEX('(2.2)_Forward_Price_Curve'!$G:$G,MATCH($AB29,'(2.2)_Forward_Price_Curve'!$C:$C,0),1)</f>
        <v>7.7758276535043622</v>
      </c>
      <c r="AO29" s="4"/>
      <c r="AP29" s="176">
        <f t="shared" ref="AP29:AP52" si="8">AN29*$AF$14/1000</f>
        <v>56.499329593768707</v>
      </c>
      <c r="AQ29" s="4"/>
      <c r="AR29" s="176">
        <f>AR28*(1+$E29)</f>
        <v>2.4266174392236017</v>
      </c>
      <c r="AS29" s="176"/>
      <c r="AT29" s="175">
        <f t="shared" si="3"/>
        <v>2177.7722394402981</v>
      </c>
      <c r="AU29" s="4"/>
      <c r="AV29" s="175">
        <f t="shared" si="4"/>
        <v>15726.585665221872</v>
      </c>
      <c r="AW29" s="318"/>
      <c r="AX29" s="177">
        <f t="shared" ref="AX29:AX52" si="9">AT29+AV29</f>
        <v>17904.357904662171</v>
      </c>
      <c r="AZ29" s="168">
        <f>+IF(AZ28&gt;$G$13+$G$14,XX,AZ28+1)</f>
        <v>2009</v>
      </c>
      <c r="BA29" s="138"/>
      <c r="BB29" s="176">
        <f>BB28*(1+$E29)</f>
        <v>39.858132276736185</v>
      </c>
      <c r="BC29" s="4"/>
      <c r="BD29" s="176">
        <f>BD28*(1+$E29)</f>
        <v>6.0601578232499982</v>
      </c>
      <c r="BE29" s="4"/>
      <c r="BF29" s="175">
        <f t="shared" ref="BF29:BF51" si="10">(BB29+BD29)*$BD$11</f>
        <v>2673.4611062557424</v>
      </c>
      <c r="BG29" s="4"/>
      <c r="BH29" s="179"/>
    </row>
    <row r="30" spans="1:60" ht="12">
      <c r="B30" s="3"/>
      <c r="C30" s="7">
        <f>+IF(C29&gt;$G$13+$G$14,XX,C29+1)</f>
        <v>2010</v>
      </c>
      <c r="D30" s="7"/>
      <c r="E30" s="311">
        <v>1.9E-2</v>
      </c>
      <c r="F30" s="7"/>
      <c r="G30" s="23">
        <v>266887.27898453025</v>
      </c>
      <c r="H30" s="7"/>
      <c r="I30" s="30">
        <f t="shared" ref="I30:I52" si="11">I29*(1+$E30)</f>
        <v>202.84150340396278</v>
      </c>
      <c r="J30" s="7"/>
      <c r="K30" s="30">
        <f t="shared" ref="K30:K52" si="12">K29*(1+$E30)</f>
        <v>15.160755473813285</v>
      </c>
      <c r="L30" s="7"/>
      <c r="M30" s="30">
        <f t="shared" ref="M30:M52" si="13">M29*(1+$E30)</f>
        <v>5.6209513733012413</v>
      </c>
      <c r="N30" s="7"/>
      <c r="O30" s="314">
        <v>5.3750965040999983</v>
      </c>
      <c r="P30" s="7"/>
      <c r="Q30" s="30">
        <v>-33.072715564073334</v>
      </c>
      <c r="R30" s="7"/>
      <c r="S30" s="23">
        <f t="shared" si="5"/>
        <v>17221.332327786735</v>
      </c>
      <c r="T30" s="7"/>
      <c r="U30" s="23">
        <f t="shared" si="0"/>
        <v>17379.415844316856</v>
      </c>
      <c r="V30" s="7"/>
      <c r="W30" s="23">
        <f t="shared" si="1"/>
        <v>-158.08351653012141</v>
      </c>
      <c r="X30" s="7"/>
      <c r="Y30" s="315">
        <f t="shared" si="6"/>
        <v>-0.59232316029301835</v>
      </c>
      <c r="Z30" s="271"/>
      <c r="AB30" s="168">
        <f>+IF(AB29&gt;$G$13+$G$14,XX,AB29+1)</f>
        <v>2010</v>
      </c>
      <c r="AC30" s="138"/>
      <c r="AD30" s="173">
        <f t="shared" si="2"/>
        <v>266887.27898453025</v>
      </c>
      <c r="AE30" s="4"/>
      <c r="AF30" s="176">
        <f t="shared" ref="AF30:AF52" si="14">AF29*(1+$E30)</f>
        <v>60.276081778615833</v>
      </c>
      <c r="AG30" s="4"/>
      <c r="AH30" s="176">
        <f t="shared" ref="AH30:AH52" si="15">AH29*(1+$E30)</f>
        <v>8.4979560730989547</v>
      </c>
      <c r="AI30" s="4"/>
      <c r="AJ30" s="176">
        <f t="shared" ref="AJ30:AJ52" si="16">AJ29*(1+$E30)</f>
        <v>2.3888225579213138</v>
      </c>
      <c r="AK30" s="4"/>
      <c r="AL30" s="175">
        <f t="shared" si="7"/>
        <v>4943.4067792642645</v>
      </c>
      <c r="AM30" s="4"/>
      <c r="AN30" s="176">
        <f>INDEX('(2.2)_Forward_Price_Curve'!$G:$G,MATCH($AB30,'(2.2)_Forward_Price_Curve'!$C:$C,0),1)</f>
        <v>7.4774457529777205</v>
      </c>
      <c r="AO30" s="4"/>
      <c r="AP30" s="176">
        <f t="shared" si="8"/>
        <v>54.331280339864243</v>
      </c>
      <c r="AQ30" s="4"/>
      <c r="AR30" s="176">
        <f t="shared" ref="AR30:AR52" si="17">AR29*(1+$E30)</f>
        <v>2.4727231705688499</v>
      </c>
      <c r="AS30" s="176"/>
      <c r="AT30" s="175">
        <f t="shared" si="3"/>
        <v>2219.149911989663</v>
      </c>
      <c r="AU30" s="4"/>
      <c r="AV30" s="175">
        <f t="shared" si="4"/>
        <v>15160.265932327193</v>
      </c>
      <c r="AW30" s="318"/>
      <c r="AX30" s="177">
        <f t="shared" si="9"/>
        <v>17379.415844316856</v>
      </c>
      <c r="AZ30" s="168">
        <f>+IF(AZ29&gt;$G$13+$G$14,XX,AZ29+1)</f>
        <v>2010</v>
      </c>
      <c r="BA30" s="138"/>
      <c r="BB30" s="176">
        <f t="shared" ref="BB30:BB52" si="18">BB29*(1+$E30)</f>
        <v>40.61543678999417</v>
      </c>
      <c r="BC30" s="4"/>
      <c r="BD30" s="176">
        <f t="shared" ref="BD30:BD52" si="19">BD29*(1+$E30)</f>
        <v>6.1753008218917476</v>
      </c>
      <c r="BE30" s="4"/>
      <c r="BF30" s="175">
        <f t="shared" si="10"/>
        <v>2724.2568672746015</v>
      </c>
      <c r="BG30" s="4"/>
      <c r="BH30" s="179"/>
    </row>
    <row r="31" spans="1:60" ht="12">
      <c r="B31" s="3"/>
      <c r="C31" s="7">
        <f>+IF(C30&gt;$G$13+$G$14,XX,C30+1)</f>
        <v>2011</v>
      </c>
      <c r="D31" s="7"/>
      <c r="E31" s="311">
        <v>1.9E-2</v>
      </c>
      <c r="F31" s="7"/>
      <c r="G31" s="23">
        <v>266887.27898453025</v>
      </c>
      <c r="H31" s="7"/>
      <c r="I31" s="30">
        <f t="shared" si="11"/>
        <v>206.69549196863804</v>
      </c>
      <c r="J31" s="7"/>
      <c r="K31" s="30">
        <f t="shared" si="12"/>
        <v>15.448809827815737</v>
      </c>
      <c r="L31" s="7"/>
      <c r="M31" s="30">
        <f t="shared" si="13"/>
        <v>5.727749449393964</v>
      </c>
      <c r="N31" s="7"/>
      <c r="O31" s="314">
        <v>5.4772233376778976</v>
      </c>
      <c r="P31" s="7"/>
      <c r="Q31" s="30">
        <v>-33.715869639409341</v>
      </c>
      <c r="R31" s="7"/>
      <c r="S31" s="23">
        <f t="shared" si="5"/>
        <v>17544.59505512541</v>
      </c>
      <c r="T31" s="7"/>
      <c r="U31" s="23">
        <f t="shared" si="0"/>
        <v>16667.54520753082</v>
      </c>
      <c r="V31" s="7"/>
      <c r="W31" s="23">
        <f t="shared" si="1"/>
        <v>877.04984759458966</v>
      </c>
      <c r="X31" s="7"/>
      <c r="Y31" s="315">
        <f t="shared" si="6"/>
        <v>3.2862182526332648</v>
      </c>
      <c r="Z31" s="271"/>
      <c r="AB31" s="168">
        <f>+IF(AB30&gt;$G$13+$G$14,XX,AB30+1)</f>
        <v>2011</v>
      </c>
      <c r="AC31" s="138"/>
      <c r="AD31" s="173">
        <f t="shared" si="2"/>
        <v>266887.27898453025</v>
      </c>
      <c r="AE31" s="4"/>
      <c r="AF31" s="176">
        <f t="shared" si="14"/>
        <v>61.421327332409525</v>
      </c>
      <c r="AG31" s="4"/>
      <c r="AH31" s="176">
        <f t="shared" si="15"/>
        <v>8.6594172384878334</v>
      </c>
      <c r="AI31" s="4"/>
      <c r="AJ31" s="176">
        <f t="shared" si="16"/>
        <v>2.4342101865218186</v>
      </c>
      <c r="AK31" s="4"/>
      <c r="AL31" s="175">
        <f t="shared" si="7"/>
        <v>5037.3315080702851</v>
      </c>
      <c r="AM31" s="4"/>
      <c r="AN31" s="176">
        <f>INDEX('(2.2)_Forward_Price_Curve'!$G:$G,MATCH($AB31,'(2.2)_Forward_Price_Curve'!$C:$C,0),1)</f>
        <v>7.0821436233211914</v>
      </c>
      <c r="AO31" s="4"/>
      <c r="AP31" s="176">
        <f t="shared" si="8"/>
        <v>51.459006633731178</v>
      </c>
      <c r="AQ31" s="4"/>
      <c r="AR31" s="176">
        <f t="shared" si="17"/>
        <v>2.5197049108096579</v>
      </c>
      <c r="AS31" s="176"/>
      <c r="AT31" s="175">
        <f t="shared" si="3"/>
        <v>2261.3137603174664</v>
      </c>
      <c r="AU31" s="4"/>
      <c r="AV31" s="175">
        <f t="shared" si="4"/>
        <v>14406.231447213353</v>
      </c>
      <c r="AW31" s="318"/>
      <c r="AX31" s="177">
        <f t="shared" si="9"/>
        <v>16667.54520753082</v>
      </c>
      <c r="AZ31" s="168">
        <f>+IF(AZ30&gt;$G$13+$G$14,XX,AZ30+1)</f>
        <v>2011</v>
      </c>
      <c r="BA31" s="138"/>
      <c r="BB31" s="176">
        <f t="shared" si="18"/>
        <v>41.387130089004053</v>
      </c>
      <c r="BC31" s="4"/>
      <c r="BD31" s="176">
        <f t="shared" si="19"/>
        <v>6.29263153750769</v>
      </c>
      <c r="BE31" s="4"/>
      <c r="BF31" s="175">
        <f t="shared" si="10"/>
        <v>2776.0177477528187</v>
      </c>
      <c r="BG31" s="4"/>
      <c r="BH31" s="179"/>
    </row>
    <row r="32" spans="1:60" ht="12">
      <c r="B32" s="3"/>
      <c r="C32" s="7">
        <f>+IF(C31&gt;$G$13+$G$14,XX,C31+1)</f>
        <v>2012</v>
      </c>
      <c r="D32" s="7"/>
      <c r="E32" s="311">
        <v>0.02</v>
      </c>
      <c r="F32" s="7"/>
      <c r="G32" s="23">
        <v>267537.77831756306</v>
      </c>
      <c r="H32" s="7"/>
      <c r="I32" s="30">
        <f t="shared" si="11"/>
        <v>210.8294018080108</v>
      </c>
      <c r="J32" s="7"/>
      <c r="K32" s="30">
        <f t="shared" si="12"/>
        <v>15.757786024372052</v>
      </c>
      <c r="L32" s="7"/>
      <c r="M32" s="30">
        <f t="shared" si="13"/>
        <v>5.8423044383818432</v>
      </c>
      <c r="N32" s="7"/>
      <c r="O32" s="314">
        <v>5.5867678044314557</v>
      </c>
      <c r="P32" s="7"/>
      <c r="Q32" s="30">
        <v>-34.371530917663719</v>
      </c>
      <c r="R32" s="7"/>
      <c r="S32" s="23">
        <f t="shared" si="5"/>
        <v>17895.792411105074</v>
      </c>
      <c r="T32" s="7"/>
      <c r="U32" s="23">
        <f t="shared" si="0"/>
        <v>16024.92093536946</v>
      </c>
      <c r="V32" s="7"/>
      <c r="W32" s="23">
        <f t="shared" si="1"/>
        <v>1870.8714757356138</v>
      </c>
      <c r="X32" s="7"/>
      <c r="Y32" s="315">
        <f t="shared" si="6"/>
        <v>6.992924466595964</v>
      </c>
      <c r="Z32" s="271"/>
      <c r="AB32" s="168">
        <f>+IF(AB31&gt;$G$13+$G$14,XX,AB31+1)</f>
        <v>2012</v>
      </c>
      <c r="AC32" s="138"/>
      <c r="AD32" s="173">
        <f t="shared" si="2"/>
        <v>267537.77831756306</v>
      </c>
      <c r="AE32" s="4"/>
      <c r="AF32" s="176">
        <f t="shared" si="14"/>
        <v>62.64975387905772</v>
      </c>
      <c r="AG32" s="4"/>
      <c r="AH32" s="176">
        <f t="shared" si="15"/>
        <v>8.8326055832575907</v>
      </c>
      <c r="AI32" s="4"/>
      <c r="AJ32" s="176">
        <f t="shared" si="16"/>
        <v>2.4828943902522549</v>
      </c>
      <c r="AK32" s="4"/>
      <c r="AL32" s="175">
        <f t="shared" si="7"/>
        <v>5139.6932593765414</v>
      </c>
      <c r="AM32" s="4"/>
      <c r="AN32" s="176">
        <f>INDEX('(2.2)_Forward_Price_Curve'!$G:$G,MATCH($AB32,'(2.2)_Forward_Price_Curve'!$C:$C,0),1)</f>
        <v>6.7024699037828679</v>
      </c>
      <c r="AO32" s="4"/>
      <c r="AP32" s="176">
        <f t="shared" si="8"/>
        <v>48.700289288881038</v>
      </c>
      <c r="AQ32" s="4"/>
      <c r="AR32" s="176">
        <f t="shared" si="17"/>
        <v>2.5700990090258511</v>
      </c>
      <c r="AS32" s="176"/>
      <c r="AT32" s="175">
        <f t="shared" si="3"/>
        <v>2308.1551566686667</v>
      </c>
      <c r="AU32" s="4"/>
      <c r="AV32" s="175">
        <f t="shared" si="4"/>
        <v>13716.765778700794</v>
      </c>
      <c r="AW32" s="318"/>
      <c r="AX32" s="177">
        <f t="shared" si="9"/>
        <v>16024.92093536946</v>
      </c>
      <c r="AZ32" s="168">
        <f>+IF(AZ31&gt;$G$13+$G$14,XX,AZ31+1)</f>
        <v>2012</v>
      </c>
      <c r="BA32" s="138"/>
      <c r="BB32" s="176">
        <f t="shared" si="18"/>
        <v>42.214872690784134</v>
      </c>
      <c r="BC32" s="4"/>
      <c r="BD32" s="176">
        <f t="shared" si="19"/>
        <v>6.4184841682578435</v>
      </c>
      <c r="BE32" s="4"/>
      <c r="BF32" s="175">
        <f t="shared" si="10"/>
        <v>2831.5381027078747</v>
      </c>
      <c r="BG32" s="4"/>
      <c r="BH32" s="179"/>
    </row>
    <row r="33" spans="2:60" ht="12">
      <c r="B33" s="3"/>
      <c r="C33" s="7">
        <f>+IF(C32&gt;$G$13+$G$14,XX,C32+1)</f>
        <v>2013</v>
      </c>
      <c r="D33" s="7"/>
      <c r="E33" s="311">
        <v>1.9E-2</v>
      </c>
      <c r="F33" s="7"/>
      <c r="G33" s="23">
        <v>266887.27898453025</v>
      </c>
      <c r="H33" s="7"/>
      <c r="I33" s="30">
        <f t="shared" si="11"/>
        <v>214.83516044236299</v>
      </c>
      <c r="J33" s="7"/>
      <c r="K33" s="30">
        <f t="shared" si="12"/>
        <v>16.057183958835118</v>
      </c>
      <c r="L33" s="7"/>
      <c r="M33" s="30">
        <f t="shared" si="13"/>
        <v>5.9533082227110974</v>
      </c>
      <c r="N33" s="7"/>
      <c r="O33" s="314">
        <v>5.6929163927156532</v>
      </c>
      <c r="P33" s="7"/>
      <c r="Q33" s="30">
        <v>-35.039942622242556</v>
      </c>
      <c r="R33" s="7"/>
      <c r="S33" s="23">
        <f t="shared" si="5"/>
        <v>18236.477472339189</v>
      </c>
      <c r="T33" s="7"/>
      <c r="U33" s="23">
        <f t="shared" si="0"/>
        <v>16041.042138788463</v>
      </c>
      <c r="V33" s="7"/>
      <c r="W33" s="23">
        <f t="shared" si="1"/>
        <v>2195.4353335507258</v>
      </c>
      <c r="X33" s="7"/>
      <c r="Y33" s="315">
        <f t="shared" si="6"/>
        <v>8.2260770985565816</v>
      </c>
      <c r="Z33" s="271"/>
      <c r="AB33" s="168">
        <f>+IF(AB32&gt;$G$13+$G$14,XX,AB32+1)</f>
        <v>2013</v>
      </c>
      <c r="AC33" s="138"/>
      <c r="AD33" s="173">
        <f t="shared" si="2"/>
        <v>266887.27898453025</v>
      </c>
      <c r="AE33" s="4"/>
      <c r="AF33" s="176">
        <f t="shared" si="14"/>
        <v>63.840099202759809</v>
      </c>
      <c r="AG33" s="4"/>
      <c r="AH33" s="176">
        <f t="shared" si="15"/>
        <v>9.0004250893394833</v>
      </c>
      <c r="AI33" s="4"/>
      <c r="AJ33" s="176">
        <f t="shared" si="16"/>
        <v>2.5300693836670476</v>
      </c>
      <c r="AK33" s="4"/>
      <c r="AL33" s="175">
        <f t="shared" si="7"/>
        <v>5235.7016228580924</v>
      </c>
      <c r="AM33" s="4"/>
      <c r="AN33" s="176">
        <f>INDEX('(2.2)_Forward_Price_Curve'!$G:$G,MATCH($AB33,'(2.2)_Forward_Price_Curve'!$C:$C,0),1)</f>
        <v>6.6994948806584134</v>
      </c>
      <c r="AO33" s="4"/>
      <c r="AP33" s="176">
        <f t="shared" si="8"/>
        <v>48.678672707399592</v>
      </c>
      <c r="AQ33" s="4"/>
      <c r="AR33" s="176">
        <f t="shared" si="17"/>
        <v>2.6189308901973418</v>
      </c>
      <c r="AS33" s="176"/>
      <c r="AT33" s="175">
        <f t="shared" si="3"/>
        <v>2350.3642961987684</v>
      </c>
      <c r="AU33" s="4"/>
      <c r="AV33" s="175">
        <f t="shared" si="4"/>
        <v>13690.677842589696</v>
      </c>
      <c r="AW33" s="318"/>
      <c r="AX33" s="177">
        <f t="shared" si="9"/>
        <v>16041.042138788463</v>
      </c>
      <c r="AZ33" s="168">
        <f>+IF(AZ32&gt;$G$13+$G$14,XX,AZ32+1)</f>
        <v>2013</v>
      </c>
      <c r="BA33" s="138"/>
      <c r="BB33" s="176">
        <f t="shared" si="18"/>
        <v>43.016955271909026</v>
      </c>
      <c r="BC33" s="4"/>
      <c r="BD33" s="176">
        <f t="shared" si="19"/>
        <v>6.5404353674547417</v>
      </c>
      <c r="BE33" s="4"/>
      <c r="BF33" s="175">
        <f t="shared" si="10"/>
        <v>2885.3373266593239</v>
      </c>
      <c r="BG33" s="4"/>
      <c r="BH33" s="179"/>
    </row>
    <row r="34" spans="2:60" ht="12">
      <c r="B34" s="3"/>
      <c r="C34" s="7">
        <f>+IF(C33&gt;$G$13+$G$14,XX,C33+1)</f>
        <v>2014</v>
      </c>
      <c r="D34" s="7"/>
      <c r="E34" s="311">
        <v>1.7999999999999999E-2</v>
      </c>
      <c r="F34" s="7"/>
      <c r="G34" s="23">
        <v>266887.27898453025</v>
      </c>
      <c r="H34" s="7"/>
      <c r="I34" s="30">
        <f t="shared" si="11"/>
        <v>218.70219333032551</v>
      </c>
      <c r="J34" s="7"/>
      <c r="K34" s="30">
        <f t="shared" si="12"/>
        <v>16.34621327009415</v>
      </c>
      <c r="L34" s="7"/>
      <c r="M34" s="30">
        <f t="shared" si="13"/>
        <v>6.0604677707198968</v>
      </c>
      <c r="N34" s="7"/>
      <c r="O34" s="314">
        <v>5.7953888877845348</v>
      </c>
      <c r="P34" s="7"/>
      <c r="Q34" s="30">
        <v>-35.721352706436427</v>
      </c>
      <c r="R34" s="7"/>
      <c r="S34" s="23">
        <f t="shared" si="5"/>
        <v>18551.205252558215</v>
      </c>
      <c r="T34" s="7"/>
      <c r="U34" s="23">
        <f t="shared" si="0"/>
        <v>16511.916790422696</v>
      </c>
      <c r="V34" s="7"/>
      <c r="W34" s="23">
        <f t="shared" si="1"/>
        <v>2039.2884621355188</v>
      </c>
      <c r="X34" s="7"/>
      <c r="Y34" s="315">
        <f t="shared" si="6"/>
        <v>7.6410103542391896</v>
      </c>
      <c r="Z34" s="271"/>
      <c r="AB34" s="168">
        <f>+IF(AB33&gt;$G$13+$G$14,XX,AB33+1)</f>
        <v>2014</v>
      </c>
      <c r="AC34" s="138"/>
      <c r="AD34" s="173">
        <f t="shared" si="2"/>
        <v>266887.27898453025</v>
      </c>
      <c r="AE34" s="4"/>
      <c r="AF34" s="176">
        <f t="shared" si="14"/>
        <v>64.989220988409485</v>
      </c>
      <c r="AG34" s="4"/>
      <c r="AH34" s="176">
        <f t="shared" si="15"/>
        <v>9.1624327409475939</v>
      </c>
      <c r="AI34" s="4"/>
      <c r="AJ34" s="176">
        <f t="shared" si="16"/>
        <v>2.5756106325730546</v>
      </c>
      <c r="AK34" s="4"/>
      <c r="AL34" s="175">
        <f t="shared" si="7"/>
        <v>5329.9442520695384</v>
      </c>
      <c r="AM34" s="4"/>
      <c r="AN34" s="176">
        <f>INDEX('(2.2)_Forward_Price_Curve'!$G:$G,MATCH($AB34,'(2.2)_Forward_Price_Curve'!$C:$C,0),1)</f>
        <v>6.9140085811973453</v>
      </c>
      <c r="AO34" s="4"/>
      <c r="AP34" s="176">
        <f t="shared" si="8"/>
        <v>50.2373338312307</v>
      </c>
      <c r="AQ34" s="4"/>
      <c r="AR34" s="176">
        <f t="shared" si="17"/>
        <v>2.6660716462208942</v>
      </c>
      <c r="AS34" s="176"/>
      <c r="AT34" s="175">
        <f t="shared" si="3"/>
        <v>2392.6708535303464</v>
      </c>
      <c r="AU34" s="4"/>
      <c r="AV34" s="175">
        <f t="shared" si="4"/>
        <v>14119.24593689235</v>
      </c>
      <c r="AW34" s="318"/>
      <c r="AX34" s="177">
        <f t="shared" si="9"/>
        <v>16511.916790422696</v>
      </c>
      <c r="AZ34" s="168">
        <f>+IF(AZ33&gt;$G$13+$G$14,XX,AZ33+1)</f>
        <v>2014</v>
      </c>
      <c r="BA34" s="138"/>
      <c r="BB34" s="176">
        <f t="shared" si="18"/>
        <v>43.791260466803386</v>
      </c>
      <c r="BC34" s="4"/>
      <c r="BD34" s="176">
        <f t="shared" si="19"/>
        <v>6.6581632040689271</v>
      </c>
      <c r="BE34" s="4"/>
      <c r="BF34" s="175">
        <f t="shared" si="10"/>
        <v>2937.2733985391919</v>
      </c>
      <c r="BG34" s="4"/>
      <c r="BH34" s="179"/>
    </row>
    <row r="35" spans="2:60" ht="12">
      <c r="B35" s="3"/>
      <c r="C35" s="7">
        <f>+IF(C34&gt;$G$13+$G$14,XX,C34+1)</f>
        <v>2015</v>
      </c>
      <c r="D35" s="7"/>
      <c r="E35" s="311">
        <v>1.7999999999999999E-2</v>
      </c>
      <c r="F35" s="7"/>
      <c r="G35" s="23">
        <v>266887.27898453025</v>
      </c>
      <c r="H35" s="7"/>
      <c r="I35" s="30">
        <f t="shared" si="11"/>
        <v>222.63883281027137</v>
      </c>
      <c r="J35" s="7"/>
      <c r="K35" s="30">
        <f t="shared" si="12"/>
        <v>16.640445108955845</v>
      </c>
      <c r="L35" s="7"/>
      <c r="M35" s="30">
        <f t="shared" si="13"/>
        <v>6.1695561905928553</v>
      </c>
      <c r="N35" s="7"/>
      <c r="O35" s="314">
        <v>5.8997058877646564</v>
      </c>
      <c r="P35" s="7"/>
      <c r="Q35" s="30">
        <v>-36.416013945400927</v>
      </c>
      <c r="R35" s="7"/>
      <c r="S35" s="23">
        <f t="shared" si="5"/>
        <v>18871.335042479419</v>
      </c>
      <c r="T35" s="7"/>
      <c r="U35" s="23">
        <f t="shared" si="0"/>
        <v>17348.11582122137</v>
      </c>
      <c r="V35" s="7"/>
      <c r="W35" s="23">
        <f t="shared" si="1"/>
        <v>1523.2192212580485</v>
      </c>
      <c r="X35" s="7"/>
      <c r="Y35" s="315">
        <f t="shared" si="6"/>
        <v>5.7073504104567672</v>
      </c>
      <c r="Z35" s="271"/>
      <c r="AB35" s="168">
        <f>+IF(AB34&gt;$G$13+$G$14,XX,AB34+1)</f>
        <v>2015</v>
      </c>
      <c r="AC35" s="138"/>
      <c r="AD35" s="173">
        <f t="shared" si="2"/>
        <v>266887.27898453025</v>
      </c>
      <c r="AE35" s="4"/>
      <c r="AF35" s="176">
        <f t="shared" si="14"/>
        <v>66.159026966200855</v>
      </c>
      <c r="AG35" s="4"/>
      <c r="AH35" s="176">
        <f t="shared" si="15"/>
        <v>9.3273565302846499</v>
      </c>
      <c r="AI35" s="4"/>
      <c r="AJ35" s="176">
        <f t="shared" si="16"/>
        <v>2.6219716239593698</v>
      </c>
      <c r="AK35" s="4"/>
      <c r="AL35" s="175">
        <f t="shared" si="7"/>
        <v>5425.8832486067895</v>
      </c>
      <c r="AM35" s="4"/>
      <c r="AN35" s="176">
        <f>INDEX('(2.2)_Forward_Price_Curve'!$G:$G,MATCH($AB35,'(2.2)_Forward_Price_Curve'!$C:$C,0),1)</f>
        <v>7.3164011858738007</v>
      </c>
      <c r="AO35" s="4"/>
      <c r="AP35" s="176">
        <f t="shared" si="8"/>
        <v>53.161127080102943</v>
      </c>
      <c r="AQ35" s="4"/>
      <c r="AR35" s="176">
        <f t="shared" si="17"/>
        <v>2.7140609358528702</v>
      </c>
      <c r="AS35" s="176"/>
      <c r="AT35" s="175">
        <f t="shared" si="3"/>
        <v>2435.7389288938921</v>
      </c>
      <c r="AU35" s="4"/>
      <c r="AV35" s="175">
        <f t="shared" si="4"/>
        <v>14912.37689232748</v>
      </c>
      <c r="AW35" s="318"/>
      <c r="AX35" s="177">
        <f t="shared" si="9"/>
        <v>17348.11582122137</v>
      </c>
      <c r="AZ35" s="168">
        <f>+IF(AZ34&gt;$G$13+$G$14,XX,AZ34+1)</f>
        <v>2015</v>
      </c>
      <c r="BA35" s="138"/>
      <c r="BB35" s="176">
        <f t="shared" si="18"/>
        <v>44.579503155205849</v>
      </c>
      <c r="BC35" s="4"/>
      <c r="BD35" s="176">
        <f t="shared" si="19"/>
        <v>6.7780101417421683</v>
      </c>
      <c r="BE35" s="4"/>
      <c r="BF35" s="175">
        <f t="shared" si="10"/>
        <v>2990.1443197128974</v>
      </c>
      <c r="BG35" s="4"/>
      <c r="BH35" s="179"/>
    </row>
    <row r="36" spans="2:60" ht="12">
      <c r="B36" s="3"/>
      <c r="C36" s="7">
        <f>+IF(C35&gt;$G$13+$G$14,XX,C35+1)</f>
        <v>2016</v>
      </c>
      <c r="D36" s="7"/>
      <c r="E36" s="311">
        <v>1.7999999999999999E-2</v>
      </c>
      <c r="F36" s="7"/>
      <c r="G36" s="23">
        <v>267537.77831756306</v>
      </c>
      <c r="H36" s="7"/>
      <c r="I36" s="30">
        <f t="shared" si="11"/>
        <v>226.64633180085625</v>
      </c>
      <c r="J36" s="7"/>
      <c r="K36" s="30">
        <f t="shared" si="12"/>
        <v>16.939973120917049</v>
      </c>
      <c r="L36" s="7"/>
      <c r="M36" s="30">
        <f t="shared" si="13"/>
        <v>6.2806082020235268</v>
      </c>
      <c r="N36" s="7"/>
      <c r="O36" s="314">
        <v>6.0059005937444203</v>
      </c>
      <c r="P36" s="7"/>
      <c r="Q36" s="30">
        <v>-37.124184029925821</v>
      </c>
      <c r="R36" s="7"/>
      <c r="S36" s="23">
        <f t="shared" si="5"/>
        <v>19191.821512090111</v>
      </c>
      <c r="T36" s="7"/>
      <c r="U36" s="23">
        <f t="shared" si="0"/>
        <v>18618.768586414961</v>
      </c>
      <c r="V36" s="7"/>
      <c r="W36" s="23">
        <f t="shared" si="1"/>
        <v>573.05292567515062</v>
      </c>
      <c r="X36" s="7"/>
      <c r="Y36" s="315">
        <f t="shared" si="6"/>
        <v>2.1419514256223882</v>
      </c>
      <c r="Z36" s="271"/>
      <c r="AB36" s="168">
        <f>+IF(AB35&gt;$G$13+$G$14,XX,AB35+1)</f>
        <v>2016</v>
      </c>
      <c r="AC36" s="138"/>
      <c r="AD36" s="173">
        <f t="shared" si="2"/>
        <v>267537.77831756306</v>
      </c>
      <c r="AE36" s="4"/>
      <c r="AF36" s="176">
        <f t="shared" si="14"/>
        <v>67.349889451592475</v>
      </c>
      <c r="AG36" s="4"/>
      <c r="AH36" s="176">
        <f t="shared" si="15"/>
        <v>9.4952489478297739</v>
      </c>
      <c r="AI36" s="4"/>
      <c r="AJ36" s="176">
        <f t="shared" si="16"/>
        <v>2.6691671131906385</v>
      </c>
      <c r="AK36" s="4"/>
      <c r="AL36" s="175">
        <f t="shared" si="7"/>
        <v>5525.2854385085966</v>
      </c>
      <c r="AM36" s="4"/>
      <c r="AN36" s="176">
        <f>INDEX('(2.2)_Forward_Price_Curve'!$G:$G,MATCH($AB36,'(2.2)_Forward_Price_Curve'!$C:$C,0),1)</f>
        <v>7.9211828417083421</v>
      </c>
      <c r="AO36" s="4"/>
      <c r="AP36" s="176">
        <f t="shared" si="8"/>
        <v>57.555483491778489</v>
      </c>
      <c r="AQ36" s="4"/>
      <c r="AR36" s="176">
        <f t="shared" si="17"/>
        <v>2.7629140326982218</v>
      </c>
      <c r="AS36" s="176"/>
      <c r="AT36" s="175">
        <f t="shared" si="3"/>
        <v>2481.3185210408669</v>
      </c>
      <c r="AU36" s="4"/>
      <c r="AV36" s="175">
        <f t="shared" si="4"/>
        <v>16137.450065374094</v>
      </c>
      <c r="AW36" s="318"/>
      <c r="AX36" s="177">
        <f t="shared" si="9"/>
        <v>18618.768586414961</v>
      </c>
      <c r="AZ36" s="168">
        <f>+IF(AZ35&gt;$G$13+$G$14,XX,AZ35+1)</f>
        <v>2016</v>
      </c>
      <c r="BA36" s="138"/>
      <c r="BB36" s="176">
        <f t="shared" si="18"/>
        <v>45.381934211999557</v>
      </c>
      <c r="BC36" s="4"/>
      <c r="BD36" s="176">
        <f t="shared" si="19"/>
        <v>6.9000143242935277</v>
      </c>
      <c r="BE36" s="4"/>
      <c r="BF36" s="175">
        <f t="shared" si="10"/>
        <v>3043.9669174677297</v>
      </c>
      <c r="BG36" s="4"/>
      <c r="BH36" s="179"/>
    </row>
    <row r="37" spans="2:60" ht="12">
      <c r="B37" s="3"/>
      <c r="C37" s="7">
        <f>+IF(C36&gt;$G$13+$G$14,XX,C36+1)</f>
        <v>2017</v>
      </c>
      <c r="D37" s="7"/>
      <c r="E37" s="311">
        <v>1.7999999999999999E-2</v>
      </c>
      <c r="F37" s="7"/>
      <c r="G37" s="23">
        <v>266887.27898453025</v>
      </c>
      <c r="H37" s="7"/>
      <c r="I37" s="30">
        <f t="shared" si="11"/>
        <v>230.72596577327167</v>
      </c>
      <c r="J37" s="7"/>
      <c r="K37" s="30">
        <f t="shared" si="12"/>
        <v>17.244892637093557</v>
      </c>
      <c r="L37" s="7"/>
      <c r="M37" s="30">
        <f t="shared" si="13"/>
        <v>6.3936591496599506</v>
      </c>
      <c r="N37" s="7"/>
      <c r="O37" s="314">
        <v>6.1140068044318197</v>
      </c>
      <c r="P37" s="7"/>
      <c r="Q37" s="30">
        <v>-37.846125662027781</v>
      </c>
      <c r="R37" s="7"/>
      <c r="S37" s="23">
        <f t="shared" si="5"/>
        <v>19528.170689871593</v>
      </c>
      <c r="T37" s="7"/>
      <c r="U37" s="23">
        <f t="shared" si="0"/>
        <v>19848.814759941983</v>
      </c>
      <c r="V37" s="7"/>
      <c r="W37" s="23">
        <f t="shared" si="1"/>
        <v>-320.64407007038972</v>
      </c>
      <c r="X37" s="7"/>
      <c r="Y37" s="315">
        <f t="shared" si="6"/>
        <v>-1.2014213314714615</v>
      </c>
      <c r="Z37" s="271"/>
      <c r="AB37" s="168">
        <f>+IF(AB36&gt;$G$13+$G$14,XX,AB36+1)</f>
        <v>2017</v>
      </c>
      <c r="AC37" s="138"/>
      <c r="AD37" s="173">
        <f t="shared" si="2"/>
        <v>266887.27898453025</v>
      </c>
      <c r="AE37" s="4"/>
      <c r="AF37" s="176">
        <f t="shared" si="14"/>
        <v>68.562187461721138</v>
      </c>
      <c r="AG37" s="4"/>
      <c r="AH37" s="176">
        <f t="shared" si="15"/>
        <v>9.6661634288907106</v>
      </c>
      <c r="AI37" s="4"/>
      <c r="AJ37" s="176">
        <f t="shared" si="16"/>
        <v>2.7172121212280702</v>
      </c>
      <c r="AK37" s="4"/>
      <c r="AL37" s="175">
        <f t="shared" si="7"/>
        <v>5622.9730317291842</v>
      </c>
      <c r="AM37" s="4"/>
      <c r="AN37" s="176">
        <f>INDEX('(2.2)_Forward_Price_Curve'!$G:$G,MATCH($AB37,'(2.2)_Forward_Price_Curve'!$C:$C,0),1)</f>
        <v>8.5467545643478058</v>
      </c>
      <c r="AO37" s="4"/>
      <c r="AP37" s="176">
        <f t="shared" si="8"/>
        <v>62.100900972324112</v>
      </c>
      <c r="AQ37" s="4"/>
      <c r="AR37" s="176">
        <f t="shared" si="17"/>
        <v>2.8126464852867898</v>
      </c>
      <c r="AS37" s="176"/>
      <c r="AT37" s="175">
        <f t="shared" si="3"/>
        <v>2524.2147097470352</v>
      </c>
      <c r="AU37" s="4"/>
      <c r="AV37" s="175">
        <f t="shared" si="4"/>
        <v>17324.600050194946</v>
      </c>
      <c r="AW37" s="318"/>
      <c r="AX37" s="177">
        <f t="shared" si="9"/>
        <v>19848.814759941983</v>
      </c>
      <c r="AZ37" s="168">
        <f>+IF(AZ36&gt;$G$13+$G$14,XX,AZ36+1)</f>
        <v>2017</v>
      </c>
      <c r="BA37" s="138"/>
      <c r="BB37" s="176">
        <f t="shared" si="18"/>
        <v>46.19880902781555</v>
      </c>
      <c r="BC37" s="4"/>
      <c r="BD37" s="176">
        <f t="shared" si="19"/>
        <v>7.0242145821308108</v>
      </c>
      <c r="BE37" s="4"/>
      <c r="BF37" s="175">
        <f t="shared" si="10"/>
        <v>3098.758321982149</v>
      </c>
      <c r="BG37" s="4"/>
      <c r="BH37" s="179"/>
    </row>
    <row r="38" spans="2:60" ht="12">
      <c r="B38" s="3"/>
      <c r="C38" s="7">
        <f>+IF(C37&gt;$G$13+$G$14,XX,C37+1)</f>
        <v>2018</v>
      </c>
      <c r="D38" s="7"/>
      <c r="E38" s="311">
        <v>1.7999999999999999E-2</v>
      </c>
      <c r="F38" s="7"/>
      <c r="G38" s="23">
        <v>266887.27898453025</v>
      </c>
      <c r="H38" s="7"/>
      <c r="I38" s="30">
        <f t="shared" si="11"/>
        <v>234.87903315719055</v>
      </c>
      <c r="J38" s="7"/>
      <c r="K38" s="30">
        <f t="shared" si="12"/>
        <v>17.55530070456124</v>
      </c>
      <c r="L38" s="7"/>
      <c r="M38" s="30">
        <f t="shared" si="13"/>
        <v>6.5087450143538295</v>
      </c>
      <c r="N38" s="7"/>
      <c r="O38" s="314">
        <v>6.2240589269115922</v>
      </c>
      <c r="P38" s="7"/>
      <c r="Q38" s="30">
        <v>0</v>
      </c>
      <c r="R38" s="7"/>
      <c r="S38" s="23">
        <f t="shared" si="5"/>
        <v>30162.138951299297</v>
      </c>
      <c r="T38" s="7"/>
      <c r="U38" s="23">
        <f t="shared" si="0"/>
        <v>20994.483925722547</v>
      </c>
      <c r="V38" s="7"/>
      <c r="W38" s="23">
        <f t="shared" si="1"/>
        <v>9167.6550255767506</v>
      </c>
      <c r="X38" s="7"/>
      <c r="Y38" s="315">
        <f t="shared" si="6"/>
        <v>34.350288483057078</v>
      </c>
      <c r="Z38" s="271"/>
      <c r="AB38" s="168">
        <f>+IF(AB37&gt;$G$13+$G$14,XX,AB37+1)</f>
        <v>2018</v>
      </c>
      <c r="AC38" s="138"/>
      <c r="AD38" s="173">
        <f t="shared" si="2"/>
        <v>266887.27898453025</v>
      </c>
      <c r="AE38" s="4"/>
      <c r="AF38" s="176">
        <f t="shared" si="14"/>
        <v>69.796306836032116</v>
      </c>
      <c r="AG38" s="4"/>
      <c r="AH38" s="176">
        <f t="shared" si="15"/>
        <v>9.8401543706107439</v>
      </c>
      <c r="AI38" s="4"/>
      <c r="AJ38" s="176">
        <f t="shared" si="16"/>
        <v>2.7661219394101755</v>
      </c>
      <c r="AK38" s="4"/>
      <c r="AL38" s="175">
        <f t="shared" si="7"/>
        <v>5724.1865463003087</v>
      </c>
      <c r="AM38" s="4"/>
      <c r="AN38" s="176">
        <f>INDEX('(2.2)_Forward_Price_Curve'!$G:$G,MATCH($AB38,'(2.2)_Forward_Price_Curve'!$C:$C,0),1)</f>
        <v>9.1071488375904099</v>
      </c>
      <c r="AO38" s="4"/>
      <c r="AP38" s="176">
        <f t="shared" si="8"/>
        <v>66.172737715275218</v>
      </c>
      <c r="AQ38" s="4"/>
      <c r="AR38" s="176">
        <f t="shared" si="17"/>
        <v>2.8632741220219522</v>
      </c>
      <c r="AS38" s="176"/>
      <c r="AT38" s="175">
        <f t="shared" si="3"/>
        <v>2569.6505745224813</v>
      </c>
      <c r="AU38" s="4"/>
      <c r="AV38" s="175">
        <f t="shared" si="4"/>
        <v>18424.833351200064</v>
      </c>
      <c r="AW38" s="318"/>
      <c r="AX38" s="177">
        <f t="shared" si="9"/>
        <v>20994.483925722547</v>
      </c>
      <c r="AZ38" s="168">
        <f>+IF(AZ37&gt;$G$13+$G$14,XX,AZ37+1)</f>
        <v>2018</v>
      </c>
      <c r="BA38" s="138"/>
      <c r="BB38" s="176">
        <f t="shared" si="18"/>
        <v>47.030387590316231</v>
      </c>
      <c r="BC38" s="4"/>
      <c r="BD38" s="176">
        <f t="shared" si="19"/>
        <v>7.1506504446091652</v>
      </c>
      <c r="BE38" s="4"/>
      <c r="BF38" s="175">
        <f t="shared" si="10"/>
        <v>3154.5359717778274</v>
      </c>
      <c r="BG38" s="4"/>
      <c r="BH38" s="179"/>
    </row>
    <row r="39" spans="2:60" ht="12">
      <c r="B39" s="3"/>
      <c r="C39" s="7">
        <f>+IF(C38&gt;$G$13+$G$14,XX,C38+1)</f>
        <v>2019</v>
      </c>
      <c r="D39" s="7"/>
      <c r="E39" s="311">
        <v>1.7999999999999999E-2</v>
      </c>
      <c r="F39" s="7"/>
      <c r="G39" s="23">
        <v>266887.27898453025</v>
      </c>
      <c r="H39" s="7"/>
      <c r="I39" s="30">
        <f t="shared" si="11"/>
        <v>239.10685575401999</v>
      </c>
      <c r="J39" s="7"/>
      <c r="K39" s="30">
        <f t="shared" si="12"/>
        <v>17.871296117243343</v>
      </c>
      <c r="L39" s="7"/>
      <c r="M39" s="30">
        <f t="shared" si="13"/>
        <v>6.6259024246121987</v>
      </c>
      <c r="N39" s="7"/>
      <c r="O39" s="314">
        <v>6.3360919875960011</v>
      </c>
      <c r="P39" s="7"/>
      <c r="Q39" s="30">
        <v>0</v>
      </c>
      <c r="R39" s="7"/>
      <c r="S39" s="23">
        <f t="shared" si="5"/>
        <v>30705.057452422687</v>
      </c>
      <c r="T39" s="7"/>
      <c r="U39" s="23">
        <f t="shared" si="0"/>
        <v>22260.313835812209</v>
      </c>
      <c r="V39" s="7"/>
      <c r="W39" s="23">
        <f t="shared" si="1"/>
        <v>8444.7436166104781</v>
      </c>
      <c r="X39" s="7"/>
      <c r="Y39" s="315">
        <f t="shared" si="6"/>
        <v>31.641611577522834</v>
      </c>
      <c r="Z39" s="271"/>
      <c r="AB39" s="168">
        <f>+IF(AB38&gt;$G$13+$G$14,XX,AB38+1)</f>
        <v>2019</v>
      </c>
      <c r="AC39" s="138"/>
      <c r="AD39" s="173">
        <f t="shared" si="2"/>
        <v>266887.27898453025</v>
      </c>
      <c r="AE39" s="4"/>
      <c r="AF39" s="176">
        <f t="shared" si="14"/>
        <v>71.052640359080698</v>
      </c>
      <c r="AG39" s="4"/>
      <c r="AH39" s="176">
        <f t="shared" si="15"/>
        <v>10.017277149281737</v>
      </c>
      <c r="AI39" s="4"/>
      <c r="AJ39" s="176">
        <f t="shared" si="16"/>
        <v>2.8159121343195586</v>
      </c>
      <c r="AK39" s="4"/>
      <c r="AL39" s="175">
        <f t="shared" si="7"/>
        <v>5827.2219041337148</v>
      </c>
      <c r="AM39" s="4"/>
      <c r="AN39" s="176">
        <f>INDEX('(2.2)_Forward_Price_Curve'!$G:$G,MATCH($AB39,'(2.2)_Forward_Price_Curve'!$C:$C,0),1)</f>
        <v>9.7289597532905745</v>
      </c>
      <c r="AO39" s="4"/>
      <c r="AP39" s="176">
        <f t="shared" si="8"/>
        <v>70.69082909237946</v>
      </c>
      <c r="AQ39" s="4"/>
      <c r="AR39" s="176">
        <f t="shared" si="17"/>
        <v>2.9148130562183474</v>
      </c>
      <c r="AS39" s="176"/>
      <c r="AT39" s="175">
        <f t="shared" si="3"/>
        <v>2615.904284863886</v>
      </c>
      <c r="AU39" s="4"/>
      <c r="AV39" s="175">
        <f t="shared" si="4"/>
        <v>19644.409550948323</v>
      </c>
      <c r="AW39" s="318"/>
      <c r="AX39" s="177">
        <f t="shared" si="9"/>
        <v>22260.313835812209</v>
      </c>
      <c r="AZ39" s="168">
        <f>+IF(AZ38&gt;$G$13+$G$14,XX,AZ38+1)</f>
        <v>2019</v>
      </c>
      <c r="BA39" s="138"/>
      <c r="BB39" s="176">
        <f t="shared" si="18"/>
        <v>47.876934566941927</v>
      </c>
      <c r="BC39" s="4"/>
      <c r="BD39" s="176">
        <f t="shared" si="19"/>
        <v>7.2793621526121299</v>
      </c>
      <c r="BE39" s="4"/>
      <c r="BF39" s="175">
        <f t="shared" si="10"/>
        <v>3211.3176192698288</v>
      </c>
      <c r="BG39" s="4"/>
      <c r="BH39" s="179"/>
    </row>
    <row r="40" spans="2:60" ht="12">
      <c r="B40" s="3"/>
      <c r="C40" s="7">
        <f>+IF(C39&gt;$G$13+$G$14,XX,C39+1)</f>
        <v>2020</v>
      </c>
      <c r="D40" s="7"/>
      <c r="E40" s="311">
        <v>1.7999999999999999E-2</v>
      </c>
      <c r="F40" s="7"/>
      <c r="G40" s="23">
        <v>267537.77831756306</v>
      </c>
      <c r="H40" s="7"/>
      <c r="I40" s="30">
        <f t="shared" si="11"/>
        <v>243.41077915759234</v>
      </c>
      <c r="J40" s="7"/>
      <c r="K40" s="30">
        <f t="shared" si="12"/>
        <v>18.192979447353725</v>
      </c>
      <c r="L40" s="7"/>
      <c r="M40" s="30">
        <f t="shared" si="13"/>
        <v>6.7451686682552188</v>
      </c>
      <c r="N40" s="7"/>
      <c r="O40" s="314">
        <v>6.4501416433727297</v>
      </c>
      <c r="P40" s="7"/>
      <c r="Q40" s="30">
        <v>0</v>
      </c>
      <c r="R40" s="7"/>
      <c r="S40" s="23">
        <f t="shared" si="5"/>
        <v>31278.166548119552</v>
      </c>
      <c r="T40" s="7"/>
      <c r="U40" s="23">
        <f t="shared" si="0"/>
        <v>23106.669411936524</v>
      </c>
      <c r="V40" s="7"/>
      <c r="W40" s="23">
        <f t="shared" si="1"/>
        <v>8171.4971361830285</v>
      </c>
      <c r="X40" s="7"/>
      <c r="Y40" s="315">
        <f t="shared" si="6"/>
        <v>30.543339290511682</v>
      </c>
      <c r="Z40" s="271"/>
      <c r="AB40" s="168">
        <f>+IF(AB39&gt;$G$13+$G$14,XX,AB39+1)</f>
        <v>2020</v>
      </c>
      <c r="AC40" s="138"/>
      <c r="AD40" s="173">
        <f t="shared" si="2"/>
        <v>267537.77831756306</v>
      </c>
      <c r="AE40" s="4"/>
      <c r="AF40" s="176">
        <f t="shared" si="14"/>
        <v>72.331587885544153</v>
      </c>
      <c r="AG40" s="4"/>
      <c r="AH40" s="176">
        <f t="shared" si="15"/>
        <v>10.197588137968809</v>
      </c>
      <c r="AI40" s="4"/>
      <c r="AJ40" s="176">
        <f t="shared" si="16"/>
        <v>2.8665985527373108</v>
      </c>
      <c r="AK40" s="4"/>
      <c r="AL40" s="175">
        <f t="shared" si="7"/>
        <v>5933.9766188547501</v>
      </c>
      <c r="AM40" s="4"/>
      <c r="AN40" s="176">
        <f>INDEX('(2.2)_Forward_Price_Curve'!$G:$G,MATCH($AB40,'(2.2)_Forward_Price_Curve'!$C:$C,0),1)</f>
        <v>10.107309478601163</v>
      </c>
      <c r="AO40" s="4"/>
      <c r="AP40" s="176">
        <f t="shared" si="8"/>
        <v>73.43992626692922</v>
      </c>
      <c r="AQ40" s="4"/>
      <c r="AR40" s="176">
        <f t="shared" si="17"/>
        <v>2.9672796912302779</v>
      </c>
      <c r="AS40" s="176"/>
      <c r="AT40" s="175">
        <f t="shared" si="3"/>
        <v>2664.8552824380645</v>
      </c>
      <c r="AU40" s="4"/>
      <c r="AV40" s="175">
        <f t="shared" si="4"/>
        <v>20441.81412949846</v>
      </c>
      <c r="AW40" s="318"/>
      <c r="AX40" s="177">
        <f t="shared" si="9"/>
        <v>23106.669411936524</v>
      </c>
      <c r="AZ40" s="168">
        <f>+IF(AZ39&gt;$G$13+$G$14,XX,AZ39+1)</f>
        <v>2020</v>
      </c>
      <c r="BA40" s="138"/>
      <c r="BB40" s="176">
        <f t="shared" si="18"/>
        <v>48.73871938914688</v>
      </c>
      <c r="BC40" s="4"/>
      <c r="BD40" s="176">
        <f t="shared" si="19"/>
        <v>7.4103906713591483</v>
      </c>
      <c r="BE40" s="4"/>
      <c r="BF40" s="175">
        <f t="shared" si="10"/>
        <v>3269.1213364166856</v>
      </c>
      <c r="BG40" s="4"/>
      <c r="BH40" s="179"/>
    </row>
    <row r="41" spans="2:60" ht="12">
      <c r="B41" s="3"/>
      <c r="C41" s="7">
        <f>+IF(C40&gt;$G$13+$G$14,XX,C40+1)</f>
        <v>2021</v>
      </c>
      <c r="D41" s="7"/>
      <c r="E41" s="311">
        <v>1.7999999999999999E-2</v>
      </c>
      <c r="F41" s="7"/>
      <c r="G41" s="23">
        <v>266887.27898453025</v>
      </c>
      <c r="H41" s="7"/>
      <c r="I41" s="30">
        <f t="shared" si="11"/>
        <v>247.792173182429</v>
      </c>
      <c r="J41" s="7"/>
      <c r="K41" s="30">
        <f t="shared" si="12"/>
        <v>18.520453077406092</v>
      </c>
      <c r="L41" s="7"/>
      <c r="M41" s="30">
        <f t="shared" si="13"/>
        <v>6.8665817042838126</v>
      </c>
      <c r="N41" s="7"/>
      <c r="O41" s="314">
        <v>6.5662441929534392</v>
      </c>
      <c r="P41" s="7"/>
      <c r="Q41" s="30">
        <v>0</v>
      </c>
      <c r="R41" s="7"/>
      <c r="S41" s="23">
        <f t="shared" si="5"/>
        <v>31820.387959324493</v>
      </c>
      <c r="T41" s="7"/>
      <c r="U41" s="23">
        <f t="shared" si="0"/>
        <v>23464.245841334294</v>
      </c>
      <c r="V41" s="7"/>
      <c r="W41" s="23">
        <f t="shared" si="1"/>
        <v>8356.142117990199</v>
      </c>
      <c r="X41" s="7"/>
      <c r="Y41" s="315">
        <f t="shared" si="6"/>
        <v>31.309630604291755</v>
      </c>
      <c r="Z41" s="271"/>
      <c r="AB41" s="168">
        <f>+IF(AB40&gt;$G$13+$G$14,XX,AB40+1)</f>
        <v>2021</v>
      </c>
      <c r="AC41" s="138"/>
      <c r="AD41" s="173">
        <f t="shared" si="2"/>
        <v>266887.27898453025</v>
      </c>
      <c r="AE41" s="4"/>
      <c r="AF41" s="176">
        <f t="shared" si="14"/>
        <v>73.633556467483942</v>
      </c>
      <c r="AG41" s="4"/>
      <c r="AH41" s="176">
        <f t="shared" si="15"/>
        <v>10.381144724452248</v>
      </c>
      <c r="AI41" s="4"/>
      <c r="AJ41" s="176">
        <f t="shared" si="16"/>
        <v>2.9181973266865824</v>
      </c>
      <c r="AK41" s="4"/>
      <c r="AL41" s="175">
        <f t="shared" si="7"/>
        <v>6038.8899125794669</v>
      </c>
      <c r="AM41" s="4"/>
      <c r="AN41" s="176">
        <f>INDEX('(2.2)_Forward_Price_Curve'!$G:$G,MATCH($AB41,'(2.2)_Forward_Price_Curve'!$C:$C,0),1)</f>
        <v>10.286225465001079</v>
      </c>
      <c r="AO41" s="4"/>
      <c r="AP41" s="176">
        <f t="shared" si="8"/>
        <v>74.739933640504091</v>
      </c>
      <c r="AQ41" s="4"/>
      <c r="AR41" s="176">
        <f t="shared" si="17"/>
        <v>3.0206907256724231</v>
      </c>
      <c r="AS41" s="176"/>
      <c r="AT41" s="175">
        <f t="shared" si="3"/>
        <v>2710.9243921072812</v>
      </c>
      <c r="AU41" s="4"/>
      <c r="AV41" s="175">
        <f t="shared" si="4"/>
        <v>20753.321449227013</v>
      </c>
      <c r="AW41" s="318"/>
      <c r="AX41" s="177">
        <f t="shared" si="9"/>
        <v>23464.245841334294</v>
      </c>
      <c r="AZ41" s="168">
        <f>+IF(AZ40&gt;$G$13+$G$14,XX,AZ40+1)</f>
        <v>2021</v>
      </c>
      <c r="BA41" s="138"/>
      <c r="BB41" s="176">
        <f t="shared" si="18"/>
        <v>49.616016338151525</v>
      </c>
      <c r="BC41" s="4"/>
      <c r="BD41" s="176">
        <f t="shared" si="19"/>
        <v>7.5437777034436131</v>
      </c>
      <c r="BE41" s="4"/>
      <c r="BF41" s="175">
        <f t="shared" si="10"/>
        <v>3327.9655204721857</v>
      </c>
      <c r="BG41" s="4"/>
      <c r="BH41" s="179"/>
    </row>
    <row r="42" spans="2:60" ht="12">
      <c r="B42" s="3"/>
      <c r="C42" s="7">
        <f>+IF(C41&gt;$G$13+$G$14,XX,C41+1)</f>
        <v>2022</v>
      </c>
      <c r="D42" s="7"/>
      <c r="E42" s="311">
        <v>1.9E-2</v>
      </c>
      <c r="F42" s="7"/>
      <c r="G42" s="23">
        <v>266887.27898453025</v>
      </c>
      <c r="H42" s="7"/>
      <c r="I42" s="30">
        <f t="shared" si="11"/>
        <v>252.50022447289513</v>
      </c>
      <c r="J42" s="7"/>
      <c r="K42" s="30">
        <f t="shared" si="12"/>
        <v>18.872341685876805</v>
      </c>
      <c r="L42" s="7"/>
      <c r="M42" s="30">
        <f t="shared" si="13"/>
        <v>6.9970467566652044</v>
      </c>
      <c r="N42" s="7"/>
      <c r="O42" s="314">
        <v>6.6910028326195539</v>
      </c>
      <c r="P42" s="7"/>
      <c r="Q42" s="30">
        <v>0</v>
      </c>
      <c r="R42" s="7"/>
      <c r="S42" s="23">
        <f t="shared" si="5"/>
        <v>32424.975330551646</v>
      </c>
      <c r="T42" s="7"/>
      <c r="U42" s="23">
        <f t="shared" si="0"/>
        <v>23910.507039736975</v>
      </c>
      <c r="V42" s="7"/>
      <c r="W42" s="23">
        <f t="shared" si="1"/>
        <v>8514.4682908146715</v>
      </c>
      <c r="X42" s="7"/>
      <c r="Y42" s="315">
        <f t="shared" si="6"/>
        <v>31.90286297350351</v>
      </c>
      <c r="Z42" s="271"/>
      <c r="AB42" s="168">
        <f>+IF(AB41&gt;$G$13+$G$14,XX,AB41+1)</f>
        <v>2022</v>
      </c>
      <c r="AC42" s="138"/>
      <c r="AD42" s="173">
        <f t="shared" si="2"/>
        <v>266887.27898453025</v>
      </c>
      <c r="AE42" s="4"/>
      <c r="AF42" s="176">
        <f t="shared" si="14"/>
        <v>75.032594040366135</v>
      </c>
      <c r="AG42" s="4"/>
      <c r="AH42" s="176">
        <f t="shared" si="15"/>
        <v>10.57838647421684</v>
      </c>
      <c r="AI42" s="4"/>
      <c r="AJ42" s="176">
        <f t="shared" si="16"/>
        <v>2.973643075893627</v>
      </c>
      <c r="AK42" s="4"/>
      <c r="AL42" s="175">
        <f t="shared" si="7"/>
        <v>6153.6288209184759</v>
      </c>
      <c r="AM42" s="4"/>
      <c r="AN42" s="176">
        <f>INDEX('(2.2)_Forward_Price_Curve'!$G:$G,MATCH($AB42,'(2.2)_Forward_Price_Curve'!$C:$C,0),1)</f>
        <v>10.481890917487915</v>
      </c>
      <c r="AO42" s="4"/>
      <c r="AP42" s="176">
        <f t="shared" si="8"/>
        <v>76.16164299194341</v>
      </c>
      <c r="AQ42" s="4"/>
      <c r="AR42" s="176">
        <f t="shared" si="17"/>
        <v>3.078083849460199</v>
      </c>
      <c r="AS42" s="176"/>
      <c r="AT42" s="175">
        <f t="shared" si="3"/>
        <v>2762.4319555573188</v>
      </c>
      <c r="AU42" s="4"/>
      <c r="AV42" s="175">
        <f t="shared" si="4"/>
        <v>21148.075084179654</v>
      </c>
      <c r="AW42" s="318"/>
      <c r="AX42" s="177">
        <f t="shared" si="9"/>
        <v>23910.507039736975</v>
      </c>
      <c r="AZ42" s="168">
        <f>+IF(AZ41&gt;$G$13+$G$14,XX,AZ41+1)</f>
        <v>2022</v>
      </c>
      <c r="BA42" s="138"/>
      <c r="BB42" s="176">
        <f t="shared" si="18"/>
        <v>50.558720648576397</v>
      </c>
      <c r="BC42" s="4"/>
      <c r="BD42" s="176">
        <f t="shared" si="19"/>
        <v>7.6871094798090409</v>
      </c>
      <c r="BE42" s="4"/>
      <c r="BF42" s="175">
        <f t="shared" si="10"/>
        <v>3391.1968653611571</v>
      </c>
      <c r="BG42" s="4"/>
      <c r="BH42" s="179"/>
    </row>
    <row r="43" spans="2:60" ht="12">
      <c r="B43" s="3"/>
      <c r="C43" s="7">
        <f>+IF(C42&gt;$G$13+$G$14,XX,C42+1)</f>
        <v>2023</v>
      </c>
      <c r="D43" s="7"/>
      <c r="E43" s="311">
        <v>1.9E-2</v>
      </c>
      <c r="F43" s="7"/>
      <c r="G43" s="23">
        <v>266887.27898453025</v>
      </c>
      <c r="H43" s="7"/>
      <c r="I43" s="30">
        <f t="shared" si="11"/>
        <v>257.29772873788011</v>
      </c>
      <c r="J43" s="7"/>
      <c r="K43" s="30">
        <f t="shared" si="12"/>
        <v>19.230916177908462</v>
      </c>
      <c r="L43" s="7"/>
      <c r="M43" s="30">
        <f t="shared" si="13"/>
        <v>7.1299906450418424</v>
      </c>
      <c r="N43" s="7"/>
      <c r="O43" s="314">
        <v>6.8181318864393248</v>
      </c>
      <c r="P43" s="7"/>
      <c r="Q43" s="30">
        <v>0</v>
      </c>
      <c r="R43" s="7"/>
      <c r="S43" s="23">
        <f t="shared" si="5"/>
        <v>33041.049861832129</v>
      </c>
      <c r="T43" s="7"/>
      <c r="U43" s="23">
        <f t="shared" si="0"/>
        <v>24361.883916807677</v>
      </c>
      <c r="V43" s="7"/>
      <c r="W43" s="23">
        <f t="shared" si="1"/>
        <v>8679.1659450244515</v>
      </c>
      <c r="X43" s="7"/>
      <c r="Y43" s="315">
        <f t="shared" si="6"/>
        <v>32.51996864761594</v>
      </c>
      <c r="Z43" s="271"/>
      <c r="AB43" s="168">
        <f>+IF(AB42&gt;$G$13+$G$14,XX,AB42+1)</f>
        <v>2023</v>
      </c>
      <c r="AC43" s="138"/>
      <c r="AD43" s="173">
        <f t="shared" si="2"/>
        <v>266887.27898453025</v>
      </c>
      <c r="AE43" s="4"/>
      <c r="AF43" s="176">
        <f t="shared" si="14"/>
        <v>76.45821332713308</v>
      </c>
      <c r="AG43" s="4"/>
      <c r="AH43" s="176">
        <f t="shared" si="15"/>
        <v>10.77937581722696</v>
      </c>
      <c r="AI43" s="4"/>
      <c r="AJ43" s="176">
        <f t="shared" si="16"/>
        <v>3.0301422943356058</v>
      </c>
      <c r="AK43" s="4"/>
      <c r="AL43" s="175">
        <f t="shared" si="7"/>
        <v>6270.5477685159267</v>
      </c>
      <c r="AM43" s="4"/>
      <c r="AN43" s="176">
        <f>INDEX('(2.2)_Forward_Price_Curve'!$G:$G,MATCH($AB43,'(2.2)_Forward_Price_Curve'!$C:$C,0),1)</f>
        <v>10.679539654517416</v>
      </c>
      <c r="AO43" s="4"/>
      <c r="AP43" s="176">
        <f t="shared" si="8"/>
        <v>77.597762931174486</v>
      </c>
      <c r="AQ43" s="4"/>
      <c r="AR43" s="176">
        <f t="shared" si="17"/>
        <v>3.1365674425999424</v>
      </c>
      <c r="AS43" s="176"/>
      <c r="AT43" s="175">
        <f t="shared" si="3"/>
        <v>2814.9181627129078</v>
      </c>
      <c r="AU43" s="4"/>
      <c r="AV43" s="175">
        <f t="shared" si="4"/>
        <v>21546.96575409477</v>
      </c>
      <c r="AW43" s="318"/>
      <c r="AX43" s="177">
        <f t="shared" si="9"/>
        <v>24361.883916807677</v>
      </c>
      <c r="AZ43" s="168">
        <f>+IF(AZ42&gt;$G$13+$G$14,XX,AZ42+1)</f>
        <v>2023</v>
      </c>
      <c r="BA43" s="138"/>
      <c r="BB43" s="176">
        <f t="shared" si="18"/>
        <v>51.519336340899343</v>
      </c>
      <c r="BC43" s="4"/>
      <c r="BD43" s="176">
        <f t="shared" si="19"/>
        <v>7.8331645599254118</v>
      </c>
      <c r="BE43" s="4"/>
      <c r="BF43" s="175">
        <f t="shared" si="10"/>
        <v>3455.6296058030189</v>
      </c>
      <c r="BG43" s="4"/>
      <c r="BH43" s="179"/>
    </row>
    <row r="44" spans="2:60" ht="12">
      <c r="B44" s="3"/>
      <c r="C44" s="7">
        <f>+IF(C43&gt;$G$13+$G$14,XX,C43+1)</f>
        <v>2024</v>
      </c>
      <c r="D44" s="7"/>
      <c r="E44" s="311">
        <v>1.9E-2</v>
      </c>
      <c r="F44" s="7"/>
      <c r="G44" s="23">
        <v>267537.77831756306</v>
      </c>
      <c r="H44" s="7"/>
      <c r="I44" s="30">
        <f t="shared" si="11"/>
        <v>262.18638558389978</v>
      </c>
      <c r="J44" s="7"/>
      <c r="K44" s="30">
        <f t="shared" si="12"/>
        <v>19.59630358528872</v>
      </c>
      <c r="L44" s="7"/>
      <c r="M44" s="30">
        <f t="shared" si="13"/>
        <v>7.2654604672976371</v>
      </c>
      <c r="N44" s="7"/>
      <c r="O44" s="314">
        <v>6.9476763922816716</v>
      </c>
      <c r="P44" s="7"/>
      <c r="Q44" s="30">
        <v>0</v>
      </c>
      <c r="R44" s="7"/>
      <c r="S44" s="23">
        <f t="shared" si="5"/>
        <v>33690.822827666525</v>
      </c>
      <c r="T44" s="7"/>
      <c r="U44" s="23">
        <f t="shared" si="0"/>
        <v>24882.496649241781</v>
      </c>
      <c r="V44" s="7"/>
      <c r="W44" s="23">
        <f t="shared" si="1"/>
        <v>8808.3261784247443</v>
      </c>
      <c r="X44" s="7"/>
      <c r="Y44" s="315">
        <f t="shared" si="6"/>
        <v>32.923672439147644</v>
      </c>
      <c r="Z44" s="271"/>
      <c r="AB44" s="168">
        <f>+IF(AB43&gt;$G$13+$G$14,XX,AB43+1)</f>
        <v>2024</v>
      </c>
      <c r="AC44" s="138"/>
      <c r="AD44" s="173">
        <f t="shared" si="2"/>
        <v>267537.77831756306</v>
      </c>
      <c r="AE44" s="4"/>
      <c r="AF44" s="176">
        <f t="shared" si="14"/>
        <v>77.910919380348602</v>
      </c>
      <c r="AG44" s="4"/>
      <c r="AH44" s="176">
        <f t="shared" si="15"/>
        <v>10.98418395775427</v>
      </c>
      <c r="AI44" s="4"/>
      <c r="AJ44" s="176">
        <f t="shared" si="16"/>
        <v>3.0877149979279821</v>
      </c>
      <c r="AK44" s="4"/>
      <c r="AL44" s="175">
        <f t="shared" si="7"/>
        <v>6391.6967326644763</v>
      </c>
      <c r="AM44" s="4"/>
      <c r="AN44" s="176">
        <f>INDEX('(2.2)_Forward_Price_Curve'!$G:$G,MATCH($AB44,'(2.2)_Forward_Price_Curve'!$C:$C,0),1)</f>
        <v>10.883589278444866</v>
      </c>
      <c r="AO44" s="4"/>
      <c r="AP44" s="176">
        <f t="shared" si="8"/>
        <v>79.080391851141073</v>
      </c>
      <c r="AQ44" s="4"/>
      <c r="AR44" s="176">
        <f t="shared" si="17"/>
        <v>3.196162224009341</v>
      </c>
      <c r="AS44" s="176"/>
      <c r="AT44" s="175">
        <f t="shared" si="3"/>
        <v>2870.4101643512004</v>
      </c>
      <c r="AU44" s="4"/>
      <c r="AV44" s="175">
        <f t="shared" si="4"/>
        <v>22012.08648489058</v>
      </c>
      <c r="AW44" s="318"/>
      <c r="AX44" s="177">
        <f t="shared" si="9"/>
        <v>24882.496649241781</v>
      </c>
      <c r="AZ44" s="168">
        <f>+IF(AZ43&gt;$G$13+$G$14,XX,AZ43+1)</f>
        <v>2024</v>
      </c>
      <c r="BA44" s="138"/>
      <c r="BB44" s="176">
        <f t="shared" si="18"/>
        <v>52.498203731376428</v>
      </c>
      <c r="BC44" s="4"/>
      <c r="BD44" s="176">
        <f t="shared" si="19"/>
        <v>7.9819946865639944</v>
      </c>
      <c r="BE44" s="4"/>
      <c r="BF44" s="175">
        <f t="shared" si="10"/>
        <v>3521.2865683132759</v>
      </c>
      <c r="BG44" s="4"/>
      <c r="BH44" s="179"/>
    </row>
    <row r="45" spans="2:60" ht="12">
      <c r="B45" s="3"/>
      <c r="C45" s="7">
        <f>+IF(C44&gt;$G$13+$G$14,XX,C44+1)</f>
        <v>2025</v>
      </c>
      <c r="D45" s="7"/>
      <c r="E45" s="311">
        <v>1.9E-2</v>
      </c>
      <c r="F45" s="7"/>
      <c r="G45" s="23">
        <v>266887.27898453025</v>
      </c>
      <c r="H45" s="7"/>
      <c r="I45" s="30">
        <f t="shared" si="11"/>
        <v>267.16792690999387</v>
      </c>
      <c r="J45" s="7"/>
      <c r="K45" s="30">
        <f t="shared" si="12"/>
        <v>19.968633353409203</v>
      </c>
      <c r="L45" s="7"/>
      <c r="M45" s="30">
        <f t="shared" si="13"/>
        <v>7.4035042161762918</v>
      </c>
      <c r="N45" s="7"/>
      <c r="O45" s="314">
        <v>7.0796822437350224</v>
      </c>
      <c r="P45" s="7"/>
      <c r="Q45" s="30">
        <v>0</v>
      </c>
      <c r="R45" s="7"/>
      <c r="S45" s="23">
        <f t="shared" si="5"/>
        <v>34308.53757558186</v>
      </c>
      <c r="T45" s="7"/>
      <c r="U45" s="23">
        <f t="shared" si="0"/>
        <v>25298.192179807567</v>
      </c>
      <c r="V45" s="7"/>
      <c r="W45" s="23">
        <f t="shared" si="1"/>
        <v>9010.3453957742931</v>
      </c>
      <c r="X45" s="7"/>
      <c r="Y45" s="315">
        <f t="shared" si="6"/>
        <v>33.760864999101607</v>
      </c>
      <c r="Z45" s="271"/>
      <c r="AB45" s="168">
        <f>+IF(AB44&gt;$G$13+$G$14,XX,AB44+1)</f>
        <v>2025</v>
      </c>
      <c r="AC45" s="138"/>
      <c r="AD45" s="173">
        <f t="shared" si="2"/>
        <v>266887.27898453025</v>
      </c>
      <c r="AE45" s="4"/>
      <c r="AF45" s="176">
        <f t="shared" si="14"/>
        <v>79.391226848575215</v>
      </c>
      <c r="AG45" s="4"/>
      <c r="AH45" s="176">
        <f t="shared" si="15"/>
        <v>11.1928834529516</v>
      </c>
      <c r="AI45" s="4"/>
      <c r="AJ45" s="176">
        <f t="shared" si="16"/>
        <v>3.1463815828886132</v>
      </c>
      <c r="AK45" s="4"/>
      <c r="AL45" s="175">
        <f t="shared" si="7"/>
        <v>6511.0922514639642</v>
      </c>
      <c r="AM45" s="4"/>
      <c r="AN45" s="176">
        <f>INDEX('(2.2)_Forward_Price_Curve'!$G:$G,MATCH($AB45,'(2.2)_Forward_Price_Curve'!$C:$C,0),1)</f>
        <v>11.090126110825569</v>
      </c>
      <c r="AO45" s="4"/>
      <c r="AP45" s="176">
        <f t="shared" si="8"/>
        <v>80.581092880782762</v>
      </c>
      <c r="AQ45" s="4"/>
      <c r="AR45" s="176">
        <f t="shared" si="17"/>
        <v>3.2568893062655184</v>
      </c>
      <c r="AS45" s="176"/>
      <c r="AT45" s="175">
        <f t="shared" si="3"/>
        <v>2922.9012383527365</v>
      </c>
      <c r="AU45" s="4"/>
      <c r="AV45" s="175">
        <f t="shared" si="4"/>
        <v>22375.29094145483</v>
      </c>
      <c r="AW45" s="318"/>
      <c r="AX45" s="177">
        <f t="shared" si="9"/>
        <v>25298.192179807567</v>
      </c>
      <c r="AZ45" s="168">
        <f>+IF(AZ44&gt;$G$13+$G$14,XX,AZ44+1)</f>
        <v>2025</v>
      </c>
      <c r="BA45" s="138"/>
      <c r="BB45" s="176">
        <f t="shared" si="18"/>
        <v>53.495669602272578</v>
      </c>
      <c r="BC45" s="4"/>
      <c r="BD45" s="176">
        <f t="shared" si="19"/>
        <v>8.1336525856087096</v>
      </c>
      <c r="BE45" s="4"/>
      <c r="BF45" s="175">
        <f t="shared" si="10"/>
        <v>3588.1910131112277</v>
      </c>
      <c r="BG45" s="4"/>
      <c r="BH45" s="179"/>
    </row>
    <row r="46" spans="2:60" ht="12">
      <c r="B46" s="3"/>
      <c r="C46" s="7">
        <f>+IF(C45&gt;$G$13+$G$14,XX,C45+1)</f>
        <v>2026</v>
      </c>
      <c r="D46" s="7"/>
      <c r="E46" s="311">
        <v>1.9E-2</v>
      </c>
      <c r="F46" s="7"/>
      <c r="G46" s="23">
        <v>266887.27898453025</v>
      </c>
      <c r="H46" s="7"/>
      <c r="I46" s="30">
        <f t="shared" si="11"/>
        <v>272.24411752128373</v>
      </c>
      <c r="J46" s="7"/>
      <c r="K46" s="30">
        <f t="shared" si="12"/>
        <v>20.348037387123977</v>
      </c>
      <c r="L46" s="7"/>
      <c r="M46" s="30">
        <f t="shared" si="13"/>
        <v>7.5441707962836411</v>
      </c>
      <c r="N46" s="7"/>
      <c r="O46" s="314">
        <v>7.2141962063659868</v>
      </c>
      <c r="P46" s="7"/>
      <c r="Q46" s="30">
        <v>0</v>
      </c>
      <c r="R46" s="7"/>
      <c r="S46" s="23">
        <f t="shared" si="5"/>
        <v>34960.39978951792</v>
      </c>
      <c r="T46" s="7"/>
      <c r="U46" s="23">
        <f t="shared" si="0"/>
        <v>25775.517304768113</v>
      </c>
      <c r="V46" s="7"/>
      <c r="W46" s="23">
        <f t="shared" si="1"/>
        <v>9184.8824847498072</v>
      </c>
      <c r="X46" s="7"/>
      <c r="Y46" s="315">
        <f t="shared" si="6"/>
        <v>34.414838053342351</v>
      </c>
      <c r="Z46" s="271"/>
      <c r="AB46" s="168">
        <f>+IF(AB45&gt;$G$13+$G$14,XX,AB45+1)</f>
        <v>2026</v>
      </c>
      <c r="AC46" s="138"/>
      <c r="AD46" s="173">
        <f t="shared" si="2"/>
        <v>266887.27898453025</v>
      </c>
      <c r="AE46" s="4"/>
      <c r="AF46" s="176">
        <f t="shared" si="14"/>
        <v>80.89966015869814</v>
      </c>
      <c r="AG46" s="4"/>
      <c r="AH46" s="176">
        <f t="shared" si="15"/>
        <v>11.40554823855768</v>
      </c>
      <c r="AI46" s="4"/>
      <c r="AJ46" s="176">
        <f t="shared" si="16"/>
        <v>3.2061628329634968</v>
      </c>
      <c r="AK46" s="4"/>
      <c r="AL46" s="175">
        <f t="shared" si="7"/>
        <v>6634.8030042417804</v>
      </c>
      <c r="AM46" s="4"/>
      <c r="AN46" s="176">
        <f>INDEX('(2.2)_Forward_Price_Curve'!$G:$G,MATCH($AB46,'(2.2)_Forward_Price_Curve'!$C:$C,0),1)</f>
        <v>11.299115883408938</v>
      </c>
      <c r="AO46" s="4"/>
      <c r="AP46" s="176">
        <f t="shared" si="8"/>
        <v>82.099617026259821</v>
      </c>
      <c r="AQ46" s="4"/>
      <c r="AR46" s="176">
        <f t="shared" si="17"/>
        <v>3.3187702030845632</v>
      </c>
      <c r="AS46" s="176"/>
      <c r="AT46" s="175">
        <f t="shared" si="3"/>
        <v>2978.4363618814396</v>
      </c>
      <c r="AU46" s="4"/>
      <c r="AV46" s="175">
        <f t="shared" si="4"/>
        <v>22797.080942886674</v>
      </c>
      <c r="AW46" s="318"/>
      <c r="AX46" s="177">
        <f t="shared" si="9"/>
        <v>25775.517304768113</v>
      </c>
      <c r="AZ46" s="168">
        <f>+IF(AZ45&gt;$G$13+$G$14,XX,AZ45+1)</f>
        <v>2026</v>
      </c>
      <c r="BA46" s="138"/>
      <c r="BB46" s="176">
        <f t="shared" si="18"/>
        <v>54.51208732471575</v>
      </c>
      <c r="BC46" s="4"/>
      <c r="BD46" s="176">
        <f t="shared" si="19"/>
        <v>8.2881919847352741</v>
      </c>
      <c r="BE46" s="4"/>
      <c r="BF46" s="175">
        <f t="shared" si="10"/>
        <v>3656.3666423603408</v>
      </c>
      <c r="BG46" s="4"/>
      <c r="BH46" s="179"/>
    </row>
    <row r="47" spans="2:60" ht="12">
      <c r="B47" s="3"/>
      <c r="C47" s="7">
        <f>+IF(C46&gt;$G$13+$G$14,XX,C46+1)</f>
        <v>2027</v>
      </c>
      <c r="D47" s="7"/>
      <c r="E47" s="311">
        <v>1.9E-2</v>
      </c>
      <c r="F47" s="7"/>
      <c r="G47" s="23">
        <v>266887.27898453025</v>
      </c>
      <c r="H47" s="7"/>
      <c r="I47" s="30">
        <f t="shared" si="11"/>
        <v>277.4167557541881</v>
      </c>
      <c r="J47" s="7"/>
      <c r="K47" s="30">
        <f t="shared" si="12"/>
        <v>20.734650097479332</v>
      </c>
      <c r="L47" s="7"/>
      <c r="M47" s="30">
        <f t="shared" si="13"/>
        <v>7.68751004141303</v>
      </c>
      <c r="N47" s="7"/>
      <c r="O47" s="314">
        <v>7.35126593428694</v>
      </c>
      <c r="P47" s="7"/>
      <c r="Q47" s="30">
        <v>0</v>
      </c>
      <c r="R47" s="7"/>
      <c r="S47" s="23">
        <f t="shared" si="5"/>
        <v>35624.647385518751</v>
      </c>
      <c r="T47" s="7"/>
      <c r="U47" s="23">
        <f t="shared" si="0"/>
        <v>26262.968716117601</v>
      </c>
      <c r="V47" s="7"/>
      <c r="W47" s="23">
        <f t="shared" si="1"/>
        <v>9361.6786694011498</v>
      </c>
      <c r="X47" s="7"/>
      <c r="Y47" s="315">
        <f t="shared" si="6"/>
        <v>35.077275713631096</v>
      </c>
      <c r="Z47" s="271"/>
      <c r="AB47" s="168">
        <f>+IF(AB46&gt;$G$13+$G$14,XX,AB46+1)</f>
        <v>2027</v>
      </c>
      <c r="AC47" s="138"/>
      <c r="AD47" s="173">
        <f t="shared" si="2"/>
        <v>266887.27898453025</v>
      </c>
      <c r="AE47" s="4"/>
      <c r="AF47" s="176">
        <f t="shared" si="14"/>
        <v>82.4367537017134</v>
      </c>
      <c r="AG47" s="4"/>
      <c r="AH47" s="176">
        <f t="shared" si="15"/>
        <v>11.622253655090274</v>
      </c>
      <c r="AI47" s="4"/>
      <c r="AJ47" s="176">
        <f t="shared" si="16"/>
        <v>3.267079926789803</v>
      </c>
      <c r="AK47" s="4"/>
      <c r="AL47" s="175">
        <f t="shared" si="7"/>
        <v>6760.8642613223737</v>
      </c>
      <c r="AM47" s="4"/>
      <c r="AN47" s="176">
        <f>INDEX('(2.2)_Forward_Price_Curve'!$G:$G,MATCH($AB47,'(2.2)_Forward_Price_Curve'!$C:$C,0),1)</f>
        <v>11.51262158558478</v>
      </c>
      <c r="AO47" s="4"/>
      <c r="AP47" s="176">
        <f t="shared" si="8"/>
        <v>83.650954012483467</v>
      </c>
      <c r="AQ47" s="4"/>
      <c r="AR47" s="176">
        <f t="shared" si="17"/>
        <v>3.3818268369431697</v>
      </c>
      <c r="AS47" s="176"/>
      <c r="AT47" s="175">
        <f t="shared" si="3"/>
        <v>3035.0266527571866</v>
      </c>
      <c r="AU47" s="4"/>
      <c r="AV47" s="175">
        <f t="shared" si="4"/>
        <v>23227.942063360413</v>
      </c>
      <c r="AW47" s="318"/>
      <c r="AX47" s="177">
        <f t="shared" si="9"/>
        <v>26262.968716117601</v>
      </c>
      <c r="AZ47" s="168">
        <f>+IF(AZ46&gt;$G$13+$G$14,XX,AZ46+1)</f>
        <v>2027</v>
      </c>
      <c r="BA47" s="138"/>
      <c r="BB47" s="176">
        <f t="shared" si="18"/>
        <v>55.547816983885347</v>
      </c>
      <c r="BC47" s="4"/>
      <c r="BD47" s="176">
        <f t="shared" si="19"/>
        <v>8.4456676324452431</v>
      </c>
      <c r="BE47" s="4"/>
      <c r="BF47" s="175">
        <f t="shared" si="10"/>
        <v>3725.8376085651871</v>
      </c>
      <c r="BG47" s="4"/>
      <c r="BH47" s="179"/>
    </row>
    <row r="48" spans="2:60" ht="12">
      <c r="B48" s="3"/>
      <c r="C48" s="7">
        <f>+IF(C47&gt;$G$13+$G$14,XX,C47+1)</f>
        <v>2028</v>
      </c>
      <c r="D48" s="7"/>
      <c r="E48" s="311">
        <v>1.9E-2</v>
      </c>
      <c r="F48" s="7"/>
      <c r="G48" s="23">
        <v>267537.77831756306</v>
      </c>
      <c r="H48" s="7"/>
      <c r="I48" s="30">
        <f t="shared" si="11"/>
        <v>282.68767411351763</v>
      </c>
      <c r="J48" s="7"/>
      <c r="K48" s="30">
        <f t="shared" si="12"/>
        <v>21.128608449331438</v>
      </c>
      <c r="L48" s="7"/>
      <c r="M48" s="30">
        <f t="shared" si="13"/>
        <v>7.8335727321998769</v>
      </c>
      <c r="N48" s="7"/>
      <c r="O48" s="314">
        <v>7.4909399870383915</v>
      </c>
      <c r="P48" s="7"/>
      <c r="Q48" s="30">
        <v>0</v>
      </c>
      <c r="R48" s="7"/>
      <c r="S48" s="23">
        <f t="shared" si="5"/>
        <v>36325.228416850725</v>
      </c>
      <c r="T48" s="7"/>
      <c r="U48" s="23">
        <f t="shared" si="0"/>
        <v>26825.464950934798</v>
      </c>
      <c r="V48" s="7"/>
      <c r="W48" s="23">
        <f t="shared" si="1"/>
        <v>9499.7634659159266</v>
      </c>
      <c r="X48" s="7"/>
      <c r="Y48" s="315">
        <f t="shared" si="6"/>
        <v>35.508119734177725</v>
      </c>
      <c r="Z48" s="271"/>
      <c r="AB48" s="168">
        <f>+IF(AB47&gt;$G$13+$G$14,XX,AB47+1)</f>
        <v>2028</v>
      </c>
      <c r="AC48" s="138"/>
      <c r="AD48" s="173">
        <f t="shared" si="2"/>
        <v>267537.77831756306</v>
      </c>
      <c r="AE48" s="4"/>
      <c r="AF48" s="176">
        <f t="shared" si="14"/>
        <v>84.003052022045949</v>
      </c>
      <c r="AG48" s="4"/>
      <c r="AH48" s="176">
        <f t="shared" si="15"/>
        <v>11.843076474536989</v>
      </c>
      <c r="AI48" s="4"/>
      <c r="AJ48" s="176">
        <f t="shared" si="16"/>
        <v>3.3291544453988089</v>
      </c>
      <c r="AK48" s="4"/>
      <c r="AL48" s="175">
        <f t="shared" si="7"/>
        <v>6891.4862950337938</v>
      </c>
      <c r="AM48" s="4"/>
      <c r="AN48" s="176">
        <f>INDEX('(2.2)_Forward_Price_Curve'!$G:$G,MATCH($AB48,'(2.2)_Forward_Price_Curve'!$C:$C,0),1)</f>
        <v>11.7332358254813</v>
      </c>
      <c r="AO48" s="4"/>
      <c r="AP48" s="176">
        <f t="shared" si="8"/>
        <v>85.253941785415222</v>
      </c>
      <c r="AQ48" s="4"/>
      <c r="AR48" s="176">
        <f t="shared" si="17"/>
        <v>3.4460815468450896</v>
      </c>
      <c r="AS48" s="176"/>
      <c r="AT48" s="175">
        <f t="shared" si="3"/>
        <v>3094.857771905868</v>
      </c>
      <c r="AU48" s="4"/>
      <c r="AV48" s="175">
        <f t="shared" si="4"/>
        <v>23730.607179028932</v>
      </c>
      <c r="AW48" s="318"/>
      <c r="AX48" s="177">
        <f t="shared" si="9"/>
        <v>26825.464950934798</v>
      </c>
      <c r="AZ48" s="168">
        <f>+IF(AZ47&gt;$G$13+$G$14,XX,AZ47+1)</f>
        <v>2028</v>
      </c>
      <c r="BA48" s="138"/>
      <c r="BB48" s="176">
        <f t="shared" si="18"/>
        <v>56.603225506579165</v>
      </c>
      <c r="BC48" s="4"/>
      <c r="BD48" s="176">
        <f t="shared" si="19"/>
        <v>8.6061353174617015</v>
      </c>
      <c r="BE48" s="4"/>
      <c r="BF48" s="175">
        <f t="shared" si="10"/>
        <v>3796.6285231279257</v>
      </c>
      <c r="BG48" s="4"/>
      <c r="BH48" s="179"/>
    </row>
    <row r="49" spans="2:60" ht="12">
      <c r="B49" s="3"/>
      <c r="C49" s="7">
        <f>+IF(C48&gt;$G$13+$G$14,XX,C48+1)</f>
        <v>2029</v>
      </c>
      <c r="D49" s="7"/>
      <c r="E49" s="311">
        <v>1.9E-2</v>
      </c>
      <c r="F49" s="7"/>
      <c r="G49" s="23">
        <v>266887.27898453025</v>
      </c>
      <c r="H49" s="7"/>
      <c r="I49" s="30">
        <f t="shared" si="11"/>
        <v>288.05873992167443</v>
      </c>
      <c r="J49" s="7"/>
      <c r="K49" s="30">
        <f t="shared" si="12"/>
        <v>21.530052009868733</v>
      </c>
      <c r="L49" s="7"/>
      <c r="M49" s="30">
        <f t="shared" si="13"/>
        <v>7.9824106141116742</v>
      </c>
      <c r="N49" s="7"/>
      <c r="O49" s="314">
        <v>7.63326784679212</v>
      </c>
      <c r="P49" s="7"/>
      <c r="Q49" s="30">
        <v>0</v>
      </c>
      <c r="R49" s="7"/>
      <c r="S49" s="23">
        <f t="shared" si="5"/>
        <v>36991.244483874631</v>
      </c>
      <c r="T49" s="7"/>
      <c r="U49" s="23">
        <f t="shared" si="0"/>
        <v>27267.885467777029</v>
      </c>
      <c r="V49" s="7"/>
      <c r="W49" s="23">
        <f t="shared" si="1"/>
        <v>9723.3590160976019</v>
      </c>
      <c r="X49" s="7"/>
      <c r="Y49" s="315">
        <f t="shared" si="6"/>
        <v>36.432455878353061</v>
      </c>
      <c r="Z49" s="271"/>
      <c r="AB49" s="168">
        <f>+IF(AB48&gt;$G$13+$G$14,XX,AB48+1)</f>
        <v>2029</v>
      </c>
      <c r="AC49" s="138"/>
      <c r="AD49" s="173">
        <f t="shared" si="2"/>
        <v>266887.27898453025</v>
      </c>
      <c r="AE49" s="4"/>
      <c r="AF49" s="176">
        <f t="shared" si="14"/>
        <v>85.599110010464813</v>
      </c>
      <c r="AG49" s="4"/>
      <c r="AH49" s="176">
        <f t="shared" si="15"/>
        <v>12.06809492755319</v>
      </c>
      <c r="AI49" s="4"/>
      <c r="AJ49" s="176">
        <f t="shared" si="16"/>
        <v>3.392408379861386</v>
      </c>
      <c r="AK49" s="4"/>
      <c r="AL49" s="175">
        <f t="shared" si="7"/>
        <v>7020.2177752509606</v>
      </c>
      <c r="AM49" s="4"/>
      <c r="AN49" s="176">
        <f>INDEX('(2.2)_Forward_Price_Curve'!$G:$G,MATCH($AB49,'(2.2)_Forward_Price_Curve'!$C:$C,0),1)</f>
        <v>11.952938687642925</v>
      </c>
      <c r="AO49" s="4"/>
      <c r="AP49" s="176">
        <f t="shared" si="8"/>
        <v>86.850307468284981</v>
      </c>
      <c r="AQ49" s="4"/>
      <c r="AR49" s="176">
        <f t="shared" si="17"/>
        <v>3.5115570962351459</v>
      </c>
      <c r="AS49" s="176"/>
      <c r="AT49" s="175">
        <f t="shared" si="3"/>
        <v>3151.4533101836046</v>
      </c>
      <c r="AU49" s="4"/>
      <c r="AV49" s="175">
        <f t="shared" si="4"/>
        <v>24116.432157593423</v>
      </c>
      <c r="AW49" s="318"/>
      <c r="AX49" s="177">
        <f t="shared" si="9"/>
        <v>27267.885467777029</v>
      </c>
      <c r="AZ49" s="168">
        <f>+IF(AZ48&gt;$G$13+$G$14,XX,AZ48+1)</f>
        <v>2029</v>
      </c>
      <c r="BA49" s="138"/>
      <c r="BB49" s="176">
        <f t="shared" si="18"/>
        <v>57.678686791204164</v>
      </c>
      <c r="BC49" s="4"/>
      <c r="BD49" s="176">
        <f t="shared" si="19"/>
        <v>8.7696518884934722</v>
      </c>
      <c r="BE49" s="4"/>
      <c r="BF49" s="175">
        <f t="shared" si="10"/>
        <v>3868.764465067356</v>
      </c>
      <c r="BG49" s="4"/>
      <c r="BH49" s="179"/>
    </row>
    <row r="50" spans="2:60" ht="12">
      <c r="B50" s="3"/>
      <c r="C50" s="7">
        <f>+IF(C49&gt;$G$13+$G$14,XX,C49+1)</f>
        <v>2030</v>
      </c>
      <c r="D50" s="7"/>
      <c r="E50" s="311">
        <v>0.02</v>
      </c>
      <c r="F50" s="7"/>
      <c r="G50" s="23">
        <v>266887.27898453025</v>
      </c>
      <c r="H50" s="7"/>
      <c r="I50" s="30">
        <f t="shared" si="11"/>
        <v>293.81991472010793</v>
      </c>
      <c r="J50" s="7"/>
      <c r="K50" s="30">
        <f t="shared" si="12"/>
        <v>21.960653050066107</v>
      </c>
      <c r="L50" s="7"/>
      <c r="M50" s="30">
        <f t="shared" si="13"/>
        <v>8.1420588263939084</v>
      </c>
      <c r="N50" s="7"/>
      <c r="O50" s="314">
        <v>7.7859332037279625</v>
      </c>
      <c r="P50" s="7"/>
      <c r="Q50" s="30">
        <v>0</v>
      </c>
      <c r="R50" s="7"/>
      <c r="S50" s="23">
        <f t="shared" si="5"/>
        <v>37731.06937355212</v>
      </c>
      <c r="T50" s="7"/>
      <c r="U50" s="23">
        <f t="shared" si="0"/>
        <v>27814.753797380334</v>
      </c>
      <c r="V50" s="7"/>
      <c r="W50" s="23">
        <f t="shared" si="1"/>
        <v>9916.3155761717862</v>
      </c>
      <c r="X50" s="7"/>
      <c r="Y50" s="315">
        <f t="shared" si="6"/>
        <v>37.155444852605996</v>
      </c>
      <c r="Z50" s="271"/>
      <c r="AB50" s="168">
        <f>+IF(AB49&gt;$G$13+$G$14,XX,AB49+1)</f>
        <v>2030</v>
      </c>
      <c r="AC50" s="138"/>
      <c r="AD50" s="173">
        <f t="shared" si="2"/>
        <v>266887.27898453025</v>
      </c>
      <c r="AE50" s="4"/>
      <c r="AF50" s="176">
        <f t="shared" si="14"/>
        <v>87.311092210674104</v>
      </c>
      <c r="AG50" s="4"/>
      <c r="AH50" s="176">
        <f t="shared" si="15"/>
        <v>12.309456826104254</v>
      </c>
      <c r="AI50" s="4"/>
      <c r="AJ50" s="176">
        <f t="shared" si="16"/>
        <v>3.4602565474586138</v>
      </c>
      <c r="AK50" s="4"/>
      <c r="AL50" s="175">
        <f t="shared" si="7"/>
        <v>7160.622130755979</v>
      </c>
      <c r="AM50" s="4"/>
      <c r="AN50" s="176">
        <f>INDEX('(2.2)_Forward_Price_Curve'!$G:$G,MATCH($AB50,'(2.2)_Forward_Price_Curve'!$C:$C,0),1)</f>
        <v>12.192776449380618</v>
      </c>
      <c r="AO50" s="4"/>
      <c r="AP50" s="176">
        <f t="shared" si="8"/>
        <v>88.592973760964796</v>
      </c>
      <c r="AQ50" s="4"/>
      <c r="AR50" s="176">
        <f t="shared" si="17"/>
        <v>3.5817882381598487</v>
      </c>
      <c r="AS50" s="176"/>
      <c r="AT50" s="175">
        <f t="shared" si="3"/>
        <v>3214.4823763872764</v>
      </c>
      <c r="AU50" s="4"/>
      <c r="AV50" s="175">
        <f t="shared" si="4"/>
        <v>24600.271420993056</v>
      </c>
      <c r="AW50" s="318"/>
      <c r="AX50" s="177">
        <f t="shared" si="9"/>
        <v>27814.753797380334</v>
      </c>
      <c r="AZ50" s="168">
        <f>+IF(AZ49&gt;$G$13+$G$14,XX,AZ49+1)</f>
        <v>2030</v>
      </c>
      <c r="BA50" s="138"/>
      <c r="BB50" s="176">
        <f t="shared" si="18"/>
        <v>58.832260527028247</v>
      </c>
      <c r="BC50" s="4"/>
      <c r="BD50" s="176">
        <f t="shared" si="19"/>
        <v>8.9450449262633427</v>
      </c>
      <c r="BE50" s="4"/>
      <c r="BF50" s="175">
        <f t="shared" si="10"/>
        <v>3946.1397543687026</v>
      </c>
      <c r="BG50" s="4"/>
      <c r="BH50" s="179"/>
    </row>
    <row r="51" spans="2:60" ht="12">
      <c r="B51" s="3"/>
      <c r="C51" s="7">
        <f>+IF(C50&gt;$G$13+$G$14,XX,C50+1)</f>
        <v>2031</v>
      </c>
      <c r="D51" s="7"/>
      <c r="E51" s="311">
        <v>0.02</v>
      </c>
      <c r="F51" s="7"/>
      <c r="G51" s="23">
        <v>266887.27898453025</v>
      </c>
      <c r="H51" s="7"/>
      <c r="I51" s="30">
        <f t="shared" si="11"/>
        <v>299.69631301451011</v>
      </c>
      <c r="J51" s="7"/>
      <c r="K51" s="30">
        <f t="shared" si="12"/>
        <v>22.399866111067428</v>
      </c>
      <c r="L51" s="7"/>
      <c r="M51" s="30">
        <f t="shared" si="13"/>
        <v>8.3049000029217872</v>
      </c>
      <c r="N51" s="7"/>
      <c r="O51" s="314">
        <v>7.9416518678025216</v>
      </c>
      <c r="P51" s="7"/>
      <c r="Q51" s="30">
        <v>0</v>
      </c>
      <c r="R51" s="7"/>
      <c r="S51" s="23">
        <f t="shared" si="5"/>
        <v>38485.690761023165</v>
      </c>
      <c r="T51" s="7"/>
      <c r="U51" s="23">
        <f t="shared" si="0"/>
        <v>28366.579952687447</v>
      </c>
      <c r="V51" s="7"/>
      <c r="W51" s="23">
        <f t="shared" si="1"/>
        <v>10119.110808335718</v>
      </c>
      <c r="X51" s="7"/>
      <c r="Y51" s="315">
        <f t="shared" si="6"/>
        <v>37.915298349316444</v>
      </c>
      <c r="Z51" s="271"/>
      <c r="AB51" s="168">
        <f>+IF(AB50&gt;$G$13+$G$14,XX,AB50+1)</f>
        <v>2031</v>
      </c>
      <c r="AC51" s="138"/>
      <c r="AD51" s="173">
        <f t="shared" si="2"/>
        <v>266887.27898453025</v>
      </c>
      <c r="AE51" s="4"/>
      <c r="AF51" s="176">
        <f t="shared" si="14"/>
        <v>89.057314054887584</v>
      </c>
      <c r="AG51" s="4"/>
      <c r="AH51" s="176">
        <f t="shared" si="15"/>
        <v>12.55564596262634</v>
      </c>
      <c r="AI51" s="4"/>
      <c r="AJ51" s="176">
        <f t="shared" si="16"/>
        <v>3.5294616784077859</v>
      </c>
      <c r="AK51" s="4"/>
      <c r="AL51" s="175">
        <f t="shared" si="7"/>
        <v>7303.8345733710976</v>
      </c>
      <c r="AM51" s="4"/>
      <c r="AN51" s="176">
        <f>INDEX('(2.2)_Forward_Price_Curve'!$G:$G,MATCH($AB51,'(2.2)_Forward_Price_Curve'!$C:$C,0),1)</f>
        <v>12.434327471004936</v>
      </c>
      <c r="AO51" s="4"/>
      <c r="AP51" s="176">
        <f t="shared" si="8"/>
        <v>90.348088636525773</v>
      </c>
      <c r="AQ51" s="4"/>
      <c r="AR51" s="176">
        <f t="shared" si="17"/>
        <v>3.6534240029230456</v>
      </c>
      <c r="AS51" s="176"/>
      <c r="AT51" s="175">
        <f t="shared" si="3"/>
        <v>3278.7720239150212</v>
      </c>
      <c r="AU51" s="4"/>
      <c r="AV51" s="175">
        <f t="shared" si="4"/>
        <v>25087.807928772425</v>
      </c>
      <c r="AW51" s="318"/>
      <c r="AX51" s="177">
        <f t="shared" si="9"/>
        <v>28366.579952687447</v>
      </c>
      <c r="AZ51" s="168">
        <f>+IF(AZ50&gt;$G$13+$G$14,XX,AZ50+1)</f>
        <v>2031</v>
      </c>
      <c r="BA51" s="138"/>
      <c r="BB51" s="176">
        <f t="shared" si="18"/>
        <v>60.00890573756881</v>
      </c>
      <c r="BC51" s="4"/>
      <c r="BD51" s="176">
        <f t="shared" si="19"/>
        <v>9.1239458247886098</v>
      </c>
      <c r="BE51" s="4"/>
      <c r="BF51" s="175">
        <f t="shared" si="10"/>
        <v>4025.0625494560763</v>
      </c>
      <c r="BG51" s="4"/>
      <c r="BH51" s="179"/>
    </row>
    <row r="52" spans="2:60" ht="12">
      <c r="B52" s="3"/>
      <c r="C52" s="7">
        <f>+IF(C51&gt;$G$13+$G$14,XX,C51+1)</f>
        <v>2032</v>
      </c>
      <c r="D52" s="7"/>
      <c r="E52" s="311">
        <v>2.1000000000000001E-2</v>
      </c>
      <c r="F52" s="7"/>
      <c r="G52" s="23">
        <f>G48</f>
        <v>267537.77831756306</v>
      </c>
      <c r="H52" s="7"/>
      <c r="I52" s="30">
        <f t="shared" si="11"/>
        <v>305.98993558781478</v>
      </c>
      <c r="J52" s="7"/>
      <c r="K52" s="30">
        <f t="shared" si="12"/>
        <v>22.870263299399841</v>
      </c>
      <c r="L52" s="7"/>
      <c r="M52" s="30">
        <f t="shared" si="13"/>
        <v>8.4793029029831448</v>
      </c>
      <c r="N52" s="7"/>
      <c r="O52" s="314">
        <v>8.1084265570263732</v>
      </c>
      <c r="P52" s="7"/>
      <c r="Q52" s="30">
        <v>0</v>
      </c>
      <c r="R52" s="7"/>
      <c r="S52" s="23">
        <f t="shared" si="5"/>
        <v>39319.557664977459</v>
      </c>
      <c r="T52" s="7"/>
      <c r="U52" s="23">
        <f t="shared" si="0"/>
        <v>29032.29921096074</v>
      </c>
      <c r="V52" s="7"/>
      <c r="W52" s="23">
        <f t="shared" si="1"/>
        <v>10287.258454016719</v>
      </c>
      <c r="X52" s="7"/>
      <c r="Y52" s="315">
        <f t="shared" si="6"/>
        <v>38.451610530330065</v>
      </c>
      <c r="Z52" s="271"/>
      <c r="AB52" s="168">
        <f>+IF(AB51&gt;$G$13+$G$14,XX,AB51+1)</f>
        <v>2032</v>
      </c>
      <c r="AC52" s="138"/>
      <c r="AD52" s="173">
        <f t="shared" si="2"/>
        <v>267537.77831756306</v>
      </c>
      <c r="AE52" s="4"/>
      <c r="AF52" s="176">
        <f t="shared" si="14"/>
        <v>90.927517650040215</v>
      </c>
      <c r="AG52" s="4"/>
      <c r="AH52" s="176">
        <f t="shared" si="15"/>
        <v>12.819314527841492</v>
      </c>
      <c r="AI52" s="4"/>
      <c r="AJ52" s="176">
        <f t="shared" si="16"/>
        <v>3.6035803736543492</v>
      </c>
      <c r="AK52" s="4"/>
      <c r="AL52" s="175">
        <f t="shared" si="7"/>
        <v>7459.5592260414824</v>
      </c>
      <c r="AM52" s="4"/>
      <c r="AN52" s="176">
        <f>INDEX('(2.2)_Forward_Price_Curve'!$G:$G,MATCH($AB52,'(2.2)_Forward_Price_Curve'!$C:$C,0),1)</f>
        <v>12.698146444521699</v>
      </c>
      <c r="AO52" s="4"/>
      <c r="AP52" s="176">
        <f t="shared" si="8"/>
        <v>92.265002925526986</v>
      </c>
      <c r="AQ52" s="4"/>
      <c r="AR52" s="176">
        <f t="shared" si="17"/>
        <v>3.7301459069844292</v>
      </c>
      <c r="AS52" s="176"/>
      <c r="AT52" s="175">
        <f t="shared" si="3"/>
        <v>3349.9703630468284</v>
      </c>
      <c r="AU52" s="4"/>
      <c r="AV52" s="175">
        <f t="shared" si="4"/>
        <v>25682.328847913912</v>
      </c>
      <c r="AW52" s="318"/>
      <c r="AX52" s="177">
        <f t="shared" si="9"/>
        <v>29032.29921096074</v>
      </c>
      <c r="AZ52" s="168">
        <f>+IF(AZ51&gt;$G$13+$G$14,XX,AZ51+1)</f>
        <v>2032</v>
      </c>
      <c r="BA52" s="138"/>
      <c r="BB52" s="176">
        <f t="shared" si="18"/>
        <v>61.269092758057752</v>
      </c>
      <c r="BC52" s="4"/>
      <c r="BD52" s="176">
        <f t="shared" si="19"/>
        <v>9.3155486871091693</v>
      </c>
      <c r="BE52" s="4"/>
      <c r="BF52" s="175">
        <f>(BB52+BD52)*$BD$11</f>
        <v>4109.5888629946539</v>
      </c>
      <c r="BG52" s="4"/>
      <c r="BH52" s="179"/>
    </row>
    <row r="53" spans="2:60">
      <c r="B53" s="3"/>
      <c r="C53" s="4"/>
      <c r="D53" s="4"/>
      <c r="E53" s="192"/>
      <c r="F53" s="4"/>
      <c r="G53" s="309"/>
      <c r="H53" s="4"/>
      <c r="I53" s="309"/>
      <c r="J53" s="4"/>
      <c r="K53" s="309"/>
      <c r="L53" s="4"/>
      <c r="M53" s="309"/>
      <c r="N53" s="4"/>
      <c r="O53" s="309"/>
      <c r="P53" s="4"/>
      <c r="Q53" s="309"/>
      <c r="R53" s="4"/>
      <c r="S53" s="309"/>
      <c r="T53" s="4"/>
      <c r="U53" s="309"/>
      <c r="V53" s="4"/>
      <c r="W53" s="309"/>
      <c r="X53" s="4"/>
      <c r="Y53" s="319"/>
      <c r="Z53" s="271"/>
      <c r="AB53" s="3"/>
      <c r="AC53" s="4"/>
      <c r="AD53" s="4"/>
      <c r="AE53" s="4"/>
      <c r="AF53" s="320"/>
      <c r="AG53" s="4"/>
      <c r="AH53" s="320"/>
      <c r="AI53" s="4"/>
      <c r="AJ53" s="320"/>
      <c r="AK53" s="4"/>
      <c r="AL53" s="318"/>
      <c r="AM53" s="4"/>
      <c r="AN53" s="320"/>
      <c r="AO53" s="4"/>
      <c r="AP53" s="320"/>
      <c r="AQ53" s="4"/>
      <c r="AR53" s="320"/>
      <c r="AS53" s="320"/>
      <c r="AT53" s="320"/>
      <c r="AU53" s="4"/>
      <c r="AV53" s="318"/>
      <c r="AW53" s="318"/>
      <c r="AX53" s="321"/>
      <c r="AZ53" s="3"/>
      <c r="BA53" s="4"/>
      <c r="BB53" s="320"/>
      <c r="BC53" s="4"/>
      <c r="BD53" s="4"/>
      <c r="BE53" s="4"/>
      <c r="BF53" s="318"/>
      <c r="BG53" s="4"/>
      <c r="BH53" s="271"/>
    </row>
    <row r="54" spans="2:60" ht="12">
      <c r="B54" s="3"/>
      <c r="C54" s="322" t="str">
        <f>G14&amp;"-year Nominal Levelized at "&amp;TEXT($G$18,"#.00%")</f>
        <v>25-year Nominal Levelized at 7.32%</v>
      </c>
      <c r="E54" s="192"/>
      <c r="F54" s="4"/>
      <c r="G54" s="23">
        <f>+-PMT($G$18,$G$14,NPV($G$18,G28:G52))</f>
        <v>267074.61582954036</v>
      </c>
      <c r="H54" s="7"/>
      <c r="I54" s="30">
        <f>+-PMT($G$18,$G$14,NPV($G$18,I28:I52))</f>
        <v>230.51627801606662</v>
      </c>
      <c r="J54" s="30"/>
      <c r="K54" s="30">
        <f>+-PMT($G$18,$G$14,NPV($G$18,K28:K52))</f>
        <v>17.229220179734043</v>
      </c>
      <c r="L54" s="7"/>
      <c r="M54" s="30">
        <f>+-PMT($G$18,$G$14,NPV($G$18,M28:M52))</f>
        <v>6.3878484813941006</v>
      </c>
      <c r="N54" s="7"/>
      <c r="O54" s="30">
        <f>+-PMT($G$18,$G$14,NPV($G$18,O28:O52))</f>
        <v>6.1084502890649341</v>
      </c>
      <c r="P54" s="7"/>
      <c r="Q54" s="30">
        <f>+-PMT($G$18,$G$14,NPV($G$18,Q28:Q52))</f>
        <v>-21.001367225957868</v>
      </c>
      <c r="R54" s="7"/>
      <c r="S54" s="23">
        <f>+-PMT($G$18,$G$14,NPV($G$18,S28:S52))</f>
        <v>23998.180081300361</v>
      </c>
      <c r="T54" s="7"/>
      <c r="U54" s="23">
        <f>+-PMT($G$18,$G$14,NPV($G$18,U28:U52))</f>
        <v>20223.968248878362</v>
      </c>
      <c r="V54" s="4"/>
      <c r="W54" s="23">
        <f>+-PMT($G$18,$G$14,NPV($G$18,W28:W52))</f>
        <v>3774.2118324219955</v>
      </c>
      <c r="X54" s="4"/>
      <c r="Y54" s="315">
        <f>+W54/G54*1000</f>
        <v>14.131675601963146</v>
      </c>
      <c r="Z54" s="271"/>
      <c r="AB54" s="3"/>
      <c r="AC54" s="4"/>
      <c r="AD54" s="173">
        <f>+-PMT($G$18,$G$14,NPV($G$18,AD28:AD52))</f>
        <v>267074.61582954036</v>
      </c>
      <c r="AE54" s="4"/>
      <c r="AF54" s="176">
        <f>+-PMT($G$18,$G$14,NPV($G$18,AF28:AF52))</f>
        <v>68.499876957267318</v>
      </c>
      <c r="AG54" s="4"/>
      <c r="AH54" s="176">
        <f>+-PMT($G$18,$G$14,NPV($G$18,AH28:AH52))</f>
        <v>9.6573786520087967</v>
      </c>
      <c r="AI54" s="4"/>
      <c r="AJ54" s="176">
        <f>+-PMT($G$18,$G$14,NPV($G$18,AJ28:AJ52))</f>
        <v>2.7147426717508885</v>
      </c>
      <c r="AK54" s="4"/>
      <c r="AL54" s="175">
        <f>+-PMT($G$18,$G$14,NPV($G$18,AL28:AL52))</f>
        <v>5618.3653628096599</v>
      </c>
      <c r="AM54" s="4"/>
      <c r="AN54" s="176">
        <f>+-PMT($G$18,$G$14,NPV($G$18,AN28:AN52))</f>
        <v>8.735091274734982</v>
      </c>
      <c r="AO54" s="4"/>
      <c r="AP54" s="176">
        <f>+-PMT($G$18,$G$14,NPV($G$18,AP28:AP52))</f>
        <v>63.469359527340494</v>
      </c>
      <c r="AQ54" s="4"/>
      <c r="AR54" s="176">
        <f>+-PMT($G$18,$G$14,NPV($G$18,AR28:AR52))</f>
        <v>2.8100903034052487</v>
      </c>
      <c r="AS54" s="176"/>
      <c r="AT54" s="175">
        <f>+-PMT($G$18,$G$14,NPV($G$18,AT28:AT52))</f>
        <v>2522.4232461058341</v>
      </c>
      <c r="AU54" s="4"/>
      <c r="AV54" s="175">
        <f>+-PMT($G$18,$G$14,NPV($G$18,AV28:AV52))</f>
        <v>17701.545002772535</v>
      </c>
      <c r="AW54" s="318"/>
      <c r="AX54" s="177">
        <f>+-PMT($G$18,$G$14,NPV($G$18,AX28:AX52))</f>
        <v>20223.968248878362</v>
      </c>
      <c r="AZ54" s="3"/>
      <c r="BA54" s="4"/>
      <c r="BB54" s="176">
        <f>+-PMT($G$18,$G$14,NPV($G$18,BB28:BB52))</f>
        <v>46.156822749339604</v>
      </c>
      <c r="BC54" s="4"/>
      <c r="BD54" s="176">
        <f>+-PMT($G$18,$G$14,NPV($G$18,BD28:BD52))</f>
        <v>7.01783085415759</v>
      </c>
      <c r="BE54" s="4"/>
      <c r="BF54" s="175">
        <f>+-PMT($G$18,$G$14,NPV($G$18,BF28:BF52))</f>
        <v>3095.9421167038249</v>
      </c>
      <c r="BG54" s="4"/>
      <c r="BH54" s="179"/>
    </row>
    <row r="55" spans="2:60">
      <c r="B55" s="3"/>
      <c r="C55" s="4"/>
      <c r="D55" s="4"/>
      <c r="E55" s="19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23"/>
      <c r="X55" s="4"/>
      <c r="Y55" s="324"/>
      <c r="Z55" s="271"/>
      <c r="AB55" s="3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271"/>
      <c r="AZ55" s="3"/>
      <c r="BA55" s="4"/>
      <c r="BB55" s="4"/>
      <c r="BC55" s="4"/>
      <c r="BD55" s="4"/>
      <c r="BE55" s="4"/>
      <c r="BF55" s="4"/>
      <c r="BG55" s="4"/>
      <c r="BH55" s="271"/>
    </row>
    <row r="56" spans="2:60">
      <c r="B56" s="275"/>
      <c r="C56" s="325"/>
      <c r="D56" s="325"/>
      <c r="E56" s="326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278"/>
      <c r="AB56" s="27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278"/>
      <c r="AZ56" s="275"/>
      <c r="BA56" s="325"/>
      <c r="BB56" s="325"/>
      <c r="BC56" s="325"/>
      <c r="BD56" s="325"/>
      <c r="BE56" s="325"/>
      <c r="BF56" s="325"/>
      <c r="BG56" s="325"/>
      <c r="BH56" s="278"/>
    </row>
    <row r="57" spans="2:60">
      <c r="E57" s="327"/>
    </row>
    <row r="58" spans="2:60">
      <c r="E58" s="327"/>
      <c r="G58" s="328"/>
      <c r="I58" s="328"/>
      <c r="K58" s="328"/>
      <c r="O58" s="328"/>
      <c r="Q58" s="328"/>
      <c r="S58" s="328"/>
      <c r="U58" s="328"/>
      <c r="W58" s="328"/>
    </row>
    <row r="59" spans="2:60">
      <c r="E59" s="327"/>
    </row>
    <row r="60" spans="2:60">
      <c r="E60" s="327"/>
    </row>
    <row r="61" spans="2:60">
      <c r="E61" s="327"/>
    </row>
    <row r="62" spans="2:60">
      <c r="E62" s="327"/>
    </row>
    <row r="63" spans="2:60">
      <c r="E63" s="327"/>
    </row>
    <row r="64" spans="2:60">
      <c r="E64" s="327"/>
    </row>
    <row r="65" spans="5:5">
      <c r="E65" s="327"/>
    </row>
    <row r="66" spans="5:5">
      <c r="E66" s="327"/>
    </row>
    <row r="67" spans="5:5">
      <c r="E67" s="327"/>
    </row>
    <row r="68" spans="5:5">
      <c r="E68" s="327"/>
    </row>
    <row r="69" spans="5:5">
      <c r="E69" s="327"/>
    </row>
    <row r="70" spans="5:5">
      <c r="E70" s="327"/>
    </row>
    <row r="71" spans="5:5">
      <c r="E71" s="327"/>
    </row>
    <row r="72" spans="5:5">
      <c r="E72" s="327"/>
    </row>
    <row r="73" spans="5:5">
      <c r="E73" s="327"/>
    </row>
    <row r="74" spans="5:5">
      <c r="E74" s="327"/>
    </row>
    <row r="75" spans="5:5">
      <c r="E75" s="327"/>
    </row>
    <row r="76" spans="5:5">
      <c r="E76" s="327"/>
    </row>
    <row r="77" spans="5:5">
      <c r="E77" s="327"/>
    </row>
    <row r="78" spans="5:5">
      <c r="E78" s="327"/>
    </row>
    <row r="79" spans="5:5">
      <c r="E79" s="327"/>
    </row>
    <row r="80" spans="5:5">
      <c r="E80" s="327"/>
    </row>
  </sheetData>
  <pageMargins left="0.25" right="0.25" top="0.25" bottom="0.75" header="0.3" footer="0.3"/>
  <pageSetup paperSize="5" scale="4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0"/>
  <sheetViews>
    <sheetView topLeftCell="A19" workbookViewId="0">
      <selection activeCell="A5" sqref="A5"/>
    </sheetView>
  </sheetViews>
  <sheetFormatPr defaultRowHeight="11.25"/>
  <cols>
    <col min="1" max="1" width="8.1640625" style="157" customWidth="1"/>
    <col min="2" max="2" width="4.1640625" style="157" customWidth="1"/>
    <col min="3" max="3" width="11" style="157" customWidth="1"/>
    <col min="4" max="4" width="4.83203125" style="157" customWidth="1"/>
    <col min="5" max="5" width="10.83203125" style="157" customWidth="1"/>
    <col min="6" max="6" width="4.33203125" style="157" customWidth="1"/>
    <col min="7" max="7" width="17.33203125" style="157" customWidth="1"/>
    <col min="8" max="8" width="2.83203125" style="157" customWidth="1"/>
    <col min="9" max="9" width="13.5" style="157" customWidth="1"/>
    <col min="10" max="10" width="2.83203125" style="157" customWidth="1"/>
    <col min="11" max="11" width="13.5" style="157" customWidth="1"/>
    <col min="12" max="12" width="2.83203125" style="157" customWidth="1"/>
    <col min="13" max="13" width="15.33203125" style="157" customWidth="1"/>
    <col min="14" max="14" width="2.83203125" style="157" customWidth="1"/>
    <col min="15" max="15" width="13.1640625" style="157" customWidth="1"/>
    <col min="16" max="16" width="2.83203125" style="157" customWidth="1"/>
    <col min="17" max="17" width="13.83203125" style="157" customWidth="1"/>
    <col min="18" max="18" width="3.1640625" style="157" customWidth="1"/>
    <col min="19" max="19" width="13.1640625" style="157" customWidth="1"/>
    <col min="20" max="20" width="2.83203125" style="157" customWidth="1"/>
    <col min="21" max="21" width="15.1640625" style="157" customWidth="1"/>
    <col min="22" max="22" width="2.83203125" style="157" customWidth="1"/>
    <col min="23" max="23" width="14.1640625" style="157" customWidth="1"/>
    <col min="24" max="24" width="2.83203125" style="157" customWidth="1"/>
    <col min="25" max="25" width="14.6640625" style="157" customWidth="1"/>
    <col min="26" max="26" width="2.83203125" style="157" customWidth="1"/>
    <col min="27" max="27" width="2.6640625" style="157" customWidth="1"/>
    <col min="28" max="28" width="7.83203125" style="157" customWidth="1"/>
    <col min="29" max="29" width="3" style="157" customWidth="1"/>
    <col min="30" max="30" width="13" style="157" bestFit="1" customWidth="1"/>
    <col min="31" max="31" width="3.1640625" style="157" customWidth="1"/>
    <col min="32" max="32" width="12.1640625" style="157" customWidth="1"/>
    <col min="33" max="33" width="2.33203125" style="157" customWidth="1"/>
    <col min="34" max="34" width="14.5" style="157" customWidth="1"/>
    <col min="35" max="35" width="2.83203125" style="157" customWidth="1"/>
    <col min="36" max="36" width="13.1640625" style="157" customWidth="1"/>
    <col min="37" max="37" width="2.33203125" style="157" customWidth="1"/>
    <col min="38" max="38" width="13.6640625" style="157" customWidth="1"/>
    <col min="39" max="39" width="1.5" style="157" customWidth="1"/>
    <col min="40" max="40" width="9.33203125" style="157"/>
    <col min="41" max="41" width="1.33203125" style="157" customWidth="1"/>
    <col min="42" max="42" width="11.33203125" style="157" customWidth="1"/>
    <col min="43" max="43" width="2.5" style="157" customWidth="1"/>
    <col min="44" max="44" width="12.6640625" style="157" customWidth="1"/>
    <col min="45" max="45" width="4" style="157" customWidth="1"/>
    <col min="46" max="46" width="10.1640625" style="157" customWidth="1"/>
    <col min="47" max="47" width="3.33203125" style="157" customWidth="1"/>
    <col min="48" max="48" width="12" style="157" customWidth="1"/>
    <col min="49" max="49" width="1.5" style="157" customWidth="1"/>
    <col min="50" max="50" width="11.33203125" style="157" customWidth="1"/>
    <col min="51" max="51" width="1.83203125" style="157" customWidth="1"/>
    <col min="52" max="52" width="9.33203125" style="157"/>
    <col min="53" max="53" width="2.83203125" style="157" customWidth="1"/>
    <col min="54" max="54" width="9.33203125" style="157"/>
    <col min="55" max="55" width="4" style="157" customWidth="1"/>
    <col min="56" max="56" width="9.33203125" style="157"/>
    <col min="57" max="57" width="2.83203125" style="157" customWidth="1"/>
    <col min="58" max="58" width="10.5" style="157" bestFit="1" customWidth="1"/>
    <col min="59" max="59" width="2.33203125" style="157" customWidth="1"/>
    <col min="60" max="16384" width="9.33203125" style="157"/>
  </cols>
  <sheetData>
    <row r="1" spans="1:57" s="264" customFormat="1">
      <c r="A1" s="264" t="s">
        <v>0</v>
      </c>
    </row>
    <row r="2" spans="1:57" s="264" customFormat="1">
      <c r="A2" s="264" t="s">
        <v>162</v>
      </c>
    </row>
    <row r="3" spans="1:57" s="264" customFormat="1">
      <c r="A3" s="264" t="s">
        <v>1</v>
      </c>
    </row>
    <row r="4" spans="1:57" s="264" customFormat="1"/>
    <row r="5" spans="1:57" s="264" customFormat="1">
      <c r="A5" s="264" t="s">
        <v>157</v>
      </c>
    </row>
    <row r="8" spans="1:57">
      <c r="B8" s="280"/>
      <c r="C8" s="281" t="s">
        <v>109</v>
      </c>
      <c r="D8" s="281"/>
      <c r="E8" s="281"/>
      <c r="F8" s="282"/>
      <c r="G8" s="281"/>
      <c r="H8" s="283"/>
      <c r="AB8" s="284" t="s">
        <v>110</v>
      </c>
      <c r="AC8" s="285"/>
      <c r="AD8" s="285"/>
      <c r="AE8" s="285"/>
      <c r="AF8" s="285"/>
      <c r="AG8" s="285"/>
      <c r="AH8" s="285"/>
      <c r="AI8" s="285"/>
      <c r="AJ8" s="285"/>
      <c r="AK8" s="286"/>
      <c r="AZ8" s="284" t="s">
        <v>111</v>
      </c>
      <c r="BA8" s="285"/>
      <c r="BB8" s="285"/>
      <c r="BC8" s="285"/>
      <c r="BD8" s="285"/>
      <c r="BE8" s="286"/>
    </row>
    <row r="9" spans="1:57" ht="12">
      <c r="B9" s="287"/>
      <c r="C9" s="288"/>
      <c r="D9" s="288"/>
      <c r="E9" s="288"/>
      <c r="F9" s="288"/>
      <c r="G9" s="288"/>
      <c r="H9" s="289"/>
      <c r="J9" s="290"/>
      <c r="AB9" s="137"/>
      <c r="AC9" s="138"/>
      <c r="AD9" s="138"/>
      <c r="AE9" s="138"/>
      <c r="AF9" s="139"/>
      <c r="AG9" s="138"/>
      <c r="AH9" s="138"/>
      <c r="AI9" s="138"/>
      <c r="AJ9" s="140"/>
      <c r="AK9" s="141"/>
      <c r="AZ9" s="137"/>
      <c r="BA9" s="138"/>
      <c r="BB9" s="138"/>
      <c r="BC9" s="138"/>
      <c r="BD9" s="139"/>
      <c r="BE9" s="142"/>
    </row>
    <row r="10" spans="1:57" ht="12">
      <c r="B10" s="291"/>
      <c r="C10" s="292" t="s">
        <v>112</v>
      </c>
      <c r="D10" s="292"/>
      <c r="E10" s="292"/>
      <c r="F10" s="292"/>
      <c r="G10" s="293" t="s">
        <v>34</v>
      </c>
      <c r="H10" s="294"/>
      <c r="AB10" s="143"/>
      <c r="AC10" s="144"/>
      <c r="AD10" s="144"/>
      <c r="AE10" s="144"/>
      <c r="AF10" s="145"/>
      <c r="AG10" s="146"/>
      <c r="AH10" s="147"/>
      <c r="AI10" s="148"/>
      <c r="AJ10" s="4"/>
      <c r="AK10" s="271"/>
      <c r="AZ10" s="143"/>
      <c r="BA10" s="144"/>
      <c r="BB10" s="144"/>
      <c r="BC10" s="144"/>
      <c r="BD10" s="145"/>
      <c r="BE10" s="149"/>
    </row>
    <row r="11" spans="1:57" ht="12">
      <c r="B11" s="291"/>
      <c r="C11" s="292" t="s">
        <v>41</v>
      </c>
      <c r="D11" s="292"/>
      <c r="E11" s="292"/>
      <c r="F11" s="292"/>
      <c r="G11" s="293">
        <v>140.4</v>
      </c>
      <c r="H11" s="294"/>
      <c r="AB11" s="143" t="s">
        <v>113</v>
      </c>
      <c r="AC11" s="144"/>
      <c r="AD11" s="144"/>
      <c r="AE11" s="144"/>
      <c r="AF11" s="155">
        <f>+G11*(G12/AJ16)</f>
        <v>92.238999866869378</v>
      </c>
      <c r="AG11" s="148"/>
      <c r="AH11" s="144" t="s">
        <v>114</v>
      </c>
      <c r="AI11" s="145"/>
      <c r="AJ11" s="150">
        <v>7.9126910299003335</v>
      </c>
      <c r="AK11" s="271"/>
      <c r="AZ11" s="143" t="s">
        <v>113</v>
      </c>
      <c r="BA11" s="144"/>
      <c r="BB11" s="144"/>
      <c r="BC11" s="144"/>
      <c r="BD11" s="155">
        <f>(AF11*AF13-G11*G19)</f>
        <v>85.686999866869371</v>
      </c>
      <c r="BE11" s="151"/>
    </row>
    <row r="12" spans="1:57" ht="12">
      <c r="B12" s="291"/>
      <c r="C12" s="292" t="s">
        <v>42</v>
      </c>
      <c r="D12" s="292"/>
      <c r="E12" s="292"/>
      <c r="F12" s="292"/>
      <c r="G12" s="296">
        <v>0.3198868874996067</v>
      </c>
      <c r="H12" s="294"/>
      <c r="AB12" s="143" t="s">
        <v>42</v>
      </c>
      <c r="AC12" s="144"/>
      <c r="AD12" s="144"/>
      <c r="AE12" s="144"/>
      <c r="AF12" s="152">
        <f>+AD54/8760/AF11</f>
        <v>0.48691622634129728</v>
      </c>
      <c r="AG12" s="148"/>
      <c r="AH12" s="138" t="s">
        <v>115</v>
      </c>
      <c r="AI12" s="139"/>
      <c r="AJ12" s="138">
        <v>2006</v>
      </c>
      <c r="AK12" s="271"/>
      <c r="AZ12" s="143"/>
      <c r="BA12" s="144"/>
      <c r="BB12" s="144"/>
      <c r="BC12" s="144"/>
      <c r="BD12" s="152"/>
      <c r="BE12" s="153"/>
    </row>
    <row r="13" spans="1:57" ht="12">
      <c r="B13" s="291"/>
      <c r="C13" s="292" t="s">
        <v>43</v>
      </c>
      <c r="D13" s="292"/>
      <c r="E13" s="292"/>
      <c r="F13" s="292"/>
      <c r="G13" s="293">
        <v>2007</v>
      </c>
      <c r="H13" s="294"/>
      <c r="AB13" s="143" t="s">
        <v>116</v>
      </c>
      <c r="AC13" s="144"/>
      <c r="AD13" s="144"/>
      <c r="AE13" s="144"/>
      <c r="AF13" s="154">
        <v>1</v>
      </c>
      <c r="AG13" s="148"/>
      <c r="AH13" s="138" t="s">
        <v>117</v>
      </c>
      <c r="AI13" s="139"/>
      <c r="AJ13" s="150">
        <v>2.2243013100436677</v>
      </c>
      <c r="AK13" s="271"/>
      <c r="AZ13" s="143" t="s">
        <v>116</v>
      </c>
      <c r="BA13" s="144"/>
      <c r="BB13" s="144"/>
      <c r="BC13" s="144"/>
      <c r="BD13" s="154">
        <v>1</v>
      </c>
      <c r="BE13" s="153"/>
    </row>
    <row r="14" spans="1:57" ht="12">
      <c r="B14" s="291"/>
      <c r="C14" s="292" t="s">
        <v>44</v>
      </c>
      <c r="D14" s="292"/>
      <c r="E14" s="292"/>
      <c r="F14" s="292"/>
      <c r="G14" s="293">
        <v>25</v>
      </c>
      <c r="H14" s="294"/>
      <c r="AB14" s="143" t="s">
        <v>118</v>
      </c>
      <c r="AC14" s="144"/>
      <c r="AD14" s="144"/>
      <c r="AE14" s="144"/>
      <c r="AF14" s="155">
        <v>7266.0213306432961</v>
      </c>
      <c r="AG14" s="148"/>
      <c r="AH14" s="138"/>
      <c r="AI14" s="139"/>
      <c r="AJ14" s="150"/>
      <c r="AK14" s="271"/>
      <c r="AZ14" s="143" t="s">
        <v>119</v>
      </c>
      <c r="BA14" s="144"/>
      <c r="BB14" s="144"/>
      <c r="BC14" s="144"/>
      <c r="BD14" s="156">
        <v>454</v>
      </c>
      <c r="BE14" s="153"/>
    </row>
    <row r="15" spans="1:57" ht="12">
      <c r="A15" s="157" t="s">
        <v>120</v>
      </c>
      <c r="B15" s="291"/>
      <c r="C15" s="292" t="s">
        <v>121</v>
      </c>
      <c r="D15" s="292"/>
      <c r="E15" s="292"/>
      <c r="F15" s="292"/>
      <c r="G15" s="297">
        <v>181.53437359001532</v>
      </c>
      <c r="H15" s="294"/>
      <c r="AB15" s="143" t="s">
        <v>119</v>
      </c>
      <c r="AC15" s="144"/>
      <c r="AD15" s="144"/>
      <c r="AE15" s="144"/>
      <c r="AF15" s="156">
        <v>651.09966777408636</v>
      </c>
      <c r="AG15" s="148"/>
      <c r="AH15" s="138" t="s">
        <v>160</v>
      </c>
      <c r="AI15" s="139"/>
      <c r="AJ15" s="150">
        <v>2.302423580786026</v>
      </c>
      <c r="AK15" s="271"/>
      <c r="AZ15" s="143" t="s">
        <v>122</v>
      </c>
      <c r="BA15" s="144"/>
      <c r="BB15" s="144"/>
      <c r="BC15" s="144"/>
      <c r="BD15" s="158">
        <v>8.3299999999999999E-2</v>
      </c>
      <c r="BE15" s="153"/>
    </row>
    <row r="16" spans="1:57" ht="12">
      <c r="A16" s="157" t="s">
        <v>120</v>
      </c>
      <c r="B16" s="291"/>
      <c r="C16" s="292" t="s">
        <v>123</v>
      </c>
      <c r="D16" s="292"/>
      <c r="E16" s="292"/>
      <c r="F16" s="292"/>
      <c r="G16" s="297">
        <v>16.892584357750504</v>
      </c>
      <c r="H16" s="294"/>
      <c r="AB16" s="143" t="s">
        <v>122</v>
      </c>
      <c r="AC16" s="144"/>
      <c r="AD16" s="144"/>
      <c r="AE16" s="144"/>
      <c r="AF16" s="158">
        <v>8.6199999999999999E-2</v>
      </c>
      <c r="AG16" s="148"/>
      <c r="AH16" s="138" t="s">
        <v>124</v>
      </c>
      <c r="AI16" s="145"/>
      <c r="AJ16" s="159">
        <v>0.48691029900332239</v>
      </c>
      <c r="AK16" s="271"/>
      <c r="AZ16" s="143" t="s">
        <v>114</v>
      </c>
      <c r="BA16" s="145"/>
      <c r="BB16" s="150">
        <v>5.75</v>
      </c>
      <c r="BC16" s="4"/>
      <c r="BD16" s="4"/>
      <c r="BE16" s="151"/>
    </row>
    <row r="17" spans="1:60" ht="12">
      <c r="A17" s="157" t="s">
        <v>120</v>
      </c>
      <c r="B17" s="291"/>
      <c r="C17" s="292" t="s">
        <v>125</v>
      </c>
      <c r="D17" s="292"/>
      <c r="E17" s="292"/>
      <c r="F17" s="292"/>
      <c r="G17" s="297">
        <v>0</v>
      </c>
      <c r="H17" s="294"/>
      <c r="AB17" s="3"/>
      <c r="AG17" s="148"/>
      <c r="AH17" s="4"/>
      <c r="AI17" s="148"/>
      <c r="AJ17" s="144"/>
      <c r="AK17" s="151"/>
      <c r="AZ17" s="137" t="s">
        <v>115</v>
      </c>
      <c r="BA17" s="139"/>
      <c r="BB17" s="138">
        <v>2006</v>
      </c>
      <c r="BC17" s="4"/>
      <c r="BD17" s="4"/>
      <c r="BE17" s="149"/>
    </row>
    <row r="18" spans="1:60" ht="12">
      <c r="B18" s="291"/>
      <c r="C18" s="292" t="s">
        <v>126</v>
      </c>
      <c r="D18" s="292"/>
      <c r="E18" s="292"/>
      <c r="F18" s="292"/>
      <c r="G18" s="296">
        <v>7.125514275E-2</v>
      </c>
      <c r="H18" s="29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2"/>
      <c r="AZ18" s="160"/>
      <c r="BA18" s="161"/>
      <c r="BB18" s="161"/>
      <c r="BC18" s="161"/>
      <c r="BD18" s="161"/>
      <c r="BE18" s="163"/>
    </row>
    <row r="19" spans="1:60">
      <c r="B19" s="298"/>
      <c r="C19" s="299" t="s">
        <v>116</v>
      </c>
      <c r="D19" s="299"/>
      <c r="E19" s="299"/>
      <c r="F19" s="299"/>
      <c r="G19" s="300">
        <f>14/300</f>
        <v>4.6666666666666669E-2</v>
      </c>
      <c r="H19" s="301"/>
      <c r="I19" s="157" t="s">
        <v>127</v>
      </c>
    </row>
    <row r="20" spans="1:60">
      <c r="B20" s="264"/>
      <c r="C20" s="264"/>
      <c r="D20" s="264"/>
      <c r="E20" s="264"/>
      <c r="F20" s="264"/>
      <c r="G20" s="264"/>
      <c r="H20" s="264"/>
    </row>
    <row r="23" spans="1:60">
      <c r="B23" s="284"/>
      <c r="C23" s="302" t="s">
        <v>128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3"/>
      <c r="AB23" s="284" t="s">
        <v>110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6"/>
      <c r="AZ23" s="284" t="s">
        <v>111</v>
      </c>
      <c r="BA23" s="285"/>
      <c r="BB23" s="285"/>
      <c r="BC23" s="285"/>
      <c r="BD23" s="285"/>
      <c r="BE23" s="285"/>
      <c r="BF23" s="285"/>
      <c r="BG23" s="285"/>
      <c r="BH23" s="286"/>
    </row>
    <row r="24" spans="1:60">
      <c r="B24" s="3"/>
      <c r="C24" s="4"/>
      <c r="D24" s="4"/>
      <c r="E24" s="4"/>
      <c r="F24" s="4"/>
      <c r="G24" s="304"/>
      <c r="H24" s="4"/>
      <c r="I24" s="304"/>
      <c r="J24" s="4"/>
      <c r="K24" s="304"/>
      <c r="L24" s="4"/>
      <c r="M24" s="4"/>
      <c r="N24" s="4"/>
      <c r="O24" s="304"/>
      <c r="P24" s="4"/>
      <c r="Q24" s="304"/>
      <c r="R24" s="4"/>
      <c r="S24" s="304"/>
      <c r="T24" s="4"/>
      <c r="U24" s="304"/>
      <c r="V24" s="4"/>
      <c r="W24" s="304"/>
      <c r="X24" s="4"/>
      <c r="Y24" s="304"/>
      <c r="Z24" s="271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71"/>
      <c r="AZ24" s="3"/>
      <c r="BA24" s="4"/>
      <c r="BB24" s="4"/>
      <c r="BC24" s="4"/>
      <c r="BD24" s="4"/>
      <c r="BE24" s="4"/>
      <c r="BF24" s="4"/>
      <c r="BG24" s="4"/>
      <c r="BH24" s="271"/>
    </row>
    <row r="25" spans="1:60" ht="60">
      <c r="B25" s="3"/>
      <c r="C25" s="4"/>
      <c r="D25" s="4"/>
      <c r="E25" s="304"/>
      <c r="F25" s="4"/>
      <c r="G25" s="305" t="s">
        <v>129</v>
      </c>
      <c r="H25" s="4"/>
      <c r="I25" s="305" t="s">
        <v>130</v>
      </c>
      <c r="J25" s="4"/>
      <c r="K25" s="305" t="s">
        <v>131</v>
      </c>
      <c r="L25" s="4"/>
      <c r="M25" s="305" t="s">
        <v>125</v>
      </c>
      <c r="N25" s="4"/>
      <c r="O25" s="305" t="s">
        <v>132</v>
      </c>
      <c r="P25" s="4"/>
      <c r="Q25" s="305" t="s">
        <v>133</v>
      </c>
      <c r="R25" s="4"/>
      <c r="S25" s="305" t="s">
        <v>30</v>
      </c>
      <c r="T25" s="4"/>
      <c r="U25" s="305" t="s">
        <v>134</v>
      </c>
      <c r="V25" s="4"/>
      <c r="W25" s="305" t="s">
        <v>135</v>
      </c>
      <c r="X25" s="270"/>
      <c r="Y25" s="305" t="s">
        <v>135</v>
      </c>
      <c r="Z25" s="271"/>
      <c r="AB25" s="164"/>
      <c r="AC25" s="139"/>
      <c r="AD25" s="306" t="s">
        <v>129</v>
      </c>
      <c r="AE25" s="4"/>
      <c r="AF25" s="165" t="s">
        <v>136</v>
      </c>
      <c r="AG25" s="166"/>
      <c r="AH25" s="165" t="s">
        <v>137</v>
      </c>
      <c r="AI25" s="4"/>
      <c r="AJ25" s="165" t="s">
        <v>138</v>
      </c>
      <c r="AK25" s="4"/>
      <c r="AL25" s="165" t="s">
        <v>139</v>
      </c>
      <c r="AM25" s="4"/>
      <c r="AN25" s="165" t="s">
        <v>140</v>
      </c>
      <c r="AO25" s="4"/>
      <c r="AP25" s="165" t="s">
        <v>140</v>
      </c>
      <c r="AQ25" s="4"/>
      <c r="AR25" s="165" t="s">
        <v>160</v>
      </c>
      <c r="AS25" s="165"/>
      <c r="AT25" s="165" t="s">
        <v>141</v>
      </c>
      <c r="AU25" s="4"/>
      <c r="AV25" s="165" t="s">
        <v>142</v>
      </c>
      <c r="AW25" s="4"/>
      <c r="AX25" s="307" t="s">
        <v>143</v>
      </c>
      <c r="AZ25" s="164"/>
      <c r="BA25" s="139"/>
      <c r="BB25" s="165" t="s">
        <v>136</v>
      </c>
      <c r="BC25" s="4"/>
      <c r="BD25" s="165" t="s">
        <v>137</v>
      </c>
      <c r="BE25" s="4"/>
      <c r="BF25" s="165" t="s">
        <v>139</v>
      </c>
      <c r="BG25" s="4"/>
      <c r="BH25" s="167"/>
    </row>
    <row r="26" spans="1:60" ht="22.5">
      <c r="B26" s="3"/>
      <c r="C26" s="308" t="s">
        <v>144</v>
      </c>
      <c r="D26" s="4"/>
      <c r="E26" s="305" t="s">
        <v>145</v>
      </c>
      <c r="F26" s="4"/>
      <c r="G26" s="304" t="s">
        <v>146</v>
      </c>
      <c r="H26" s="4"/>
      <c r="I26" s="304" t="s">
        <v>147</v>
      </c>
      <c r="J26" s="4"/>
      <c r="K26" s="304" t="str">
        <f>"($/MWH)"</f>
        <v>($/MWH)</v>
      </c>
      <c r="L26" s="4"/>
      <c r="M26" s="304" t="str">
        <f>"($/MWH)"</f>
        <v>($/MWH)</v>
      </c>
      <c r="N26" s="4"/>
      <c r="O26" s="304" t="str">
        <f>"($/MWH)"</f>
        <v>($/MWH)</v>
      </c>
      <c r="P26" s="4"/>
      <c r="Q26" s="304" t="str">
        <f>"($/MWH)"</f>
        <v>($/MWH)</v>
      </c>
      <c r="R26" s="4"/>
      <c r="S26" s="304" t="str">
        <f>"($000)"</f>
        <v>($000)</v>
      </c>
      <c r="T26" s="4"/>
      <c r="U26" s="304" t="str">
        <f>"($000)"</f>
        <v>($000)</v>
      </c>
      <c r="V26" s="4"/>
      <c r="W26" s="304" t="str">
        <f>"($000)"</f>
        <v>($000)</v>
      </c>
      <c r="X26" s="270"/>
      <c r="Y26" s="304" t="s">
        <v>148</v>
      </c>
      <c r="Z26" s="271"/>
      <c r="AB26" s="168" t="s">
        <v>90</v>
      </c>
      <c r="AC26" s="139"/>
      <c r="AD26" s="4" t="s">
        <v>146</v>
      </c>
      <c r="AE26" s="4"/>
      <c r="AF26" s="166" t="s">
        <v>147</v>
      </c>
      <c r="AG26" s="166"/>
      <c r="AH26" s="166" t="s">
        <v>147</v>
      </c>
      <c r="AI26" s="4"/>
      <c r="AJ26" s="166" t="s">
        <v>149</v>
      </c>
      <c r="AK26" s="4"/>
      <c r="AL26" s="166" t="s">
        <v>150</v>
      </c>
      <c r="AM26" s="4"/>
      <c r="AN26" s="166" t="s">
        <v>151</v>
      </c>
      <c r="AO26" s="4"/>
      <c r="AP26" s="166" t="s">
        <v>149</v>
      </c>
      <c r="AQ26" s="4"/>
      <c r="AR26" s="166" t="s">
        <v>149</v>
      </c>
      <c r="AS26" s="166"/>
      <c r="AT26" s="166" t="s">
        <v>150</v>
      </c>
      <c r="AU26" s="4"/>
      <c r="AV26" s="166" t="s">
        <v>150</v>
      </c>
      <c r="AW26" s="4"/>
      <c r="AX26" s="169" t="s">
        <v>150</v>
      </c>
      <c r="AZ26" s="168" t="s">
        <v>90</v>
      </c>
      <c r="BA26" s="139"/>
      <c r="BB26" s="166" t="s">
        <v>147</v>
      </c>
      <c r="BC26" s="4"/>
      <c r="BD26" s="166" t="s">
        <v>147</v>
      </c>
      <c r="BE26" s="4"/>
      <c r="BF26" s="166" t="s">
        <v>150</v>
      </c>
      <c r="BG26" s="4"/>
      <c r="BH26" s="169"/>
    </row>
    <row r="27" spans="1:60" ht="12">
      <c r="B27" s="3"/>
      <c r="C27" s="309" t="s">
        <v>48</v>
      </c>
      <c r="D27" s="4"/>
      <c r="E27" s="309" t="s">
        <v>48</v>
      </c>
      <c r="F27" s="4"/>
      <c r="G27" s="309" t="s">
        <v>48</v>
      </c>
      <c r="H27" s="4"/>
      <c r="I27" s="309" t="s">
        <v>48</v>
      </c>
      <c r="J27" s="4"/>
      <c r="K27" s="309" t="s">
        <v>48</v>
      </c>
      <c r="L27" s="4"/>
      <c r="M27" s="309" t="s">
        <v>48</v>
      </c>
      <c r="N27" s="4"/>
      <c r="O27" s="309" t="s">
        <v>48</v>
      </c>
      <c r="P27" s="4"/>
      <c r="Q27" s="309" t="s">
        <v>48</v>
      </c>
      <c r="R27" s="4"/>
      <c r="S27" s="309" t="s">
        <v>48</v>
      </c>
      <c r="T27" s="4"/>
      <c r="U27" s="309" t="s">
        <v>48</v>
      </c>
      <c r="V27" s="4"/>
      <c r="W27" s="309" t="s">
        <v>48</v>
      </c>
      <c r="X27" s="4"/>
      <c r="Y27" s="309" t="s">
        <v>48</v>
      </c>
      <c r="Z27" s="271"/>
      <c r="AB27" s="170" t="s">
        <v>48</v>
      </c>
      <c r="AC27" s="139"/>
      <c r="AD27" s="171" t="s">
        <v>48</v>
      </c>
      <c r="AE27" s="4"/>
      <c r="AF27" s="171" t="s">
        <v>48</v>
      </c>
      <c r="AG27" s="4"/>
      <c r="AH27" s="171" t="s">
        <v>48</v>
      </c>
      <c r="AI27" s="4"/>
      <c r="AJ27" s="171" t="s">
        <v>48</v>
      </c>
      <c r="AK27" s="4"/>
      <c r="AL27" s="171" t="s">
        <v>48</v>
      </c>
      <c r="AM27" s="4"/>
      <c r="AN27" s="171" t="s">
        <v>48</v>
      </c>
      <c r="AO27" s="310"/>
      <c r="AP27" s="171" t="s">
        <v>48</v>
      </c>
      <c r="AQ27" s="310"/>
      <c r="AR27" s="171" t="s">
        <v>48</v>
      </c>
      <c r="AS27" s="171"/>
      <c r="AT27" s="171"/>
      <c r="AU27" s="310"/>
      <c r="AV27" s="171" t="s">
        <v>48</v>
      </c>
      <c r="AW27" s="4"/>
      <c r="AX27" s="172" t="s">
        <v>48</v>
      </c>
      <c r="AZ27" s="170" t="s">
        <v>48</v>
      </c>
      <c r="BA27" s="139"/>
      <c r="BB27" s="171" t="s">
        <v>48</v>
      </c>
      <c r="BC27" s="4"/>
      <c r="BD27" s="171" t="s">
        <v>48</v>
      </c>
      <c r="BE27" s="4"/>
      <c r="BF27" s="171" t="s">
        <v>48</v>
      </c>
      <c r="BG27" s="4"/>
      <c r="BH27" s="172"/>
    </row>
    <row r="28" spans="1:60" ht="12">
      <c r="B28" s="3"/>
      <c r="C28" s="7">
        <f>+G13</f>
        <v>2007</v>
      </c>
      <c r="D28" s="7"/>
      <c r="E28" s="311">
        <v>1.9E-2</v>
      </c>
      <c r="F28" s="7"/>
      <c r="G28" s="23">
        <f>G30</f>
        <v>393129.55527784419</v>
      </c>
      <c r="H28" s="7"/>
      <c r="I28" s="312">
        <f>$G$15</f>
        <v>181.53437359001532</v>
      </c>
      <c r="J28" s="312"/>
      <c r="K28" s="312">
        <f>$G$16</f>
        <v>16.892584357750504</v>
      </c>
      <c r="L28" s="313"/>
      <c r="M28" s="312">
        <f>$G$17</f>
        <v>0</v>
      </c>
      <c r="N28" s="7"/>
      <c r="O28" s="314">
        <v>5.0999999999999996</v>
      </c>
      <c r="P28" s="7"/>
      <c r="Q28" s="30">
        <v>-31.863781128122483</v>
      </c>
      <c r="R28" s="7"/>
      <c r="S28" s="23">
        <f>(I28*$G$11*1000+(K28+M28+O28+Q28)*G28)/1000</f>
        <v>21606.766855641723</v>
      </c>
      <c r="T28" s="7"/>
      <c r="U28" s="23">
        <f t="shared" ref="U28:U52" si="0">AX28</f>
        <v>26955.432246399381</v>
      </c>
      <c r="V28" s="7"/>
      <c r="W28" s="23">
        <f t="shared" ref="W28:W52" si="1">S28-U28</f>
        <v>-5348.6653907576583</v>
      </c>
      <c r="X28" s="7"/>
      <c r="Y28" s="315">
        <f>+W28*1000/G28</f>
        <v>-13.605350498202789</v>
      </c>
      <c r="Z28" s="271"/>
      <c r="AB28" s="168">
        <f>$C$28</f>
        <v>2007</v>
      </c>
      <c r="AC28" s="138"/>
      <c r="AD28" s="173">
        <f t="shared" ref="AD28:AD52" si="2">G28</f>
        <v>393129.55527784419</v>
      </c>
      <c r="AE28" s="4"/>
      <c r="AF28" s="174">
        <v>57.078912815282386</v>
      </c>
      <c r="AG28" s="316"/>
      <c r="AH28" s="174">
        <v>8.047206777408638</v>
      </c>
      <c r="AI28" s="316"/>
      <c r="AJ28" s="174">
        <v>2.26211443231441</v>
      </c>
      <c r="AK28" s="317"/>
      <c r="AL28" s="175">
        <f>((AF28+AH28)*$AF$11*1000+AJ28*AD28)/1000</f>
        <v>6896.4721772033035</v>
      </c>
      <c r="AM28" s="4"/>
      <c r="AN28" s="176">
        <f>INDEX('(2.2)_Forward_Price_Curve'!$G:$G,MATCH($AB28,'(2.2)_Forward_Price_Curve'!$C:$C,0),1)</f>
        <v>8.0291312655031408</v>
      </c>
      <c r="AO28" s="329"/>
      <c r="AP28" s="176">
        <f>AN28*$AF$14/1000</f>
        <v>58.339839041680825</v>
      </c>
      <c r="AQ28" s="316"/>
      <c r="AR28" s="174">
        <v>2.3415647816593883</v>
      </c>
      <c r="AS28" s="174"/>
      <c r="AT28" s="175">
        <f t="shared" ref="AT28:AT52" si="3">AL28-BF28</f>
        <v>3099.7789476943708</v>
      </c>
      <c r="AU28" s="317"/>
      <c r="AV28" s="175">
        <f t="shared" ref="AV28:AV52" si="4">(AP28+AR28)*AD28/1000</f>
        <v>23855.653298705012</v>
      </c>
      <c r="AW28" s="318"/>
      <c r="AX28" s="177">
        <f>AT28+AV28</f>
        <v>26955.432246399381</v>
      </c>
      <c r="AZ28" s="168">
        <f>$C$28</f>
        <v>2007</v>
      </c>
      <c r="BA28" s="138"/>
      <c r="BB28" s="174">
        <v>38.461109399999991</v>
      </c>
      <c r="BC28" s="4"/>
      <c r="BD28" s="174">
        <v>5.8477499999999996</v>
      </c>
      <c r="BE28" s="316"/>
      <c r="BF28" s="175">
        <f>(BB28+BD28)*$BD$11</f>
        <v>3796.6932295089327</v>
      </c>
      <c r="BG28" s="316"/>
      <c r="BH28" s="178"/>
    </row>
    <row r="29" spans="1:60" ht="12">
      <c r="B29" s="3"/>
      <c r="C29" s="7">
        <f>+IF(C28&gt;$G$13+$G$14,XX,C28+1)</f>
        <v>2008</v>
      </c>
      <c r="D29" s="7"/>
      <c r="E29" s="311">
        <v>1.7000000000000001E-2</v>
      </c>
      <c r="F29" s="7"/>
      <c r="G29" s="23">
        <v>394331.98409973102</v>
      </c>
      <c r="H29" s="7"/>
      <c r="I29" s="30">
        <f>I28*(1+$E29)</f>
        <v>184.62045794104557</v>
      </c>
      <c r="J29" s="7"/>
      <c r="K29" s="30">
        <f>K28*(1+$E29)</f>
        <v>17.179758291832261</v>
      </c>
      <c r="L29" s="7"/>
      <c r="M29" s="30">
        <f>M28*(1+$E29)</f>
        <v>0</v>
      </c>
      <c r="N29" s="7"/>
      <c r="O29" s="314">
        <v>5.1866999999999992</v>
      </c>
      <c r="P29" s="7"/>
      <c r="Q29" s="30">
        <v>-32.504243128797739</v>
      </c>
      <c r="R29" s="7"/>
      <c r="S29" s="23">
        <f t="shared" ref="S29:S52" si="5">(I29*$G$11*1000+(K29+M29+O29+Q29)*G29)/1000</f>
        <v>21923.059485786031</v>
      </c>
      <c r="T29" s="7"/>
      <c r="U29" s="23">
        <f t="shared" si="0"/>
        <v>26932.197107201151</v>
      </c>
      <c r="V29" s="7"/>
      <c r="W29" s="23">
        <f t="shared" si="1"/>
        <v>-5009.1376214151205</v>
      </c>
      <c r="X29" s="7"/>
      <c r="Y29" s="315">
        <f t="shared" ref="Y29:Y52" si="6">+W29*1000/G29</f>
        <v>-12.702843855922813</v>
      </c>
      <c r="Z29" s="271"/>
      <c r="AB29" s="168">
        <f>+IF(AB28&gt;$G$13+$G$14,XX,AB28+1)</f>
        <v>2008</v>
      </c>
      <c r="AC29" s="138"/>
      <c r="AD29" s="173">
        <f t="shared" si="2"/>
        <v>394331.98409973102</v>
      </c>
      <c r="AE29" s="4"/>
      <c r="AF29" s="176">
        <f>AF28*(1+$E29)</f>
        <v>58.04925433314218</v>
      </c>
      <c r="AG29" s="4"/>
      <c r="AH29" s="176">
        <f>AH28*(1+$E29)</f>
        <v>8.1840092926245838</v>
      </c>
      <c r="AI29" s="4"/>
      <c r="AJ29" s="176">
        <f>AJ28*(1+$E29)</f>
        <v>2.3005703776637549</v>
      </c>
      <c r="AK29" s="4"/>
      <c r="AL29" s="175">
        <f t="shared" ref="AL29:AL52" si="7">((AF29+AH29)*$AF$11*1000+AJ29*AD29)/1000</f>
        <v>7016.4784763446414</v>
      </c>
      <c r="AM29" s="4"/>
      <c r="AN29" s="176">
        <f>INDEX('(2.2)_Forward_Price_Curve'!$G:$G,MATCH($AB29,'(2.2)_Forward_Price_Curve'!$C:$C,0),1)</f>
        <v>7.9707205782722266</v>
      </c>
      <c r="AO29" s="4"/>
      <c r="AP29" s="176">
        <f t="shared" ref="AP29:AP52" si="8">AN29*$AF$14/1000</f>
        <v>57.915425742323464</v>
      </c>
      <c r="AQ29" s="4"/>
      <c r="AR29" s="176">
        <f>AR28*(1+$E29)</f>
        <v>2.3813713829475978</v>
      </c>
      <c r="AS29" s="176"/>
      <c r="AT29" s="175">
        <f t="shared" si="3"/>
        <v>3155.241461934057</v>
      </c>
      <c r="AU29" s="4"/>
      <c r="AV29" s="175">
        <f t="shared" si="4"/>
        <v>23776.955645267095</v>
      </c>
      <c r="AW29" s="318"/>
      <c r="AX29" s="177">
        <f t="shared" ref="AX29:AX52" si="9">AT29+AV29</f>
        <v>26932.197107201151</v>
      </c>
      <c r="AZ29" s="168">
        <f>+IF(AZ28&gt;$G$13+$G$14,XX,AZ28+1)</f>
        <v>2008</v>
      </c>
      <c r="BA29" s="138"/>
      <c r="BB29" s="176">
        <f>BB28*(1+$E29)</f>
        <v>39.114948259799988</v>
      </c>
      <c r="BC29" s="4"/>
      <c r="BD29" s="176">
        <f>BD28*(1+$E29)</f>
        <v>5.9471617499999994</v>
      </c>
      <c r="BE29" s="4"/>
      <c r="BF29" s="175">
        <f t="shared" ref="BF29:BF51" si="10">(BB29+BD29)*$BD$11</f>
        <v>3861.2370144105844</v>
      </c>
      <c r="BG29" s="4"/>
      <c r="BH29" s="179"/>
    </row>
    <row r="30" spans="1:60" ht="12">
      <c r="B30" s="3"/>
      <c r="C30" s="7">
        <f>+IF(C29&gt;$G$13+$G$14,XX,C29+1)</f>
        <v>2009</v>
      </c>
      <c r="D30" s="7"/>
      <c r="E30" s="311">
        <v>1.7000000000000001E-2</v>
      </c>
      <c r="F30" s="7"/>
      <c r="G30" s="23">
        <v>393129.55527784419</v>
      </c>
      <c r="H30" s="7"/>
      <c r="I30" s="30">
        <f t="shared" ref="I30:I52" si="11">I29*(1+$E30)</f>
        <v>187.75900572604334</v>
      </c>
      <c r="J30" s="7"/>
      <c r="K30" s="30">
        <f t="shared" ref="K30:K52" si="12">K29*(1+$E30)</f>
        <v>17.471814182793409</v>
      </c>
      <c r="L30" s="7"/>
      <c r="M30" s="30">
        <f t="shared" ref="M30:M52" si="13">M29*(1+$E30)</f>
        <v>0</v>
      </c>
      <c r="N30" s="7"/>
      <c r="O30" s="314">
        <v>5.2748738999999985</v>
      </c>
      <c r="P30" s="7"/>
      <c r="Q30" s="30">
        <v>-33.157578415686572</v>
      </c>
      <c r="R30" s="7"/>
      <c r="S30" s="23">
        <f t="shared" si="5"/>
        <v>22268.535717319788</v>
      </c>
      <c r="T30" s="7"/>
      <c r="U30" s="23">
        <f t="shared" si="0"/>
        <v>26369.726244492471</v>
      </c>
      <c r="V30" s="7"/>
      <c r="W30" s="23">
        <f t="shared" si="1"/>
        <v>-4101.1905271726828</v>
      </c>
      <c r="X30" s="7"/>
      <c r="Y30" s="315">
        <f t="shared" si="6"/>
        <v>-10.432160269085259</v>
      </c>
      <c r="Z30" s="271"/>
      <c r="AB30" s="168">
        <f>+IF(AB29&gt;$G$13+$G$14,XX,AB29+1)</f>
        <v>2009</v>
      </c>
      <c r="AC30" s="138"/>
      <c r="AD30" s="173">
        <f t="shared" si="2"/>
        <v>393129.55527784419</v>
      </c>
      <c r="AE30" s="4"/>
      <c r="AF30" s="176">
        <f t="shared" ref="AF30:AF52" si="14">AF29*(1+$E30)</f>
        <v>59.036091656805588</v>
      </c>
      <c r="AG30" s="4"/>
      <c r="AH30" s="176">
        <f t="shared" ref="AH30:AH52" si="15">AH29*(1+$E30)</f>
        <v>8.3231374505992015</v>
      </c>
      <c r="AI30" s="4"/>
      <c r="AJ30" s="176">
        <f t="shared" ref="AJ30:AJ52" si="16">AJ29*(1+$E30)</f>
        <v>2.3396800740840384</v>
      </c>
      <c r="AK30" s="4"/>
      <c r="AL30" s="175">
        <f t="shared" si="7"/>
        <v>7132.9453116874256</v>
      </c>
      <c r="AM30" s="4"/>
      <c r="AN30" s="176">
        <f>INDEX('(2.2)_Forward_Price_Curve'!$G:$G,MATCH($AB30,'(2.2)_Forward_Price_Curve'!$C:$C,0),1)</f>
        <v>7.7758276535043622</v>
      </c>
      <c r="AO30" s="4"/>
      <c r="AP30" s="176">
        <f t="shared" si="8"/>
        <v>56.499329593768707</v>
      </c>
      <c r="AQ30" s="4"/>
      <c r="AR30" s="176">
        <f t="shared" ref="AR30:AR52" si="17">AR29*(1+$E30)</f>
        <v>2.4218546964577068</v>
      </c>
      <c r="AS30" s="176"/>
      <c r="AT30" s="175">
        <f t="shared" si="3"/>
        <v>3206.0672680318617</v>
      </c>
      <c r="AU30" s="4"/>
      <c r="AV30" s="175">
        <f t="shared" si="4"/>
        <v>23163.658976460611</v>
      </c>
      <c r="AW30" s="318"/>
      <c r="AX30" s="177">
        <f t="shared" si="9"/>
        <v>26369.726244492471</v>
      </c>
      <c r="AZ30" s="168">
        <f>+IF(AZ29&gt;$G$13+$G$14,XX,AZ29+1)</f>
        <v>2009</v>
      </c>
      <c r="BA30" s="138"/>
      <c r="BB30" s="176">
        <f t="shared" ref="BB30:BB52" si="18">BB29*(1+$E30)</f>
        <v>39.779902380216583</v>
      </c>
      <c r="BC30" s="4"/>
      <c r="BD30" s="176">
        <f t="shared" ref="BD30:BD52" si="19">BD29*(1+$E30)</f>
        <v>6.0482634997499991</v>
      </c>
      <c r="BE30" s="4"/>
      <c r="BF30" s="175">
        <f t="shared" si="10"/>
        <v>3926.8780436555639</v>
      </c>
      <c r="BG30" s="4"/>
      <c r="BH30" s="179"/>
    </row>
    <row r="31" spans="1:60" ht="12">
      <c r="B31" s="3"/>
      <c r="C31" s="7">
        <f>+IF(C30&gt;$G$13+$G$14,XX,C30+1)</f>
        <v>2010</v>
      </c>
      <c r="D31" s="7"/>
      <c r="E31" s="311">
        <v>1.9E-2</v>
      </c>
      <c r="F31" s="7"/>
      <c r="G31" s="23">
        <v>393129.55527784419</v>
      </c>
      <c r="H31" s="7"/>
      <c r="I31" s="30">
        <f t="shared" si="11"/>
        <v>191.32642683483814</v>
      </c>
      <c r="J31" s="7"/>
      <c r="K31" s="30">
        <f t="shared" si="12"/>
        <v>17.803778652266484</v>
      </c>
      <c r="L31" s="7"/>
      <c r="M31" s="30">
        <f t="shared" si="13"/>
        <v>0</v>
      </c>
      <c r="N31" s="7"/>
      <c r="O31" s="314">
        <v>5.3750965040999983</v>
      </c>
      <c r="P31" s="7"/>
      <c r="Q31" s="30">
        <v>-33.824045741841871</v>
      </c>
      <c r="R31" s="7"/>
      <c r="S31" s="23">
        <f t="shared" si="5"/>
        <v>22677.299149486546</v>
      </c>
      <c r="T31" s="7"/>
      <c r="U31" s="23">
        <f t="shared" si="0"/>
        <v>25596.40723411271</v>
      </c>
      <c r="V31" s="7"/>
      <c r="W31" s="23">
        <f t="shared" si="1"/>
        <v>-2919.1080846261648</v>
      </c>
      <c r="X31" s="7"/>
      <c r="Y31" s="315">
        <f t="shared" si="6"/>
        <v>-7.4253081342690859</v>
      </c>
      <c r="Z31" s="271"/>
      <c r="AB31" s="168">
        <f>+IF(AB30&gt;$G$13+$G$14,XX,AB30+1)</f>
        <v>2010</v>
      </c>
      <c r="AC31" s="138"/>
      <c r="AD31" s="173">
        <f t="shared" si="2"/>
        <v>393129.55527784419</v>
      </c>
      <c r="AE31" s="4"/>
      <c r="AF31" s="176">
        <f t="shared" si="14"/>
        <v>60.157777398284892</v>
      </c>
      <c r="AG31" s="4"/>
      <c r="AH31" s="176">
        <f t="shared" si="15"/>
        <v>8.4812770621605864</v>
      </c>
      <c r="AI31" s="4"/>
      <c r="AJ31" s="176">
        <f t="shared" si="16"/>
        <v>2.3841339954916347</v>
      </c>
      <c r="AK31" s="4"/>
      <c r="AL31" s="175">
        <f t="shared" si="7"/>
        <v>7268.4712726094867</v>
      </c>
      <c r="AM31" s="4"/>
      <c r="AN31" s="176">
        <f>INDEX('(2.2)_Forward_Price_Curve'!$G:$G,MATCH($AB31,'(2.2)_Forward_Price_Curve'!$C:$C,0),1)</f>
        <v>7.4774457529777205</v>
      </c>
      <c r="AO31" s="4"/>
      <c r="AP31" s="176">
        <f t="shared" si="8"/>
        <v>54.331280339864243</v>
      </c>
      <c r="AQ31" s="4"/>
      <c r="AR31" s="176">
        <f t="shared" si="17"/>
        <v>2.4678699356904028</v>
      </c>
      <c r="AS31" s="176"/>
      <c r="AT31" s="175">
        <f>AL31-BF31</f>
        <v>3266.9825461244673</v>
      </c>
      <c r="AU31" s="4"/>
      <c r="AV31" s="175">
        <f t="shared" si="4"/>
        <v>22329.424687988241</v>
      </c>
      <c r="AW31" s="318"/>
      <c r="AX31" s="177">
        <f t="shared" si="9"/>
        <v>25596.40723411271</v>
      </c>
      <c r="AZ31" s="168">
        <f>+IF(AZ30&gt;$G$13+$G$14,XX,AZ30+1)</f>
        <v>2010</v>
      </c>
      <c r="BA31" s="138"/>
      <c r="BB31" s="176">
        <f t="shared" si="18"/>
        <v>40.535720525440695</v>
      </c>
      <c r="BC31" s="4"/>
      <c r="BD31" s="176">
        <f t="shared" si="19"/>
        <v>6.1631805062452489</v>
      </c>
      <c r="BE31" s="4"/>
      <c r="BF31" s="175">
        <f t="shared" si="10"/>
        <v>4001.4887264850195</v>
      </c>
      <c r="BG31" s="4"/>
      <c r="BH31" s="179"/>
    </row>
    <row r="32" spans="1:60" ht="12">
      <c r="B32" s="3"/>
      <c r="C32" s="7">
        <f>+IF(C31&gt;$G$13+$G$14,XX,C31+1)</f>
        <v>2011</v>
      </c>
      <c r="D32" s="7"/>
      <c r="E32" s="311">
        <v>1.9E-2</v>
      </c>
      <c r="F32" s="7"/>
      <c r="G32" s="23">
        <v>393129.55527784419</v>
      </c>
      <c r="H32" s="7"/>
      <c r="I32" s="30">
        <f t="shared" si="11"/>
        <v>194.96162894470004</v>
      </c>
      <c r="J32" s="7"/>
      <c r="K32" s="30">
        <f t="shared" si="12"/>
        <v>18.142050446659546</v>
      </c>
      <c r="L32" s="7"/>
      <c r="M32" s="30">
        <f t="shared" si="13"/>
        <v>0</v>
      </c>
      <c r="N32" s="7"/>
      <c r="O32" s="314">
        <v>5.4772233376778976</v>
      </c>
      <c r="P32" s="7"/>
      <c r="Q32" s="30">
        <v>-34.503909061252898</v>
      </c>
      <c r="R32" s="7"/>
      <c r="S32" s="23">
        <f t="shared" si="5"/>
        <v>23093.540878060579</v>
      </c>
      <c r="T32" s="7"/>
      <c r="U32" s="23">
        <f t="shared" si="0"/>
        <v>24547.73787735646</v>
      </c>
      <c r="V32" s="7"/>
      <c r="W32" s="23">
        <f t="shared" si="1"/>
        <v>-1454.1969992958802</v>
      </c>
      <c r="X32" s="7"/>
      <c r="Y32" s="315">
        <f t="shared" si="6"/>
        <v>-3.6990274065457305</v>
      </c>
      <c r="Z32" s="271"/>
      <c r="AB32" s="168">
        <f>+IF(AB31&gt;$G$13+$G$14,XX,AB31+1)</f>
        <v>2011</v>
      </c>
      <c r="AC32" s="138"/>
      <c r="AD32" s="173">
        <f t="shared" si="2"/>
        <v>393129.55527784419</v>
      </c>
      <c r="AE32" s="4"/>
      <c r="AF32" s="176">
        <f t="shared" si="14"/>
        <v>61.300775168852297</v>
      </c>
      <c r="AG32" s="4"/>
      <c r="AH32" s="176">
        <f t="shared" si="15"/>
        <v>8.642421326341637</v>
      </c>
      <c r="AI32" s="4"/>
      <c r="AJ32" s="176">
        <f t="shared" si="16"/>
        <v>2.4294325414059754</v>
      </c>
      <c r="AK32" s="4"/>
      <c r="AL32" s="175">
        <f t="shared" si="7"/>
        <v>7406.5722267890651</v>
      </c>
      <c r="AM32" s="4"/>
      <c r="AN32" s="176">
        <f>INDEX('(2.2)_Forward_Price_Curve'!$G:$G,MATCH($AB32,'(2.2)_Forward_Price_Curve'!$C:$C,0),1)</f>
        <v>7.0821436233211914</v>
      </c>
      <c r="AO32" s="4"/>
      <c r="AP32" s="176">
        <f t="shared" si="8"/>
        <v>51.459006633731178</v>
      </c>
      <c r="AQ32" s="4"/>
      <c r="AR32" s="176">
        <f t="shared" si="17"/>
        <v>2.5147594644685203</v>
      </c>
      <c r="AS32" s="176"/>
      <c r="AT32" s="175">
        <f t="shared" si="3"/>
        <v>3329.055214500831</v>
      </c>
      <c r="AU32" s="4"/>
      <c r="AV32" s="175">
        <f t="shared" si="4"/>
        <v>21218.68266285563</v>
      </c>
      <c r="AW32" s="318"/>
      <c r="AX32" s="177">
        <f t="shared" si="9"/>
        <v>24547.73787735646</v>
      </c>
      <c r="AZ32" s="168">
        <f>+IF(AZ31&gt;$G$13+$G$14,XX,AZ31+1)</f>
        <v>2011</v>
      </c>
      <c r="BA32" s="138"/>
      <c r="BB32" s="176">
        <f t="shared" si="18"/>
        <v>41.305899215424063</v>
      </c>
      <c r="BC32" s="4"/>
      <c r="BD32" s="176">
        <f t="shared" si="19"/>
        <v>6.2802809358639085</v>
      </c>
      <c r="BE32" s="4"/>
      <c r="BF32" s="175">
        <f t="shared" si="10"/>
        <v>4077.5170122882341</v>
      </c>
      <c r="BG32" s="4"/>
      <c r="BH32" s="179"/>
    </row>
    <row r="33" spans="2:60" ht="12">
      <c r="B33" s="3"/>
      <c r="C33" s="7">
        <f>+IF(C32&gt;$G$13+$G$14,XX,C32+1)</f>
        <v>2012</v>
      </c>
      <c r="D33" s="7"/>
      <c r="E33" s="311">
        <v>0.02</v>
      </c>
      <c r="F33" s="7"/>
      <c r="G33" s="23">
        <v>394331.98409973102</v>
      </c>
      <c r="H33" s="7"/>
      <c r="I33" s="30">
        <f t="shared" si="11"/>
        <v>198.86086152359405</v>
      </c>
      <c r="J33" s="7"/>
      <c r="K33" s="30">
        <f t="shared" si="12"/>
        <v>18.504891455592738</v>
      </c>
      <c r="L33" s="7"/>
      <c r="M33" s="30">
        <f t="shared" si="13"/>
        <v>0</v>
      </c>
      <c r="N33" s="7"/>
      <c r="O33" s="314">
        <v>5.5867678044314557</v>
      </c>
      <c r="P33" s="7"/>
      <c r="Q33" s="30">
        <v>-35.197437633384084</v>
      </c>
      <c r="R33" s="7"/>
      <c r="S33" s="23">
        <f t="shared" si="5"/>
        <v>23540.701336973718</v>
      </c>
      <c r="T33" s="7"/>
      <c r="U33" s="23">
        <f t="shared" si="0"/>
        <v>23614.180755349575</v>
      </c>
      <c r="V33" s="7"/>
      <c r="W33" s="23">
        <f t="shared" si="1"/>
        <v>-73.479418375856767</v>
      </c>
      <c r="X33" s="7"/>
      <c r="Y33" s="315">
        <f t="shared" si="6"/>
        <v>-0.1863389766458127</v>
      </c>
      <c r="Z33" s="271"/>
      <c r="AB33" s="168">
        <f>+IF(AB32&gt;$G$13+$G$14,XX,AB32+1)</f>
        <v>2012</v>
      </c>
      <c r="AC33" s="138"/>
      <c r="AD33" s="173">
        <f t="shared" si="2"/>
        <v>394331.98409973102</v>
      </c>
      <c r="AE33" s="4"/>
      <c r="AF33" s="176">
        <f t="shared" si="14"/>
        <v>62.526790672229346</v>
      </c>
      <c r="AG33" s="4"/>
      <c r="AH33" s="176">
        <f t="shared" si="15"/>
        <v>8.8152697528684705</v>
      </c>
      <c r="AI33" s="4"/>
      <c r="AJ33" s="176">
        <f t="shared" si="16"/>
        <v>2.4780211922340949</v>
      </c>
      <c r="AK33" s="4"/>
      <c r="AL33" s="175">
        <f t="shared" si="7"/>
        <v>7557.6833154276364</v>
      </c>
      <c r="AM33" s="4"/>
      <c r="AN33" s="176">
        <f>INDEX('(2.2)_Forward_Price_Curve'!$G:$G,MATCH($AB33,'(2.2)_Forward_Price_Curve'!$C:$C,0),1)</f>
        <v>6.7024699037828679</v>
      </c>
      <c r="AO33" s="4"/>
      <c r="AP33" s="176">
        <f t="shared" si="8"/>
        <v>48.700289288881038</v>
      </c>
      <c r="AQ33" s="4"/>
      <c r="AR33" s="176">
        <f t="shared" si="17"/>
        <v>2.5650546537578909</v>
      </c>
      <c r="AS33" s="176"/>
      <c r="AT33" s="175">
        <f t="shared" si="3"/>
        <v>3398.6159628936375</v>
      </c>
      <c r="AU33" s="4"/>
      <c r="AV33" s="175">
        <f t="shared" si="4"/>
        <v>20215.564792455938</v>
      </c>
      <c r="AW33" s="318"/>
      <c r="AX33" s="177">
        <f t="shared" si="9"/>
        <v>23614.180755349575</v>
      </c>
      <c r="AZ33" s="168">
        <f>+IF(AZ32&gt;$G$13+$G$14,XX,AZ32+1)</f>
        <v>2012</v>
      </c>
      <c r="BA33" s="138"/>
      <c r="BB33" s="176">
        <f t="shared" si="18"/>
        <v>42.132017199732545</v>
      </c>
      <c r="BC33" s="4"/>
      <c r="BD33" s="176">
        <f t="shared" si="19"/>
        <v>6.4058865545811869</v>
      </c>
      <c r="BE33" s="4"/>
      <c r="BF33" s="175">
        <f t="shared" si="10"/>
        <v>4159.0673525339989</v>
      </c>
      <c r="BG33" s="4"/>
      <c r="BH33" s="179"/>
    </row>
    <row r="34" spans="2:60" ht="12">
      <c r="B34" s="3"/>
      <c r="C34" s="7">
        <f>+IF(C33&gt;$G$13+$G$14,XX,C33+1)</f>
        <v>2013</v>
      </c>
      <c r="D34" s="7"/>
      <c r="E34" s="311">
        <v>1.9E-2</v>
      </c>
      <c r="F34" s="7"/>
      <c r="G34" s="23">
        <v>393129.55527784419</v>
      </c>
      <c r="H34" s="7"/>
      <c r="I34" s="30">
        <f t="shared" si="11"/>
        <v>202.63921789254232</v>
      </c>
      <c r="J34" s="7"/>
      <c r="K34" s="30">
        <f t="shared" si="12"/>
        <v>18.856484393248998</v>
      </c>
      <c r="L34" s="7"/>
      <c r="M34" s="30">
        <f t="shared" si="13"/>
        <v>0</v>
      </c>
      <c r="N34" s="7"/>
      <c r="O34" s="314">
        <v>5.6929163927156532</v>
      </c>
      <c r="P34" s="7"/>
      <c r="Q34" s="30">
        <v>-35.904906129815103</v>
      </c>
      <c r="R34" s="7"/>
      <c r="S34" s="23">
        <f t="shared" si="5"/>
        <v>23986.36142632983</v>
      </c>
      <c r="T34" s="7"/>
      <c r="U34" s="23">
        <f t="shared" si="0"/>
        <v>23624.736734229424</v>
      </c>
      <c r="V34" s="7"/>
      <c r="W34" s="23">
        <f t="shared" si="1"/>
        <v>361.62469210040581</v>
      </c>
      <c r="X34" s="7"/>
      <c r="Y34" s="315">
        <f t="shared" si="6"/>
        <v>0.91986137202232909</v>
      </c>
      <c r="Z34" s="271"/>
      <c r="AB34" s="168">
        <f>+IF(AB33&gt;$G$13+$G$14,XX,AB33+1)</f>
        <v>2013</v>
      </c>
      <c r="AC34" s="138"/>
      <c r="AD34" s="173">
        <f t="shared" si="2"/>
        <v>393129.55527784419</v>
      </c>
      <c r="AE34" s="4"/>
      <c r="AF34" s="176">
        <f t="shared" si="14"/>
        <v>63.714799695001695</v>
      </c>
      <c r="AG34" s="4"/>
      <c r="AH34" s="176">
        <f t="shared" si="15"/>
        <v>8.9827598781729705</v>
      </c>
      <c r="AI34" s="4"/>
      <c r="AJ34" s="176">
        <f t="shared" si="16"/>
        <v>2.5251035948865423</v>
      </c>
      <c r="AK34" s="4"/>
      <c r="AL34" s="175">
        <f t="shared" si="7"/>
        <v>7698.2430410800189</v>
      </c>
      <c r="AM34" s="4"/>
      <c r="AN34" s="176">
        <f>INDEX('(2.2)_Forward_Price_Curve'!$G:$G,MATCH($AB34,'(2.2)_Forward_Price_Curve'!$C:$C,0),1)</f>
        <v>6.6994948806584134</v>
      </c>
      <c r="AO34" s="4"/>
      <c r="AP34" s="176">
        <f t="shared" si="8"/>
        <v>48.678672707399592</v>
      </c>
      <c r="AQ34" s="4"/>
      <c r="AR34" s="176">
        <f t="shared" si="17"/>
        <v>2.6137906921792906</v>
      </c>
      <c r="AS34" s="176"/>
      <c r="AT34" s="175">
        <f t="shared" si="3"/>
        <v>3460.1534088478747</v>
      </c>
      <c r="AU34" s="4"/>
      <c r="AV34" s="175">
        <f t="shared" si="4"/>
        <v>20164.583325381547</v>
      </c>
      <c r="AW34" s="318"/>
      <c r="AX34" s="177">
        <f t="shared" si="9"/>
        <v>23624.736734229424</v>
      </c>
      <c r="AZ34" s="168">
        <f>+IF(AZ33&gt;$G$13+$G$14,XX,AZ33+1)</f>
        <v>2013</v>
      </c>
      <c r="BA34" s="138"/>
      <c r="BB34" s="176">
        <f t="shared" si="18"/>
        <v>42.932525526527456</v>
      </c>
      <c r="BC34" s="4"/>
      <c r="BD34" s="176">
        <f t="shared" si="19"/>
        <v>6.5275983991182285</v>
      </c>
      <c r="BE34" s="4"/>
      <c r="BF34" s="175">
        <f t="shared" si="10"/>
        <v>4238.0896322321441</v>
      </c>
      <c r="BG34" s="4"/>
      <c r="BH34" s="179"/>
    </row>
    <row r="35" spans="2:60" ht="12">
      <c r="B35" s="3"/>
      <c r="C35" s="7">
        <f>+IF(C34&gt;$G$13+$G$14,XX,C34+1)</f>
        <v>2014</v>
      </c>
      <c r="D35" s="7"/>
      <c r="E35" s="311">
        <v>1.7999999999999999E-2</v>
      </c>
      <c r="F35" s="7"/>
      <c r="G35" s="23">
        <v>393129.55527784419</v>
      </c>
      <c r="H35" s="7"/>
      <c r="I35" s="30">
        <f t="shared" si="11"/>
        <v>206.28672381460808</v>
      </c>
      <c r="J35" s="7"/>
      <c r="K35" s="30">
        <f t="shared" si="12"/>
        <v>19.19590111232748</v>
      </c>
      <c r="L35" s="7"/>
      <c r="M35" s="30">
        <f t="shared" si="13"/>
        <v>0</v>
      </c>
      <c r="N35" s="7"/>
      <c r="O35" s="314">
        <v>5.7953888877845348</v>
      </c>
      <c r="P35" s="7"/>
      <c r="Q35" s="30">
        <v>-36.626594743024391</v>
      </c>
      <c r="R35" s="7"/>
      <c r="S35" s="23">
        <f t="shared" si="5"/>
        <v>24388.473844467644</v>
      </c>
      <c r="T35" s="7"/>
      <c r="U35" s="23">
        <f t="shared" si="0"/>
        <v>24318.271300732576</v>
      </c>
      <c r="V35" s="7"/>
      <c r="W35" s="23">
        <f t="shared" si="1"/>
        <v>70.202543735067593</v>
      </c>
      <c r="X35" s="7"/>
      <c r="Y35" s="315">
        <f t="shared" si="6"/>
        <v>0.17857355874821462</v>
      </c>
      <c r="Z35" s="271"/>
      <c r="AB35" s="168">
        <f>+IF(AB34&gt;$G$13+$G$14,XX,AB34+1)</f>
        <v>2014</v>
      </c>
      <c r="AC35" s="138"/>
      <c r="AD35" s="173">
        <f t="shared" si="2"/>
        <v>393129.55527784419</v>
      </c>
      <c r="AE35" s="4"/>
      <c r="AF35" s="176">
        <f t="shared" si="14"/>
        <v>64.861666089511729</v>
      </c>
      <c r="AG35" s="4"/>
      <c r="AH35" s="176">
        <f t="shared" si="15"/>
        <v>9.1444495559800849</v>
      </c>
      <c r="AI35" s="4"/>
      <c r="AJ35" s="176">
        <f t="shared" si="16"/>
        <v>2.5705554595944999</v>
      </c>
      <c r="AK35" s="4"/>
      <c r="AL35" s="175">
        <f t="shared" si="7"/>
        <v>7836.8114158194594</v>
      </c>
      <c r="AM35" s="4"/>
      <c r="AN35" s="176">
        <f>INDEX('(2.2)_Forward_Price_Curve'!$G:$G,MATCH($AB35,'(2.2)_Forward_Price_Curve'!$C:$C,0),1)</f>
        <v>6.9140085811973453</v>
      </c>
      <c r="AO35" s="4"/>
      <c r="AP35" s="176">
        <f t="shared" si="8"/>
        <v>50.2373338312307</v>
      </c>
      <c r="AQ35" s="4"/>
      <c r="AR35" s="176">
        <f t="shared" si="17"/>
        <v>2.6608389246385178</v>
      </c>
      <c r="AS35" s="176"/>
      <c r="AT35" s="175">
        <f t="shared" si="3"/>
        <v>3522.4361702071365</v>
      </c>
      <c r="AU35" s="4"/>
      <c r="AV35" s="175">
        <f t="shared" si="4"/>
        <v>20795.83513052544</v>
      </c>
      <c r="AW35" s="318"/>
      <c r="AX35" s="177">
        <f t="shared" si="9"/>
        <v>24318.271300732576</v>
      </c>
      <c r="AZ35" s="168">
        <f>+IF(AZ34&gt;$G$13+$G$14,XX,AZ34+1)</f>
        <v>2014</v>
      </c>
      <c r="BA35" s="138"/>
      <c r="BB35" s="176">
        <f t="shared" si="18"/>
        <v>43.705310986004953</v>
      </c>
      <c r="BC35" s="4"/>
      <c r="BD35" s="176">
        <f t="shared" si="19"/>
        <v>6.6450951703023566</v>
      </c>
      <c r="BE35" s="4"/>
      <c r="BF35" s="175">
        <f t="shared" si="10"/>
        <v>4314.3752456123229</v>
      </c>
      <c r="BG35" s="4"/>
      <c r="BH35" s="179"/>
    </row>
    <row r="36" spans="2:60" ht="12">
      <c r="B36" s="3"/>
      <c r="C36" s="7">
        <f>+IF(C35&gt;$G$13+$G$14,XX,C35+1)</f>
        <v>2015</v>
      </c>
      <c r="D36" s="7"/>
      <c r="E36" s="311">
        <v>1.7999999999999999E-2</v>
      </c>
      <c r="F36" s="7"/>
      <c r="G36" s="23">
        <v>393129.55527784419</v>
      </c>
      <c r="H36" s="7"/>
      <c r="I36" s="30">
        <f t="shared" si="11"/>
        <v>209.99988484327102</v>
      </c>
      <c r="J36" s="7"/>
      <c r="K36" s="30">
        <f t="shared" si="12"/>
        <v>19.541427332349375</v>
      </c>
      <c r="L36" s="7"/>
      <c r="M36" s="30">
        <f t="shared" si="13"/>
        <v>0</v>
      </c>
      <c r="N36" s="7"/>
      <c r="O36" s="314">
        <v>5.8997058877646564</v>
      </c>
      <c r="P36" s="7"/>
      <c r="Q36" s="30">
        <v>-37.362789297359178</v>
      </c>
      <c r="R36" s="7"/>
      <c r="S36" s="23">
        <f t="shared" si="5"/>
        <v>24797.228480172456</v>
      </c>
      <c r="T36" s="7"/>
      <c r="U36" s="23">
        <f t="shared" si="0"/>
        <v>25549.933671065781</v>
      </c>
      <c r="V36" s="7"/>
      <c r="W36" s="23">
        <f t="shared" si="1"/>
        <v>-752.70519089332447</v>
      </c>
      <c r="X36" s="7"/>
      <c r="Y36" s="315">
        <f t="shared" si="6"/>
        <v>-1.91464920606478</v>
      </c>
      <c r="Z36" s="271"/>
      <c r="AB36" s="168">
        <f>+IF(AB35&gt;$G$13+$G$14,XX,AB35+1)</f>
        <v>2015</v>
      </c>
      <c r="AC36" s="138"/>
      <c r="AD36" s="173">
        <f t="shared" si="2"/>
        <v>393129.55527784419</v>
      </c>
      <c r="AE36" s="4"/>
      <c r="AF36" s="176">
        <f t="shared" si="14"/>
        <v>66.029176079122948</v>
      </c>
      <c r="AG36" s="4"/>
      <c r="AH36" s="176">
        <f t="shared" si="15"/>
        <v>9.3090496479877274</v>
      </c>
      <c r="AI36" s="4"/>
      <c r="AJ36" s="176">
        <f t="shared" si="16"/>
        <v>2.616825457867201</v>
      </c>
      <c r="AK36" s="4"/>
      <c r="AL36" s="175">
        <f t="shared" si="7"/>
        <v>7977.8740213042111</v>
      </c>
      <c r="AM36" s="4"/>
      <c r="AN36" s="176">
        <f>INDEX('(2.2)_Forward_Price_Curve'!$G:$G,MATCH($AB36,'(2.2)_Forward_Price_Curve'!$C:$C,0),1)</f>
        <v>7.3164011858738007</v>
      </c>
      <c r="AO36" s="4"/>
      <c r="AP36" s="176">
        <f t="shared" si="8"/>
        <v>53.161127080102943</v>
      </c>
      <c r="AQ36" s="4"/>
      <c r="AR36" s="176">
        <f t="shared" si="17"/>
        <v>2.7087340252820113</v>
      </c>
      <c r="AS36" s="176"/>
      <c r="AT36" s="175">
        <f t="shared" si="3"/>
        <v>3585.8400212708657</v>
      </c>
      <c r="AU36" s="4"/>
      <c r="AV36" s="175">
        <f t="shared" si="4"/>
        <v>21964.093649794915</v>
      </c>
      <c r="AW36" s="318"/>
      <c r="AX36" s="177">
        <f t="shared" si="9"/>
        <v>25549.933671065781</v>
      </c>
      <c r="AZ36" s="168">
        <f>+IF(AZ35&gt;$G$13+$G$14,XX,AZ35+1)</f>
        <v>2015</v>
      </c>
      <c r="BA36" s="138"/>
      <c r="BB36" s="176">
        <f t="shared" si="18"/>
        <v>44.492006583753046</v>
      </c>
      <c r="BC36" s="4"/>
      <c r="BD36" s="176">
        <f t="shared" si="19"/>
        <v>6.7647068833677988</v>
      </c>
      <c r="BE36" s="4"/>
      <c r="BF36" s="175">
        <f t="shared" si="10"/>
        <v>4392.0340000333454</v>
      </c>
      <c r="BG36" s="4"/>
      <c r="BH36" s="179"/>
    </row>
    <row r="37" spans="2:60" ht="12">
      <c r="B37" s="3"/>
      <c r="C37" s="7">
        <f>+IF(C36&gt;$G$13+$G$14,XX,C36+1)</f>
        <v>2016</v>
      </c>
      <c r="D37" s="7"/>
      <c r="E37" s="311">
        <v>1.7999999999999999E-2</v>
      </c>
      <c r="F37" s="7"/>
      <c r="G37" s="23">
        <v>394331.98409973102</v>
      </c>
      <c r="H37" s="7"/>
      <c r="I37" s="30">
        <f t="shared" si="11"/>
        <v>213.77988277044989</v>
      </c>
      <c r="J37" s="7"/>
      <c r="K37" s="30">
        <f t="shared" si="12"/>
        <v>19.893173024331663</v>
      </c>
      <c r="L37" s="7"/>
      <c r="M37" s="30">
        <f t="shared" si="13"/>
        <v>0</v>
      </c>
      <c r="N37" s="7"/>
      <c r="O37" s="314">
        <v>6.0059005937444203</v>
      </c>
      <c r="P37" s="7"/>
      <c r="Q37" s="30">
        <v>-38.113781362236097</v>
      </c>
      <c r="R37" s="7"/>
      <c r="S37" s="23">
        <f t="shared" si="5"/>
        <v>25198.045601018199</v>
      </c>
      <c r="T37" s="7"/>
      <c r="U37" s="23">
        <f t="shared" si="0"/>
        <v>27436.923317887282</v>
      </c>
      <c r="V37" s="7"/>
      <c r="W37" s="23">
        <f t="shared" si="1"/>
        <v>-2238.8777168690831</v>
      </c>
      <c r="X37" s="7"/>
      <c r="Y37" s="315">
        <f t="shared" si="6"/>
        <v>-5.677646772631169</v>
      </c>
      <c r="Z37" s="271"/>
      <c r="AB37" s="168">
        <f>+IF(AB36&gt;$G$13+$G$14,XX,AB36+1)</f>
        <v>2016</v>
      </c>
      <c r="AC37" s="138"/>
      <c r="AD37" s="173">
        <f t="shared" si="2"/>
        <v>394331.98409973102</v>
      </c>
      <c r="AE37" s="4"/>
      <c r="AF37" s="176">
        <f t="shared" si="14"/>
        <v>67.217701248547158</v>
      </c>
      <c r="AG37" s="4"/>
      <c r="AH37" s="176">
        <f t="shared" si="15"/>
        <v>9.476612541651507</v>
      </c>
      <c r="AI37" s="4"/>
      <c r="AJ37" s="176">
        <f t="shared" si="16"/>
        <v>2.6639283161088105</v>
      </c>
      <c r="AK37" s="4"/>
      <c r="AL37" s="175">
        <f t="shared" si="7"/>
        <v>8124.6789378744152</v>
      </c>
      <c r="AM37" s="4"/>
      <c r="AN37" s="176">
        <f>INDEX('(2.2)_Forward_Price_Curve'!$G:$G,MATCH($AB37,'(2.2)_Forward_Price_Curve'!$C:$C,0),1)</f>
        <v>7.9211828417083421</v>
      </c>
      <c r="AO37" s="4"/>
      <c r="AP37" s="176">
        <f t="shared" si="8"/>
        <v>57.555483491778489</v>
      </c>
      <c r="AQ37" s="4"/>
      <c r="AR37" s="176">
        <f t="shared" si="17"/>
        <v>2.7574912377370877</v>
      </c>
      <c r="AS37" s="176"/>
      <c r="AT37" s="175">
        <f t="shared" si="3"/>
        <v>3653.5883258404701</v>
      </c>
      <c r="AU37" s="4"/>
      <c r="AV37" s="175">
        <f t="shared" si="4"/>
        <v>23783.334992046814</v>
      </c>
      <c r="AW37" s="318"/>
      <c r="AX37" s="177">
        <f t="shared" si="9"/>
        <v>27436.923317887282</v>
      </c>
      <c r="AZ37" s="168">
        <f>+IF(AZ36&gt;$G$13+$G$14,XX,AZ36+1)</f>
        <v>2016</v>
      </c>
      <c r="BA37" s="138"/>
      <c r="BB37" s="176">
        <f t="shared" si="18"/>
        <v>45.292862702260599</v>
      </c>
      <c r="BC37" s="4"/>
      <c r="BD37" s="176">
        <f t="shared" si="19"/>
        <v>6.8864716072684189</v>
      </c>
      <c r="BE37" s="4"/>
      <c r="BF37" s="175">
        <f t="shared" si="10"/>
        <v>4471.090612033945</v>
      </c>
      <c r="BG37" s="4"/>
      <c r="BH37" s="179"/>
    </row>
    <row r="38" spans="2:60" ht="12">
      <c r="B38" s="3"/>
      <c r="C38" s="7">
        <f>+IF(C37&gt;$G$13+$G$14,XX,C37+1)</f>
        <v>2017</v>
      </c>
      <c r="D38" s="7"/>
      <c r="E38" s="311">
        <v>1.7999999999999999E-2</v>
      </c>
      <c r="F38" s="7"/>
      <c r="G38" s="23">
        <v>393129.55527784419</v>
      </c>
      <c r="H38" s="7"/>
      <c r="I38" s="30">
        <f t="shared" si="11"/>
        <v>217.62792066031798</v>
      </c>
      <c r="J38" s="7"/>
      <c r="K38" s="30">
        <f t="shared" si="12"/>
        <v>20.251250138769635</v>
      </c>
      <c r="L38" s="7"/>
      <c r="M38" s="30">
        <f t="shared" si="13"/>
        <v>0</v>
      </c>
      <c r="N38" s="7"/>
      <c r="O38" s="314">
        <v>6.1140068044318197</v>
      </c>
      <c r="P38" s="7"/>
      <c r="Q38" s="30">
        <v>0</v>
      </c>
      <c r="R38" s="7"/>
      <c r="S38" s="23">
        <f t="shared" si="5"/>
        <v>40919.921797575524</v>
      </c>
      <c r="T38" s="7"/>
      <c r="U38" s="23">
        <f t="shared" si="0"/>
        <v>29233.3558832524</v>
      </c>
      <c r="V38" s="7"/>
      <c r="W38" s="23">
        <f t="shared" si="1"/>
        <v>11686.565914323124</v>
      </c>
      <c r="X38" s="7"/>
      <c r="Y38" s="315">
        <f t="shared" si="6"/>
        <v>29.727009219807062</v>
      </c>
      <c r="Z38" s="271"/>
      <c r="AB38" s="168">
        <f>+IF(AB37&gt;$G$13+$G$14,XX,AB37+1)</f>
        <v>2017</v>
      </c>
      <c r="AC38" s="138"/>
      <c r="AD38" s="173">
        <f t="shared" si="2"/>
        <v>393129.55527784419</v>
      </c>
      <c r="AE38" s="4"/>
      <c r="AF38" s="176">
        <f t="shared" si="14"/>
        <v>68.427619871021008</v>
      </c>
      <c r="AG38" s="4"/>
      <c r="AH38" s="176">
        <f t="shared" si="15"/>
        <v>9.6471915674012347</v>
      </c>
      <c r="AI38" s="4"/>
      <c r="AJ38" s="176">
        <f t="shared" si="16"/>
        <v>2.711879025798769</v>
      </c>
      <c r="AK38" s="4"/>
      <c r="AL38" s="175">
        <f t="shared" si="7"/>
        <v>8267.662317254064</v>
      </c>
      <c r="AM38" s="4"/>
      <c r="AN38" s="176">
        <f>INDEX('(2.2)_Forward_Price_Curve'!$G:$G,MATCH($AB38,'(2.2)_Forward_Price_Curve'!$C:$C,0),1)</f>
        <v>8.5467545643478058</v>
      </c>
      <c r="AO38" s="4"/>
      <c r="AP38" s="176">
        <f t="shared" si="8"/>
        <v>62.100900972324112</v>
      </c>
      <c r="AQ38" s="4"/>
      <c r="AR38" s="176">
        <f t="shared" si="17"/>
        <v>2.8071260800163556</v>
      </c>
      <c r="AS38" s="176"/>
      <c r="AT38" s="175">
        <f t="shared" si="3"/>
        <v>3716.0920742035078</v>
      </c>
      <c r="AU38" s="4"/>
      <c r="AV38" s="175">
        <f t="shared" si="4"/>
        <v>25517.263809048891</v>
      </c>
      <c r="AW38" s="318"/>
      <c r="AX38" s="177">
        <f t="shared" si="9"/>
        <v>29233.3558832524</v>
      </c>
      <c r="AZ38" s="168">
        <f>+IF(AZ37&gt;$G$13+$G$14,XX,AZ37+1)</f>
        <v>2017</v>
      </c>
      <c r="BA38" s="138"/>
      <c r="BB38" s="176">
        <f t="shared" si="18"/>
        <v>46.108134230901292</v>
      </c>
      <c r="BC38" s="4"/>
      <c r="BD38" s="176">
        <f t="shared" si="19"/>
        <v>7.0104280961992504</v>
      </c>
      <c r="BE38" s="4"/>
      <c r="BF38" s="175">
        <f t="shared" si="10"/>
        <v>4551.5702430505562</v>
      </c>
      <c r="BG38" s="4"/>
      <c r="BH38" s="179"/>
    </row>
    <row r="39" spans="2:60" ht="12">
      <c r="B39" s="3"/>
      <c r="C39" s="7">
        <f>+IF(C38&gt;$G$13+$G$14,XX,C38+1)</f>
        <v>2018</v>
      </c>
      <c r="D39" s="7"/>
      <c r="E39" s="311">
        <v>1.7999999999999999E-2</v>
      </c>
      <c r="F39" s="7"/>
      <c r="G39" s="23">
        <v>393129.55527784419</v>
      </c>
      <c r="H39" s="7"/>
      <c r="I39" s="30">
        <f t="shared" si="11"/>
        <v>221.54522323220371</v>
      </c>
      <c r="J39" s="7"/>
      <c r="K39" s="30">
        <f t="shared" si="12"/>
        <v>20.615772641267487</v>
      </c>
      <c r="L39" s="7"/>
      <c r="M39" s="30">
        <f t="shared" si="13"/>
        <v>0</v>
      </c>
      <c r="N39" s="7"/>
      <c r="O39" s="314">
        <v>6.2240589269115922</v>
      </c>
      <c r="P39" s="7"/>
      <c r="Q39" s="30">
        <v>0</v>
      </c>
      <c r="R39" s="7"/>
      <c r="S39" s="23">
        <f t="shared" si="5"/>
        <v>41656.480389931887</v>
      </c>
      <c r="T39" s="7"/>
      <c r="U39" s="23">
        <f t="shared" si="0"/>
        <v>30920.869064602433</v>
      </c>
      <c r="V39" s="7"/>
      <c r="W39" s="23">
        <f t="shared" si="1"/>
        <v>10735.611325329453</v>
      </c>
      <c r="X39" s="7"/>
      <c r="Y39" s="315">
        <f t="shared" si="6"/>
        <v>27.308074860314338</v>
      </c>
      <c r="Z39" s="271"/>
      <c r="AB39" s="168">
        <f>+IF(AB38&gt;$G$13+$G$14,XX,AB38+1)</f>
        <v>2018</v>
      </c>
      <c r="AC39" s="138"/>
      <c r="AD39" s="173">
        <f t="shared" si="2"/>
        <v>393129.55527784419</v>
      </c>
      <c r="AE39" s="4"/>
      <c r="AF39" s="176">
        <f t="shared" si="14"/>
        <v>69.659317028699391</v>
      </c>
      <c r="AG39" s="4"/>
      <c r="AH39" s="176">
        <f t="shared" si="15"/>
        <v>9.820841015614457</v>
      </c>
      <c r="AI39" s="4"/>
      <c r="AJ39" s="176">
        <f t="shared" si="16"/>
        <v>2.760692848263147</v>
      </c>
      <c r="AK39" s="4"/>
      <c r="AL39" s="175">
        <f t="shared" si="7"/>
        <v>8416.4802389646375</v>
      </c>
      <c r="AM39" s="4"/>
      <c r="AN39" s="176">
        <f>INDEX('(2.2)_Forward_Price_Curve'!$G:$G,MATCH($AB39,'(2.2)_Forward_Price_Curve'!$C:$C,0),1)</f>
        <v>9.1071488375904099</v>
      </c>
      <c r="AO39" s="4"/>
      <c r="AP39" s="176">
        <f t="shared" si="8"/>
        <v>66.172737715275218</v>
      </c>
      <c r="AQ39" s="4"/>
      <c r="AR39" s="176">
        <f t="shared" si="17"/>
        <v>2.85765434945665</v>
      </c>
      <c r="AS39" s="176"/>
      <c r="AT39" s="175">
        <f t="shared" si="3"/>
        <v>3782.9817315391711</v>
      </c>
      <c r="AU39" s="4"/>
      <c r="AV39" s="175">
        <f t="shared" si="4"/>
        <v>27137.887333063263</v>
      </c>
      <c r="AW39" s="318"/>
      <c r="AX39" s="177">
        <f t="shared" si="9"/>
        <v>30920.869064602433</v>
      </c>
      <c r="AZ39" s="168">
        <f>+IF(AZ38&gt;$G$13+$G$14,XX,AZ38+1)</f>
        <v>2018</v>
      </c>
      <c r="BA39" s="138"/>
      <c r="BB39" s="176">
        <f t="shared" si="18"/>
        <v>46.938080647057518</v>
      </c>
      <c r="BC39" s="4"/>
      <c r="BD39" s="176">
        <f t="shared" si="19"/>
        <v>7.1366158019308372</v>
      </c>
      <c r="BE39" s="4"/>
      <c r="BF39" s="175">
        <f t="shared" si="10"/>
        <v>4633.4985074254664</v>
      </c>
      <c r="BG39" s="4"/>
      <c r="BH39" s="179"/>
    </row>
    <row r="40" spans="2:60" ht="12">
      <c r="B40" s="3"/>
      <c r="C40" s="7">
        <f>+IF(C39&gt;$G$13+$G$14,XX,C39+1)</f>
        <v>2019</v>
      </c>
      <c r="D40" s="7"/>
      <c r="E40" s="311">
        <v>1.7999999999999999E-2</v>
      </c>
      <c r="F40" s="7"/>
      <c r="G40" s="23">
        <v>393129.55527784419</v>
      </c>
      <c r="H40" s="7"/>
      <c r="I40" s="30">
        <f t="shared" si="11"/>
        <v>225.53303725038339</v>
      </c>
      <c r="J40" s="7"/>
      <c r="K40" s="30">
        <f t="shared" si="12"/>
        <v>20.986856548810302</v>
      </c>
      <c r="L40" s="7"/>
      <c r="M40" s="30">
        <f t="shared" si="13"/>
        <v>0</v>
      </c>
      <c r="N40" s="7"/>
      <c r="O40" s="314">
        <v>6.3360919875960011</v>
      </c>
      <c r="P40" s="7"/>
      <c r="Q40" s="30">
        <v>0</v>
      </c>
      <c r="R40" s="7"/>
      <c r="S40" s="23">
        <f t="shared" si="5"/>
        <v>42406.297036950666</v>
      </c>
      <c r="T40" s="7"/>
      <c r="U40" s="23">
        <f t="shared" si="0"/>
        <v>32785.379700459511</v>
      </c>
      <c r="V40" s="7"/>
      <c r="W40" s="23">
        <f t="shared" si="1"/>
        <v>9620.9173364911549</v>
      </c>
      <c r="X40" s="7"/>
      <c r="Y40" s="315">
        <f t="shared" si="6"/>
        <v>24.47263810957071</v>
      </c>
      <c r="Z40" s="271"/>
      <c r="AB40" s="168">
        <f>+IF(AB39&gt;$G$13+$G$14,XX,AB39+1)</f>
        <v>2019</v>
      </c>
      <c r="AC40" s="138"/>
      <c r="AD40" s="173">
        <f t="shared" si="2"/>
        <v>393129.55527784419</v>
      </c>
      <c r="AE40" s="4"/>
      <c r="AF40" s="176">
        <f t="shared" si="14"/>
        <v>70.913184735215978</v>
      </c>
      <c r="AG40" s="4"/>
      <c r="AH40" s="176">
        <f t="shared" si="15"/>
        <v>9.9976161538955175</v>
      </c>
      <c r="AI40" s="4"/>
      <c r="AJ40" s="176">
        <f t="shared" si="16"/>
        <v>2.8103853195318838</v>
      </c>
      <c r="AK40" s="4"/>
      <c r="AL40" s="175">
        <f t="shared" si="7"/>
        <v>8567.9768832660011</v>
      </c>
      <c r="AM40" s="4"/>
      <c r="AN40" s="176">
        <f>INDEX('(2.2)_Forward_Price_Curve'!$G:$G,MATCH($AB40,'(2.2)_Forward_Price_Curve'!$C:$C,0),1)</f>
        <v>9.7289597532905745</v>
      </c>
      <c r="AO40" s="4"/>
      <c r="AP40" s="176">
        <f t="shared" si="8"/>
        <v>70.69082909237946</v>
      </c>
      <c r="AQ40" s="4"/>
      <c r="AR40" s="176">
        <f t="shared" si="17"/>
        <v>2.9090921277468698</v>
      </c>
      <c r="AS40" s="176"/>
      <c r="AT40" s="175">
        <f t="shared" si="3"/>
        <v>3851.075402706876</v>
      </c>
      <c r="AU40" s="4"/>
      <c r="AV40" s="175">
        <f t="shared" si="4"/>
        <v>28934.304297752635</v>
      </c>
      <c r="AW40" s="318"/>
      <c r="AX40" s="177">
        <f t="shared" si="9"/>
        <v>32785.379700459511</v>
      </c>
      <c r="AZ40" s="168">
        <f>+IF(AZ39&gt;$G$13+$G$14,XX,AZ39+1)</f>
        <v>2019</v>
      </c>
      <c r="BA40" s="138"/>
      <c r="BB40" s="176">
        <f t="shared" si="18"/>
        <v>47.782966098704556</v>
      </c>
      <c r="BC40" s="4"/>
      <c r="BD40" s="176">
        <f t="shared" si="19"/>
        <v>7.2650748863655927</v>
      </c>
      <c r="BE40" s="4"/>
      <c r="BF40" s="175">
        <f t="shared" si="10"/>
        <v>4716.901480559125</v>
      </c>
      <c r="BG40" s="4"/>
      <c r="BH40" s="179"/>
    </row>
    <row r="41" spans="2:60" ht="12">
      <c r="B41" s="3"/>
      <c r="C41" s="7">
        <f>+IF(C40&gt;$G$13+$G$14,XX,C40+1)</f>
        <v>2020</v>
      </c>
      <c r="D41" s="7"/>
      <c r="E41" s="311">
        <v>1.7999999999999999E-2</v>
      </c>
      <c r="F41" s="7"/>
      <c r="G41" s="23">
        <v>394331.98409973102</v>
      </c>
      <c r="H41" s="7"/>
      <c r="I41" s="30">
        <f t="shared" si="11"/>
        <v>229.59263192089028</v>
      </c>
      <c r="J41" s="7"/>
      <c r="K41" s="30">
        <f t="shared" si="12"/>
        <v>21.364619966688888</v>
      </c>
      <c r="L41" s="7"/>
      <c r="M41" s="30">
        <f t="shared" si="13"/>
        <v>0</v>
      </c>
      <c r="N41" s="7"/>
      <c r="O41" s="314">
        <v>6.4501416433727297</v>
      </c>
      <c r="P41" s="7"/>
      <c r="Q41" s="30">
        <v>0</v>
      </c>
      <c r="R41" s="7"/>
      <c r="S41" s="23">
        <f t="shared" si="5"/>
        <v>43203.055654649623</v>
      </c>
      <c r="T41" s="7"/>
      <c r="U41" s="23">
        <f t="shared" si="0"/>
        <v>34051.343448365391</v>
      </c>
      <c r="V41" s="7"/>
      <c r="W41" s="23">
        <f t="shared" si="1"/>
        <v>9151.7122062842318</v>
      </c>
      <c r="X41" s="7"/>
      <c r="Y41" s="315">
        <f t="shared" si="6"/>
        <v>23.208140793290713</v>
      </c>
      <c r="Z41" s="271"/>
      <c r="AB41" s="168">
        <f>+IF(AB40&gt;$G$13+$G$14,XX,AB40+1)</f>
        <v>2020</v>
      </c>
      <c r="AC41" s="138"/>
      <c r="AD41" s="173">
        <f t="shared" si="2"/>
        <v>394331.98409973102</v>
      </c>
      <c r="AE41" s="4"/>
      <c r="AF41" s="176">
        <f t="shared" si="14"/>
        <v>72.189622060449864</v>
      </c>
      <c r="AG41" s="4"/>
      <c r="AH41" s="176">
        <f t="shared" si="15"/>
        <v>10.177573244665638</v>
      </c>
      <c r="AI41" s="4"/>
      <c r="AJ41" s="176">
        <f t="shared" si="16"/>
        <v>2.8609722552834578</v>
      </c>
      <c r="AK41" s="4"/>
      <c r="AL41" s="175">
        <f t="shared" si="7"/>
        <v>8725.6405826631617</v>
      </c>
      <c r="AM41" s="4"/>
      <c r="AN41" s="176">
        <f>INDEX('(2.2)_Forward_Price_Curve'!$G:$G,MATCH($AB41,'(2.2)_Forward_Price_Curve'!$C:$C,0),1)</f>
        <v>10.107309478601163</v>
      </c>
      <c r="AO41" s="4"/>
      <c r="AP41" s="176">
        <f t="shared" si="8"/>
        <v>73.43992626692922</v>
      </c>
      <c r="AQ41" s="4"/>
      <c r="AR41" s="176">
        <f t="shared" si="17"/>
        <v>2.9614557860463133</v>
      </c>
      <c r="AS41" s="176"/>
      <c r="AT41" s="175">
        <f t="shared" si="3"/>
        <v>3923.834875453972</v>
      </c>
      <c r="AU41" s="4"/>
      <c r="AV41" s="175">
        <f t="shared" si="4"/>
        <v>30127.508572911422</v>
      </c>
      <c r="AW41" s="318"/>
      <c r="AX41" s="177">
        <f t="shared" si="9"/>
        <v>34051.343448365391</v>
      </c>
      <c r="AZ41" s="168">
        <f>+IF(AZ40&gt;$G$13+$G$14,XX,AZ40+1)</f>
        <v>2020</v>
      </c>
      <c r="BA41" s="138"/>
      <c r="BB41" s="176">
        <f t="shared" si="18"/>
        <v>48.643059488481235</v>
      </c>
      <c r="BC41" s="4"/>
      <c r="BD41" s="176">
        <f t="shared" si="19"/>
        <v>7.3958462343201736</v>
      </c>
      <c r="BE41" s="4"/>
      <c r="BF41" s="175">
        <f t="shared" si="10"/>
        <v>4801.8057072091897</v>
      </c>
      <c r="BG41" s="4"/>
      <c r="BH41" s="179"/>
    </row>
    <row r="42" spans="2:60" ht="12">
      <c r="B42" s="3"/>
      <c r="C42" s="7">
        <f>+IF(C41&gt;$G$13+$G$14,XX,C41+1)</f>
        <v>2021</v>
      </c>
      <c r="D42" s="7"/>
      <c r="E42" s="311">
        <v>1.7999999999999999E-2</v>
      </c>
      <c r="F42" s="7"/>
      <c r="G42" s="23">
        <v>393129.55527784419</v>
      </c>
      <c r="H42" s="7"/>
      <c r="I42" s="30">
        <f t="shared" si="11"/>
        <v>233.7252992954663</v>
      </c>
      <c r="J42" s="7"/>
      <c r="K42" s="30">
        <f t="shared" si="12"/>
        <v>21.749183126089289</v>
      </c>
      <c r="L42" s="7"/>
      <c r="M42" s="30">
        <f t="shared" si="13"/>
        <v>0</v>
      </c>
      <c r="N42" s="7"/>
      <c r="O42" s="314">
        <v>6.5662441929534392</v>
      </c>
      <c r="P42" s="7"/>
      <c r="Q42" s="30">
        <v>0</v>
      </c>
      <c r="R42" s="7"/>
      <c r="S42" s="23">
        <f t="shared" si="5"/>
        <v>43946.663370520859</v>
      </c>
      <c r="T42" s="7"/>
      <c r="U42" s="23">
        <f t="shared" si="0"/>
        <v>34558.630779695726</v>
      </c>
      <c r="V42" s="7"/>
      <c r="W42" s="23">
        <f t="shared" si="1"/>
        <v>9388.0325908251325</v>
      </c>
      <c r="X42" s="7"/>
      <c r="Y42" s="315">
        <f t="shared" si="6"/>
        <v>23.880251344089721</v>
      </c>
      <c r="Z42" s="271"/>
      <c r="AB42" s="168">
        <f>+IF(AB41&gt;$G$13+$G$14,XX,AB41+1)</f>
        <v>2021</v>
      </c>
      <c r="AC42" s="138"/>
      <c r="AD42" s="173">
        <f t="shared" si="2"/>
        <v>393129.55527784419</v>
      </c>
      <c r="AE42" s="4"/>
      <c r="AF42" s="176">
        <f t="shared" si="14"/>
        <v>73.489035257537964</v>
      </c>
      <c r="AG42" s="4"/>
      <c r="AH42" s="176">
        <f t="shared" si="15"/>
        <v>10.360769563069619</v>
      </c>
      <c r="AI42" s="4"/>
      <c r="AJ42" s="176">
        <f t="shared" si="16"/>
        <v>2.9124697558785599</v>
      </c>
      <c r="AK42" s="4"/>
      <c r="AL42" s="175">
        <f t="shared" si="7"/>
        <v>8879.2000755737572</v>
      </c>
      <c r="AM42" s="4"/>
      <c r="AN42" s="176">
        <f>INDEX('(2.2)_Forward_Price_Curve'!$G:$G,MATCH($AB42,'(2.2)_Forward_Price_Curve'!$C:$C,0),1)</f>
        <v>10.286225465001079</v>
      </c>
      <c r="AO42" s="4"/>
      <c r="AP42" s="176">
        <f t="shared" si="8"/>
        <v>74.739933640504091</v>
      </c>
      <c r="AQ42" s="4"/>
      <c r="AR42" s="176">
        <f t="shared" si="17"/>
        <v>3.0147619901951468</v>
      </c>
      <c r="AS42" s="176"/>
      <c r="AT42" s="175">
        <f t="shared" si="3"/>
        <v>3990.9618656348021</v>
      </c>
      <c r="AU42" s="4"/>
      <c r="AV42" s="175">
        <f t="shared" si="4"/>
        <v>30567.668914060923</v>
      </c>
      <c r="AW42" s="318"/>
      <c r="AX42" s="177">
        <f t="shared" si="9"/>
        <v>34558.630779695726</v>
      </c>
      <c r="AZ42" s="168">
        <f>+IF(AZ41&gt;$G$13+$G$14,XX,AZ41+1)</f>
        <v>2021</v>
      </c>
      <c r="BA42" s="138"/>
      <c r="BB42" s="176">
        <f t="shared" si="18"/>
        <v>49.518634559273899</v>
      </c>
      <c r="BC42" s="4"/>
      <c r="BD42" s="176">
        <f t="shared" si="19"/>
        <v>7.5289714665379366</v>
      </c>
      <c r="BE42" s="4"/>
      <c r="BF42" s="175">
        <f t="shared" si="10"/>
        <v>4888.2382099389552</v>
      </c>
      <c r="BG42" s="4"/>
      <c r="BH42" s="179"/>
    </row>
    <row r="43" spans="2:60" ht="12">
      <c r="B43" s="3"/>
      <c r="C43" s="7">
        <f>+IF(C42&gt;$G$13+$G$14,XX,C42+1)</f>
        <v>2022</v>
      </c>
      <c r="D43" s="7"/>
      <c r="E43" s="311">
        <v>1.9E-2</v>
      </c>
      <c r="F43" s="7"/>
      <c r="G43" s="23">
        <v>393129.55527784419</v>
      </c>
      <c r="H43" s="7"/>
      <c r="I43" s="30">
        <f t="shared" si="11"/>
        <v>238.16607998208013</v>
      </c>
      <c r="J43" s="7"/>
      <c r="K43" s="30">
        <f t="shared" si="12"/>
        <v>22.162417605484983</v>
      </c>
      <c r="L43" s="7"/>
      <c r="M43" s="30">
        <f t="shared" si="13"/>
        <v>0</v>
      </c>
      <c r="N43" s="7"/>
      <c r="O43" s="314">
        <v>6.6910028326195539</v>
      </c>
      <c r="P43" s="7"/>
      <c r="Q43" s="30">
        <v>0</v>
      </c>
      <c r="R43" s="7"/>
      <c r="S43" s="23">
        <f t="shared" si="5"/>
        <v>44781.649974560743</v>
      </c>
      <c r="T43" s="7"/>
      <c r="U43" s="23">
        <f t="shared" si="0"/>
        <v>35215.893668977486</v>
      </c>
      <c r="V43" s="7"/>
      <c r="W43" s="23">
        <f t="shared" si="1"/>
        <v>9565.7563055832579</v>
      </c>
      <c r="X43" s="7"/>
      <c r="Y43" s="315">
        <f t="shared" si="6"/>
        <v>24.332325507357648</v>
      </c>
      <c r="Z43" s="271"/>
      <c r="AB43" s="168">
        <f>+IF(AB42&gt;$G$13+$G$14,XX,AB42+1)</f>
        <v>2022</v>
      </c>
      <c r="AC43" s="138"/>
      <c r="AD43" s="173">
        <f t="shared" si="2"/>
        <v>393129.55527784419</v>
      </c>
      <c r="AE43" s="4"/>
      <c r="AF43" s="176">
        <f t="shared" si="14"/>
        <v>74.88532692743118</v>
      </c>
      <c r="AG43" s="4"/>
      <c r="AH43" s="176">
        <f t="shared" si="15"/>
        <v>10.55762418476794</v>
      </c>
      <c r="AI43" s="4"/>
      <c r="AJ43" s="176">
        <f t="shared" si="16"/>
        <v>2.9678066812402522</v>
      </c>
      <c r="AK43" s="4"/>
      <c r="AL43" s="175">
        <f t="shared" si="7"/>
        <v>9047.904877009656</v>
      </c>
      <c r="AM43" s="4"/>
      <c r="AN43" s="176">
        <f>INDEX('(2.2)_Forward_Price_Curve'!$G:$G,MATCH($AB43,'(2.2)_Forward_Price_Curve'!$C:$C,0),1)</f>
        <v>10.481890917487915</v>
      </c>
      <c r="AO43" s="4"/>
      <c r="AP43" s="176">
        <f t="shared" si="8"/>
        <v>76.16164299194341</v>
      </c>
      <c r="AQ43" s="4"/>
      <c r="AR43" s="176">
        <f t="shared" si="17"/>
        <v>3.0720424680088545</v>
      </c>
      <c r="AS43" s="176"/>
      <c r="AT43" s="175">
        <f t="shared" si="3"/>
        <v>4066.7901410818613</v>
      </c>
      <c r="AU43" s="4"/>
      <c r="AV43" s="175">
        <f t="shared" si="4"/>
        <v>31149.103527895626</v>
      </c>
      <c r="AW43" s="318"/>
      <c r="AX43" s="177">
        <f t="shared" si="9"/>
        <v>35215.893668977486</v>
      </c>
      <c r="AZ43" s="168">
        <f>+IF(AZ42&gt;$G$13+$G$14,XX,AZ42+1)</f>
        <v>2022</v>
      </c>
      <c r="BA43" s="138"/>
      <c r="BB43" s="176">
        <f t="shared" si="18"/>
        <v>50.459488615900099</v>
      </c>
      <c r="BC43" s="4"/>
      <c r="BD43" s="176">
        <f t="shared" si="19"/>
        <v>7.6720219244021566</v>
      </c>
      <c r="BE43" s="4"/>
      <c r="BF43" s="175">
        <f t="shared" si="10"/>
        <v>4981.1147359277948</v>
      </c>
      <c r="BG43" s="4"/>
      <c r="BH43" s="179"/>
    </row>
    <row r="44" spans="2:60" ht="12">
      <c r="B44" s="3"/>
      <c r="C44" s="7">
        <f>+IF(C43&gt;$G$13+$G$14,XX,C43+1)</f>
        <v>2023</v>
      </c>
      <c r="D44" s="7"/>
      <c r="E44" s="311">
        <v>1.9E-2</v>
      </c>
      <c r="F44" s="7"/>
      <c r="G44" s="23">
        <v>393129.55527784419</v>
      </c>
      <c r="H44" s="7"/>
      <c r="I44" s="30">
        <f t="shared" si="11"/>
        <v>242.69123550173964</v>
      </c>
      <c r="J44" s="7"/>
      <c r="K44" s="30">
        <f t="shared" si="12"/>
        <v>22.583503539989195</v>
      </c>
      <c r="L44" s="7"/>
      <c r="M44" s="30">
        <f t="shared" si="13"/>
        <v>0</v>
      </c>
      <c r="N44" s="7"/>
      <c r="O44" s="314">
        <v>6.8181318864393248</v>
      </c>
      <c r="P44" s="7"/>
      <c r="Q44" s="30">
        <v>0</v>
      </c>
      <c r="R44" s="7"/>
      <c r="S44" s="23">
        <f t="shared" si="5"/>
        <v>45632.501324077406</v>
      </c>
      <c r="T44" s="7"/>
      <c r="U44" s="23">
        <f t="shared" si="0"/>
        <v>35880.690377789208</v>
      </c>
      <c r="V44" s="7"/>
      <c r="W44" s="23">
        <f t="shared" si="1"/>
        <v>9751.8109462881985</v>
      </c>
      <c r="X44" s="7"/>
      <c r="Y44" s="315">
        <f t="shared" si="6"/>
        <v>24.805590969613334</v>
      </c>
      <c r="Z44" s="271"/>
      <c r="AB44" s="168">
        <f>+IF(AB43&gt;$G$13+$G$14,XX,AB43+1)</f>
        <v>2023</v>
      </c>
      <c r="AC44" s="138"/>
      <c r="AD44" s="173">
        <f t="shared" si="2"/>
        <v>393129.55527784419</v>
      </c>
      <c r="AE44" s="4"/>
      <c r="AF44" s="176">
        <f t="shared" si="14"/>
        <v>76.308148139052363</v>
      </c>
      <c r="AG44" s="4"/>
      <c r="AH44" s="176">
        <f t="shared" si="15"/>
        <v>10.75821904427853</v>
      </c>
      <c r="AI44" s="4"/>
      <c r="AJ44" s="176">
        <f t="shared" si="16"/>
        <v>3.0241950081838165</v>
      </c>
      <c r="AK44" s="4"/>
      <c r="AL44" s="175">
        <f t="shared" si="7"/>
        <v>9219.8150696728389</v>
      </c>
      <c r="AM44" s="4"/>
      <c r="AN44" s="176">
        <f>INDEX('(2.2)_Forward_Price_Curve'!$G:$G,MATCH($AB44,'(2.2)_Forward_Price_Curve'!$C:$C,0),1)</f>
        <v>10.679539654517416</v>
      </c>
      <c r="AO44" s="4"/>
      <c r="AP44" s="176">
        <f t="shared" si="8"/>
        <v>77.597762931174486</v>
      </c>
      <c r="AQ44" s="4"/>
      <c r="AR44" s="176">
        <f t="shared" si="17"/>
        <v>3.1304112749010224</v>
      </c>
      <c r="AS44" s="176"/>
      <c r="AT44" s="175">
        <f t="shared" si="3"/>
        <v>4144.0591537624159</v>
      </c>
      <c r="AU44" s="4"/>
      <c r="AV44" s="175">
        <f t="shared" si="4"/>
        <v>31736.631224026794</v>
      </c>
      <c r="AW44" s="318"/>
      <c r="AX44" s="177">
        <f t="shared" si="9"/>
        <v>35880.690377789208</v>
      </c>
      <c r="AZ44" s="168">
        <f>+IF(AZ43&gt;$G$13+$G$14,XX,AZ43+1)</f>
        <v>2023</v>
      </c>
      <c r="BA44" s="138"/>
      <c r="BB44" s="176">
        <f t="shared" si="18"/>
        <v>51.418218899602195</v>
      </c>
      <c r="BC44" s="4"/>
      <c r="BD44" s="176">
        <f t="shared" si="19"/>
        <v>7.8177903409657965</v>
      </c>
      <c r="BE44" s="4"/>
      <c r="BF44" s="175">
        <f t="shared" si="10"/>
        <v>5075.755915910423</v>
      </c>
      <c r="BG44" s="4"/>
      <c r="BH44" s="179"/>
    </row>
    <row r="45" spans="2:60" ht="12">
      <c r="B45" s="3"/>
      <c r="C45" s="7">
        <f>+IF(C44&gt;$G$13+$G$14,XX,C44+1)</f>
        <v>2024</v>
      </c>
      <c r="D45" s="7"/>
      <c r="E45" s="311">
        <v>1.9E-2</v>
      </c>
      <c r="F45" s="7"/>
      <c r="G45" s="23">
        <v>394331.98409973102</v>
      </c>
      <c r="H45" s="7"/>
      <c r="I45" s="30">
        <f t="shared" si="11"/>
        <v>247.30236897627267</v>
      </c>
      <c r="J45" s="7"/>
      <c r="K45" s="30">
        <f t="shared" si="12"/>
        <v>23.012590107248986</v>
      </c>
      <c r="L45" s="7"/>
      <c r="M45" s="30">
        <f t="shared" si="13"/>
        <v>0</v>
      </c>
      <c r="N45" s="7"/>
      <c r="O45" s="314">
        <v>6.9476763922816716</v>
      </c>
      <c r="P45" s="7"/>
      <c r="Q45" s="30">
        <v>0</v>
      </c>
      <c r="R45" s="7"/>
      <c r="S45" s="23">
        <f t="shared" si="5"/>
        <v>46535.543937185306</v>
      </c>
      <c r="T45" s="7"/>
      <c r="U45" s="23">
        <f t="shared" si="0"/>
        <v>36668.304863747391</v>
      </c>
      <c r="V45" s="7"/>
      <c r="W45" s="23">
        <f t="shared" si="1"/>
        <v>9867.2390734379151</v>
      </c>
      <c r="X45" s="7"/>
      <c r="Y45" s="315">
        <f t="shared" si="6"/>
        <v>25.022669910900195</v>
      </c>
      <c r="Z45" s="271"/>
      <c r="AB45" s="168">
        <f>+IF(AB44&gt;$G$13+$G$14,XX,AB44+1)</f>
        <v>2024</v>
      </c>
      <c r="AC45" s="138"/>
      <c r="AD45" s="173">
        <f t="shared" si="2"/>
        <v>394331.98409973102</v>
      </c>
      <c r="AE45" s="4"/>
      <c r="AF45" s="176">
        <f t="shared" si="14"/>
        <v>77.758002953694344</v>
      </c>
      <c r="AG45" s="4"/>
      <c r="AH45" s="176">
        <f t="shared" si="15"/>
        <v>10.962625206119821</v>
      </c>
      <c r="AI45" s="4"/>
      <c r="AJ45" s="176">
        <f t="shared" si="16"/>
        <v>3.0816547133393088</v>
      </c>
      <c r="AK45" s="4"/>
      <c r="AL45" s="175">
        <f t="shared" si="7"/>
        <v>9398.6970264430438</v>
      </c>
      <c r="AM45" s="4"/>
      <c r="AN45" s="176">
        <f>INDEX('(2.2)_Forward_Price_Curve'!$G:$G,MATCH($AB45,'(2.2)_Forward_Price_Curve'!$C:$C,0),1)</f>
        <v>10.883589278444866</v>
      </c>
      <c r="AO45" s="4"/>
      <c r="AP45" s="176">
        <f t="shared" si="8"/>
        <v>79.080391851141073</v>
      </c>
      <c r="AQ45" s="4"/>
      <c r="AR45" s="176">
        <f t="shared" si="17"/>
        <v>3.1898890891241414</v>
      </c>
      <c r="AS45" s="176"/>
      <c r="AT45" s="175">
        <f t="shared" si="3"/>
        <v>4226.5017481303239</v>
      </c>
      <c r="AU45" s="4"/>
      <c r="AV45" s="175">
        <f t="shared" si="4"/>
        <v>32441.803115617065</v>
      </c>
      <c r="AW45" s="318"/>
      <c r="AX45" s="177">
        <f t="shared" si="9"/>
        <v>36668.304863747391</v>
      </c>
      <c r="AZ45" s="168">
        <f>+IF(AZ44&gt;$G$13+$G$14,XX,AZ44+1)</f>
        <v>2024</v>
      </c>
      <c r="BA45" s="138"/>
      <c r="BB45" s="176">
        <f t="shared" si="18"/>
        <v>52.39516505869463</v>
      </c>
      <c r="BC45" s="4"/>
      <c r="BD45" s="176">
        <f t="shared" si="19"/>
        <v>7.9663283574441461</v>
      </c>
      <c r="BE45" s="4"/>
      <c r="BF45" s="175">
        <f t="shared" si="10"/>
        <v>5172.1952783127199</v>
      </c>
      <c r="BG45" s="4"/>
      <c r="BH45" s="179"/>
    </row>
    <row r="46" spans="2:60" ht="12">
      <c r="B46" s="3"/>
      <c r="C46" s="7">
        <f>+IF(C45&gt;$G$13+$G$14,XX,C45+1)</f>
        <v>2025</v>
      </c>
      <c r="D46" s="7"/>
      <c r="E46" s="311">
        <v>1.9E-2</v>
      </c>
      <c r="F46" s="7"/>
      <c r="G46" s="23">
        <v>393129.55527784419</v>
      </c>
      <c r="H46" s="7"/>
      <c r="I46" s="30">
        <f t="shared" si="11"/>
        <v>252.00111398682182</v>
      </c>
      <c r="J46" s="7"/>
      <c r="K46" s="30">
        <f t="shared" si="12"/>
        <v>23.449829319286714</v>
      </c>
      <c r="L46" s="7"/>
      <c r="M46" s="30">
        <f t="shared" si="13"/>
        <v>0</v>
      </c>
      <c r="N46" s="7"/>
      <c r="O46" s="314">
        <v>7.0796822437350224</v>
      </c>
      <c r="P46" s="7"/>
      <c r="Q46" s="30">
        <v>0</v>
      </c>
      <c r="R46" s="7"/>
      <c r="S46" s="23">
        <f t="shared" si="5"/>
        <v>47383.009707370329</v>
      </c>
      <c r="T46" s="7"/>
      <c r="U46" s="23">
        <f t="shared" si="0"/>
        <v>37259.705047878575</v>
      </c>
      <c r="V46" s="7"/>
      <c r="W46" s="23">
        <f t="shared" si="1"/>
        <v>10123.304659491754</v>
      </c>
      <c r="X46" s="7"/>
      <c r="Y46" s="315">
        <f t="shared" si="6"/>
        <v>25.750556078993128</v>
      </c>
      <c r="Z46" s="271"/>
      <c r="AB46" s="168">
        <f>+IF(AB45&gt;$G$13+$G$14,XX,AB45+1)</f>
        <v>2025</v>
      </c>
      <c r="AC46" s="138"/>
      <c r="AD46" s="173">
        <f t="shared" si="2"/>
        <v>393129.55527784419</v>
      </c>
      <c r="AE46" s="4"/>
      <c r="AF46" s="176">
        <f t="shared" si="14"/>
        <v>79.235405009814528</v>
      </c>
      <c r="AG46" s="4"/>
      <c r="AH46" s="176">
        <f t="shared" si="15"/>
        <v>11.170915085036096</v>
      </c>
      <c r="AI46" s="4"/>
      <c r="AJ46" s="176">
        <f t="shared" si="16"/>
        <v>3.1402061528927554</v>
      </c>
      <c r="AK46" s="4"/>
      <c r="AL46" s="175">
        <f t="shared" si="7"/>
        <v>9573.4963955605563</v>
      </c>
      <c r="AM46" s="4"/>
      <c r="AN46" s="176">
        <f>INDEX('(2.2)_Forward_Price_Curve'!$G:$G,MATCH($AB46,'(2.2)_Forward_Price_Curve'!$C:$C,0),1)</f>
        <v>11.090126110825569</v>
      </c>
      <c r="AO46" s="4"/>
      <c r="AP46" s="176">
        <f t="shared" si="8"/>
        <v>80.581092880782762</v>
      </c>
      <c r="AQ46" s="4"/>
      <c r="AR46" s="176">
        <f t="shared" si="17"/>
        <v>3.2504969818174998</v>
      </c>
      <c r="AS46" s="176"/>
      <c r="AT46" s="175">
        <f t="shared" si="3"/>
        <v>4303.0294069598958</v>
      </c>
      <c r="AU46" s="4"/>
      <c r="AV46" s="175">
        <f t="shared" si="4"/>
        <v>32956.675640918678</v>
      </c>
      <c r="AW46" s="318"/>
      <c r="AX46" s="177">
        <f t="shared" si="9"/>
        <v>37259.705047878575</v>
      </c>
      <c r="AZ46" s="168">
        <f>+IF(AZ45&gt;$G$13+$G$14,XX,AZ45+1)</f>
        <v>2025</v>
      </c>
      <c r="BA46" s="138"/>
      <c r="BB46" s="176">
        <f t="shared" si="18"/>
        <v>53.390673194809821</v>
      </c>
      <c r="BC46" s="4"/>
      <c r="BD46" s="176">
        <f t="shared" si="19"/>
        <v>8.1176885962355847</v>
      </c>
      <c r="BE46" s="4"/>
      <c r="BF46" s="175">
        <f t="shared" si="10"/>
        <v>5270.4669886006604</v>
      </c>
      <c r="BG46" s="4"/>
      <c r="BH46" s="179"/>
    </row>
    <row r="47" spans="2:60" ht="12">
      <c r="B47" s="3"/>
      <c r="C47" s="7">
        <f>+IF(C46&gt;$G$13+$G$14,XX,C46+1)</f>
        <v>2026</v>
      </c>
      <c r="D47" s="7"/>
      <c r="E47" s="311">
        <v>1.9E-2</v>
      </c>
      <c r="F47" s="7"/>
      <c r="G47" s="23">
        <v>393129.55527784419</v>
      </c>
      <c r="H47" s="7"/>
      <c r="I47" s="30">
        <f t="shared" si="11"/>
        <v>256.78913515257142</v>
      </c>
      <c r="J47" s="7"/>
      <c r="K47" s="30">
        <f t="shared" si="12"/>
        <v>23.895376076353159</v>
      </c>
      <c r="L47" s="7"/>
      <c r="M47" s="30">
        <f t="shared" si="13"/>
        <v>0</v>
      </c>
      <c r="N47" s="7"/>
      <c r="O47" s="314">
        <v>7.2141962063659868</v>
      </c>
      <c r="P47" s="7"/>
      <c r="Q47" s="30">
        <v>0</v>
      </c>
      <c r="R47" s="7"/>
      <c r="S47" s="23">
        <f t="shared" si="5"/>
        <v>48283.286891810356</v>
      </c>
      <c r="T47" s="7"/>
      <c r="U47" s="23">
        <f t="shared" si="0"/>
        <v>37962.718790825849</v>
      </c>
      <c r="V47" s="7"/>
      <c r="W47" s="23">
        <f t="shared" si="1"/>
        <v>10320.568100984507</v>
      </c>
      <c r="X47" s="7"/>
      <c r="Y47" s="315">
        <f t="shared" si="6"/>
        <v>26.252333263751812</v>
      </c>
      <c r="Z47" s="271"/>
      <c r="AB47" s="168">
        <f>+IF(AB46&gt;$G$13+$G$14,XX,AB46+1)</f>
        <v>2026</v>
      </c>
      <c r="AC47" s="138"/>
      <c r="AD47" s="173">
        <f t="shared" si="2"/>
        <v>393129.55527784419</v>
      </c>
      <c r="AE47" s="4"/>
      <c r="AF47" s="176">
        <f t="shared" si="14"/>
        <v>80.740877705000997</v>
      </c>
      <c r="AG47" s="4"/>
      <c r="AH47" s="176">
        <f t="shared" si="15"/>
        <v>11.383162471651781</v>
      </c>
      <c r="AI47" s="4"/>
      <c r="AJ47" s="176">
        <f t="shared" si="16"/>
        <v>3.1998700697977176</v>
      </c>
      <c r="AK47" s="4"/>
      <c r="AL47" s="175">
        <f t="shared" si="7"/>
        <v>9755.3928270762081</v>
      </c>
      <c r="AM47" s="4"/>
      <c r="AN47" s="176">
        <f>INDEX('(2.2)_Forward_Price_Curve'!$G:$G,MATCH($AB47,'(2.2)_Forward_Price_Curve'!$C:$C,0),1)</f>
        <v>11.299115883408938</v>
      </c>
      <c r="AO47" s="4"/>
      <c r="AP47" s="176">
        <f t="shared" si="8"/>
        <v>82.099617026259821</v>
      </c>
      <c r="AQ47" s="4"/>
      <c r="AR47" s="176">
        <f t="shared" si="17"/>
        <v>3.3122564244720318</v>
      </c>
      <c r="AS47" s="176"/>
      <c r="AT47" s="175">
        <f t="shared" si="3"/>
        <v>4384.7869656921357</v>
      </c>
      <c r="AU47" s="4"/>
      <c r="AV47" s="175">
        <f t="shared" si="4"/>
        <v>33577.931825133717</v>
      </c>
      <c r="AW47" s="318"/>
      <c r="AX47" s="177">
        <f t="shared" si="9"/>
        <v>37962.718790825849</v>
      </c>
      <c r="AZ47" s="168">
        <f>+IF(AZ46&gt;$G$13+$G$14,XX,AZ46+1)</f>
        <v>2026</v>
      </c>
      <c r="BA47" s="138"/>
      <c r="BB47" s="176">
        <f t="shared" si="18"/>
        <v>54.405095985511203</v>
      </c>
      <c r="BC47" s="4"/>
      <c r="BD47" s="176">
        <f t="shared" si="19"/>
        <v>8.2719246795640604</v>
      </c>
      <c r="BE47" s="4"/>
      <c r="BF47" s="175">
        <f t="shared" si="10"/>
        <v>5370.6058613840723</v>
      </c>
      <c r="BG47" s="4"/>
      <c r="BH47" s="179"/>
    </row>
    <row r="48" spans="2:60" ht="12">
      <c r="B48" s="3"/>
      <c r="C48" s="7">
        <f>+IF(C47&gt;$G$13+$G$14,XX,C47+1)</f>
        <v>2027</v>
      </c>
      <c r="D48" s="7"/>
      <c r="E48" s="311">
        <v>1.9E-2</v>
      </c>
      <c r="F48" s="7"/>
      <c r="G48" s="23">
        <f>G47</f>
        <v>393129.55527784419</v>
      </c>
      <c r="H48" s="7"/>
      <c r="I48" s="30">
        <f t="shared" si="11"/>
        <v>261.66812872047024</v>
      </c>
      <c r="J48" s="7"/>
      <c r="K48" s="30">
        <f t="shared" si="12"/>
        <v>24.349388221803867</v>
      </c>
      <c r="L48" s="7"/>
      <c r="M48" s="30">
        <f t="shared" si="13"/>
        <v>0</v>
      </c>
      <c r="N48" s="7"/>
      <c r="O48" s="314">
        <v>7.35126593428694</v>
      </c>
      <c r="P48" s="7"/>
      <c r="Q48" s="30">
        <v>0</v>
      </c>
      <c r="R48" s="7"/>
      <c r="S48" s="23">
        <f t="shared" si="5"/>
        <v>49200.669342754751</v>
      </c>
      <c r="T48" s="7"/>
      <c r="U48" s="23">
        <f t="shared" si="0"/>
        <v>38680.646934661439</v>
      </c>
      <c r="V48" s="7"/>
      <c r="W48" s="23">
        <f t="shared" si="1"/>
        <v>10520.022408093311</v>
      </c>
      <c r="X48" s="7"/>
      <c r="Y48" s="315">
        <f t="shared" si="6"/>
        <v>26.759683333038364</v>
      </c>
      <c r="Z48" s="271"/>
      <c r="AB48" s="168">
        <f>+IF(AB47&gt;$G$13+$G$14,XX,AB47+1)</f>
        <v>2027</v>
      </c>
      <c r="AC48" s="138"/>
      <c r="AD48" s="173">
        <f t="shared" si="2"/>
        <v>393129.55527784419</v>
      </c>
      <c r="AE48" s="4"/>
      <c r="AF48" s="176">
        <f t="shared" si="14"/>
        <v>82.274954381396014</v>
      </c>
      <c r="AG48" s="4"/>
      <c r="AH48" s="176">
        <f t="shared" si="15"/>
        <v>11.599442558613164</v>
      </c>
      <c r="AI48" s="4"/>
      <c r="AJ48" s="176">
        <f t="shared" si="16"/>
        <v>3.260667601123874</v>
      </c>
      <c r="AK48" s="4"/>
      <c r="AL48" s="175">
        <f t="shared" si="7"/>
        <v>9940.7452907906536</v>
      </c>
      <c r="AM48" s="4"/>
      <c r="AN48" s="176">
        <f>INDEX('(2.2)_Forward_Price_Curve'!$G:$G,MATCH($AB48,'(2.2)_Forward_Price_Curve'!$C:$C,0),1)</f>
        <v>11.51262158558478</v>
      </c>
      <c r="AO48" s="4"/>
      <c r="AP48" s="176">
        <f t="shared" si="8"/>
        <v>83.650954012483467</v>
      </c>
      <c r="AQ48" s="4"/>
      <c r="AR48" s="176">
        <f t="shared" si="17"/>
        <v>3.3751892965370001</v>
      </c>
      <c r="AS48" s="176"/>
      <c r="AT48" s="175">
        <f t="shared" si="3"/>
        <v>4468.0979180402837</v>
      </c>
      <c r="AU48" s="4"/>
      <c r="AV48" s="175">
        <f t="shared" si="4"/>
        <v>34212.549016621153</v>
      </c>
      <c r="AW48" s="318"/>
      <c r="AX48" s="177">
        <f t="shared" si="9"/>
        <v>38680.646934661439</v>
      </c>
      <c r="AZ48" s="168">
        <f>+IF(AZ47&gt;$G$13+$G$14,XX,AZ47+1)</f>
        <v>2027</v>
      </c>
      <c r="BA48" s="138"/>
      <c r="BB48" s="176">
        <f t="shared" si="18"/>
        <v>55.438792809235913</v>
      </c>
      <c r="BC48" s="4"/>
      <c r="BD48" s="176">
        <f t="shared" si="19"/>
        <v>8.4290912484757765</v>
      </c>
      <c r="BE48" s="4"/>
      <c r="BF48" s="175">
        <f t="shared" si="10"/>
        <v>5472.6473727503699</v>
      </c>
      <c r="BG48" s="4"/>
      <c r="BH48" s="179"/>
    </row>
    <row r="49" spans="2:60" ht="12">
      <c r="B49" s="3"/>
      <c r="C49" s="7">
        <f>+IF(C48&gt;$G$13+$G$14,XX,C48+1)</f>
        <v>2028</v>
      </c>
      <c r="D49" s="7"/>
      <c r="E49" s="311">
        <v>1.9E-2</v>
      </c>
      <c r="F49" s="7"/>
      <c r="G49" s="23">
        <f>G45</f>
        <v>394331.98409973102</v>
      </c>
      <c r="H49" s="7"/>
      <c r="I49" s="30">
        <f t="shared" si="11"/>
        <v>266.63982316615915</v>
      </c>
      <c r="J49" s="7"/>
      <c r="K49" s="30">
        <f t="shared" si="12"/>
        <v>24.812026598018139</v>
      </c>
      <c r="L49" s="7"/>
      <c r="M49" s="30">
        <f t="shared" si="13"/>
        <v>0</v>
      </c>
      <c r="N49" s="7"/>
      <c r="O49" s="314">
        <v>7.4909399870383915</v>
      </c>
      <c r="P49" s="7"/>
      <c r="Q49" s="30">
        <v>0</v>
      </c>
      <c r="R49" s="7"/>
      <c r="S49" s="23">
        <f t="shared" si="5"/>
        <v>50174.324078321399</v>
      </c>
      <c r="T49" s="7"/>
      <c r="U49" s="23">
        <f t="shared" si="0"/>
        <v>39531.576058208229</v>
      </c>
      <c r="V49" s="7"/>
      <c r="W49" s="23">
        <f t="shared" si="1"/>
        <v>10642.748020113169</v>
      </c>
      <c r="X49" s="7"/>
      <c r="Y49" s="315">
        <f t="shared" si="6"/>
        <v>26.989309640735353</v>
      </c>
      <c r="Z49" s="271"/>
      <c r="AB49" s="168">
        <f>+IF(AB48&gt;$G$13+$G$14,XX,AB48+1)</f>
        <v>2028</v>
      </c>
      <c r="AC49" s="138"/>
      <c r="AD49" s="173">
        <f t="shared" si="2"/>
        <v>394331.98409973102</v>
      </c>
      <c r="AE49" s="4"/>
      <c r="AF49" s="176">
        <f t="shared" si="14"/>
        <v>83.838178514642536</v>
      </c>
      <c r="AG49" s="4"/>
      <c r="AH49" s="176">
        <f t="shared" si="15"/>
        <v>11.819831967226813</v>
      </c>
      <c r="AI49" s="4"/>
      <c r="AJ49" s="176">
        <f t="shared" si="16"/>
        <v>3.3226202855452271</v>
      </c>
      <c r="AK49" s="4"/>
      <c r="AL49" s="175">
        <f t="shared" si="7"/>
        <v>10133.6146657112</v>
      </c>
      <c r="AM49" s="4"/>
      <c r="AN49" s="176">
        <f>INDEX('(2.2)_Forward_Price_Curve'!$G:$G,MATCH($AB49,'(2.2)_Forward_Price_Curve'!$C:$C,0),1)</f>
        <v>11.7332358254813</v>
      </c>
      <c r="AO49" s="4"/>
      <c r="AP49" s="176">
        <f t="shared" si="8"/>
        <v>85.253941785415222</v>
      </c>
      <c r="AQ49" s="4"/>
      <c r="AR49" s="176">
        <f t="shared" si="17"/>
        <v>3.4393178931712027</v>
      </c>
      <c r="AS49" s="176"/>
      <c r="AT49" s="175">
        <f t="shared" si="3"/>
        <v>4556.9869928785738</v>
      </c>
      <c r="AU49" s="4"/>
      <c r="AV49" s="175">
        <f t="shared" si="4"/>
        <v>34974.589065329659</v>
      </c>
      <c r="AW49" s="318"/>
      <c r="AX49" s="177">
        <f t="shared" si="9"/>
        <v>39531.576058208229</v>
      </c>
      <c r="AZ49" s="168">
        <f>+IF(AZ48&gt;$G$13+$G$14,XX,AZ48+1)</f>
        <v>2028</v>
      </c>
      <c r="BA49" s="138"/>
      <c r="BB49" s="176">
        <f t="shared" si="18"/>
        <v>56.492129872611393</v>
      </c>
      <c r="BC49" s="4"/>
      <c r="BD49" s="176">
        <f t="shared" si="19"/>
        <v>8.5892439821968161</v>
      </c>
      <c r="BE49" s="4"/>
      <c r="BF49" s="175">
        <f t="shared" si="10"/>
        <v>5576.6276728326266</v>
      </c>
      <c r="BG49" s="4"/>
      <c r="BH49" s="179"/>
    </row>
    <row r="50" spans="2:60" ht="12">
      <c r="B50" s="3"/>
      <c r="C50" s="7">
        <f>+IF(C49&gt;$G$13+$G$14,XX,C49+1)</f>
        <v>2029</v>
      </c>
      <c r="D50" s="7"/>
      <c r="E50" s="311">
        <v>1.9E-2</v>
      </c>
      <c r="F50" s="7"/>
      <c r="G50" s="23">
        <f>G48</f>
        <v>393129.55527784419</v>
      </c>
      <c r="H50" s="7"/>
      <c r="I50" s="30">
        <f t="shared" si="11"/>
        <v>271.70597980631612</v>
      </c>
      <c r="J50" s="7"/>
      <c r="K50" s="30">
        <f t="shared" si="12"/>
        <v>25.283455103380483</v>
      </c>
      <c r="L50" s="7"/>
      <c r="M50" s="30">
        <f t="shared" si="13"/>
        <v>0</v>
      </c>
      <c r="N50" s="7"/>
      <c r="O50" s="314">
        <v>7.63326784679212</v>
      </c>
      <c r="P50" s="7"/>
      <c r="Q50" s="30">
        <v>0</v>
      </c>
      <c r="R50" s="7"/>
      <c r="S50" s="23">
        <f t="shared" si="5"/>
        <v>51088.056219412145</v>
      </c>
      <c r="T50" s="7"/>
      <c r="U50" s="23">
        <f t="shared" si="0"/>
        <v>40160.708739588881</v>
      </c>
      <c r="V50" s="7"/>
      <c r="W50" s="23">
        <f t="shared" si="1"/>
        <v>10927.347479823264</v>
      </c>
      <c r="X50" s="7"/>
      <c r="Y50" s="315">
        <f t="shared" si="6"/>
        <v>27.795792336448386</v>
      </c>
      <c r="Z50" s="271"/>
      <c r="AB50" s="168">
        <f>+IF(AB49&gt;$G$13+$G$14,XX,AB49+1)</f>
        <v>2029</v>
      </c>
      <c r="AC50" s="138"/>
      <c r="AD50" s="173">
        <f t="shared" si="2"/>
        <v>393129.55527784419</v>
      </c>
      <c r="AE50" s="4"/>
      <c r="AF50" s="176">
        <f t="shared" si="14"/>
        <v>85.431103906420731</v>
      </c>
      <c r="AG50" s="4"/>
      <c r="AH50" s="176">
        <f t="shared" si="15"/>
        <v>12.044408774604122</v>
      </c>
      <c r="AI50" s="4"/>
      <c r="AJ50" s="176">
        <f t="shared" si="16"/>
        <v>3.3857500709705861</v>
      </c>
      <c r="AK50" s="4"/>
      <c r="AL50" s="175">
        <f t="shared" si="7"/>
        <v>10322.08222089067</v>
      </c>
      <c r="AM50" s="4"/>
      <c r="AN50" s="176">
        <f>INDEX('(2.2)_Forward_Price_Curve'!$G:$G,MATCH($AB50,'(2.2)_Forward_Price_Curve'!$C:$C,0),1)</f>
        <v>11.952938687642925</v>
      </c>
      <c r="AO50" s="4"/>
      <c r="AP50" s="176">
        <f t="shared" si="8"/>
        <v>86.850307468284981</v>
      </c>
      <c r="AQ50" s="4"/>
      <c r="AR50" s="176">
        <f t="shared" si="17"/>
        <v>3.5046649331414552</v>
      </c>
      <c r="AS50" s="176"/>
      <c r="AT50" s="175">
        <f t="shared" si="3"/>
        <v>4639.4986222742245</v>
      </c>
      <c r="AU50" s="4"/>
      <c r="AV50" s="175">
        <f t="shared" si="4"/>
        <v>35521.210117314658</v>
      </c>
      <c r="AW50" s="318"/>
      <c r="AX50" s="177">
        <f t="shared" si="9"/>
        <v>40160.708739588881</v>
      </c>
      <c r="AZ50" s="168">
        <f>+IF(AZ49&gt;$G$13+$G$14,XX,AZ49+1)</f>
        <v>2029</v>
      </c>
      <c r="BA50" s="138"/>
      <c r="BB50" s="176">
        <f t="shared" si="18"/>
        <v>57.565480340191002</v>
      </c>
      <c r="BC50" s="4"/>
      <c r="BD50" s="176">
        <f t="shared" si="19"/>
        <v>8.7524396178585544</v>
      </c>
      <c r="BE50" s="4"/>
      <c r="BF50" s="175">
        <f t="shared" si="10"/>
        <v>5682.5835986164457</v>
      </c>
      <c r="BG50" s="4"/>
      <c r="BH50" s="179"/>
    </row>
    <row r="51" spans="2:60" ht="12">
      <c r="B51" s="3"/>
      <c r="C51" s="7">
        <f>+IF(C50&gt;$G$13+$G$14,XX,C50+1)</f>
        <v>2030</v>
      </c>
      <c r="D51" s="7"/>
      <c r="E51" s="311">
        <v>0.02</v>
      </c>
      <c r="F51" s="7"/>
      <c r="G51" s="23">
        <f>G50</f>
        <v>393129.55527784419</v>
      </c>
      <c r="H51" s="7"/>
      <c r="I51" s="30">
        <f t="shared" si="11"/>
        <v>277.14009940244244</v>
      </c>
      <c r="J51" s="7"/>
      <c r="K51" s="30">
        <f t="shared" si="12"/>
        <v>25.789124205448093</v>
      </c>
      <c r="L51" s="7"/>
      <c r="M51" s="30">
        <f t="shared" si="13"/>
        <v>0</v>
      </c>
      <c r="N51" s="7"/>
      <c r="O51" s="314">
        <v>7.7859332037279625</v>
      </c>
      <c r="P51" s="7"/>
      <c r="Q51" s="30">
        <v>0</v>
      </c>
      <c r="R51" s="7"/>
      <c r="S51" s="23">
        <f t="shared" si="5"/>
        <v>52109.817343800394</v>
      </c>
      <c r="T51" s="7"/>
      <c r="U51" s="23">
        <f t="shared" si="0"/>
        <v>40966.148084004555</v>
      </c>
      <c r="V51" s="7"/>
      <c r="W51" s="23">
        <f t="shared" si="1"/>
        <v>11143.669259795839</v>
      </c>
      <c r="X51" s="7"/>
      <c r="Y51" s="315">
        <f t="shared" si="6"/>
        <v>28.346048039863231</v>
      </c>
      <c r="Z51" s="271"/>
      <c r="AB51" s="168">
        <f>+IF(AB50&gt;$G$13+$G$14,XX,AB50+1)</f>
        <v>2030</v>
      </c>
      <c r="AC51" s="138"/>
      <c r="AD51" s="173">
        <f t="shared" si="2"/>
        <v>393129.55527784419</v>
      </c>
      <c r="AE51" s="4"/>
      <c r="AF51" s="176">
        <f t="shared" si="14"/>
        <v>87.139725984549145</v>
      </c>
      <c r="AG51" s="4"/>
      <c r="AH51" s="176">
        <f t="shared" si="15"/>
        <v>12.285296950096205</v>
      </c>
      <c r="AI51" s="4"/>
      <c r="AJ51" s="176">
        <f t="shared" si="16"/>
        <v>3.453465072389998</v>
      </c>
      <c r="AK51" s="4"/>
      <c r="AL51" s="175">
        <f t="shared" si="7"/>
        <v>10528.523865308485</v>
      </c>
      <c r="AM51" s="4"/>
      <c r="AN51" s="176">
        <f>INDEX('(2.2)_Forward_Price_Curve'!$G:$G,MATCH($AB51,'(2.2)_Forward_Price_Curve'!$C:$C,0),1)</f>
        <v>12.192776449380618</v>
      </c>
      <c r="AO51" s="4"/>
      <c r="AP51" s="176">
        <f t="shared" si="8"/>
        <v>88.592973760964796</v>
      </c>
      <c r="AQ51" s="4"/>
      <c r="AR51" s="176">
        <f t="shared" si="17"/>
        <v>3.5747582318042843</v>
      </c>
      <c r="AS51" s="176"/>
      <c r="AT51" s="175">
        <f t="shared" si="3"/>
        <v>4732.2885947197101</v>
      </c>
      <c r="AU51" s="4"/>
      <c r="AV51" s="175">
        <f t="shared" si="4"/>
        <v>36233.859489284841</v>
      </c>
      <c r="AW51" s="318"/>
      <c r="AX51" s="177">
        <f t="shared" si="9"/>
        <v>40966.148084004555</v>
      </c>
      <c r="AZ51" s="168">
        <f>+IF(AZ50&gt;$G$13+$G$14,XX,AZ50+1)</f>
        <v>2030</v>
      </c>
      <c r="BA51" s="138"/>
      <c r="BB51" s="176">
        <f t="shared" si="18"/>
        <v>58.716789946994822</v>
      </c>
      <c r="BC51" s="4"/>
      <c r="BD51" s="176">
        <f t="shared" si="19"/>
        <v>8.9274884102157248</v>
      </c>
      <c r="BE51" s="4"/>
      <c r="BF51" s="175">
        <f t="shared" si="10"/>
        <v>5796.2352705887752</v>
      </c>
      <c r="BG51" s="4"/>
      <c r="BH51" s="179"/>
    </row>
    <row r="52" spans="2:60" ht="12">
      <c r="B52" s="3"/>
      <c r="C52" s="7">
        <f>+IF(C51&gt;$G$13+$G$14,XX,C51+1)</f>
        <v>2031</v>
      </c>
      <c r="D52" s="7"/>
      <c r="E52" s="311">
        <v>0.02</v>
      </c>
      <c r="F52" s="7"/>
      <c r="G52" s="23">
        <f>G51</f>
        <v>393129.55527784419</v>
      </c>
      <c r="H52" s="7"/>
      <c r="I52" s="30">
        <f t="shared" si="11"/>
        <v>282.68290139049128</v>
      </c>
      <c r="J52" s="7"/>
      <c r="K52" s="30">
        <f t="shared" si="12"/>
        <v>26.304906689557054</v>
      </c>
      <c r="L52" s="7"/>
      <c r="M52" s="30">
        <f t="shared" si="13"/>
        <v>0</v>
      </c>
      <c r="N52" s="7"/>
      <c r="O52" s="314">
        <v>7.9416518678025216</v>
      </c>
      <c r="P52" s="7"/>
      <c r="Q52" s="30">
        <v>0</v>
      </c>
      <c r="R52" s="7"/>
      <c r="S52" s="23">
        <f t="shared" si="5"/>
        <v>53152.013690676409</v>
      </c>
      <c r="T52" s="7"/>
      <c r="U52" s="23">
        <f t="shared" si="0"/>
        <v>41778.888248667667</v>
      </c>
      <c r="V52" s="7"/>
      <c r="W52" s="23">
        <f t="shared" si="1"/>
        <v>11373.125442008743</v>
      </c>
      <c r="X52" s="7"/>
      <c r="Y52" s="315">
        <f t="shared" si="6"/>
        <v>28.929713600318831</v>
      </c>
      <c r="Z52" s="271"/>
      <c r="AB52" s="168">
        <f>+IF(AB51&gt;$G$13+$G$14,XX,AB51+1)</f>
        <v>2031</v>
      </c>
      <c r="AC52" s="138"/>
      <c r="AD52" s="173">
        <f t="shared" si="2"/>
        <v>393129.55527784419</v>
      </c>
      <c r="AE52" s="4"/>
      <c r="AF52" s="176">
        <f t="shared" si="14"/>
        <v>88.882520504240134</v>
      </c>
      <c r="AG52" s="4"/>
      <c r="AH52" s="176">
        <f t="shared" si="15"/>
        <v>12.531002889098129</v>
      </c>
      <c r="AI52" s="4"/>
      <c r="AJ52" s="176">
        <f t="shared" si="16"/>
        <v>3.5225343738377979</v>
      </c>
      <c r="AK52" s="4"/>
      <c r="AL52" s="175">
        <f t="shared" si="7"/>
        <v>10739.094342614657</v>
      </c>
      <c r="AM52" s="4"/>
      <c r="AN52" s="176">
        <f>INDEX('(2.2)_Forward_Price_Curve'!$G:$G,MATCH($AB52,'(2.2)_Forward_Price_Curve'!$C:$C,0),1)</f>
        <v>12.434327471004936</v>
      </c>
      <c r="AO52" s="4"/>
      <c r="AP52" s="176">
        <f t="shared" si="8"/>
        <v>90.348088636525773</v>
      </c>
      <c r="AQ52" s="4"/>
      <c r="AR52" s="176">
        <f t="shared" si="17"/>
        <v>3.6462533964403701</v>
      </c>
      <c r="AS52" s="176"/>
      <c r="AT52" s="175">
        <f t="shared" si="3"/>
        <v>4826.9343666141058</v>
      </c>
      <c r="AU52" s="4"/>
      <c r="AV52" s="175">
        <f t="shared" si="4"/>
        <v>36951.95388205356</v>
      </c>
      <c r="AW52" s="318"/>
      <c r="AX52" s="177">
        <f t="shared" si="9"/>
        <v>41778.888248667667</v>
      </c>
      <c r="AZ52" s="168">
        <f>+IF(AZ51&gt;$G$13+$G$14,XX,AZ51+1)</f>
        <v>2031</v>
      </c>
      <c r="BA52" s="138"/>
      <c r="BB52" s="176">
        <f t="shared" si="18"/>
        <v>59.891125745934723</v>
      </c>
      <c r="BC52" s="4"/>
      <c r="BD52" s="176">
        <f t="shared" si="19"/>
        <v>9.1060381784200395</v>
      </c>
      <c r="BE52" s="4"/>
      <c r="BF52" s="175">
        <f>(BB52+BD52)*$BD$11</f>
        <v>5912.1599760005511</v>
      </c>
      <c r="BG52" s="4"/>
      <c r="BH52" s="179"/>
    </row>
    <row r="53" spans="2:60">
      <c r="B53" s="3"/>
      <c r="C53" s="4"/>
      <c r="D53" s="4"/>
      <c r="E53" s="192"/>
      <c r="F53" s="4"/>
      <c r="G53" s="309"/>
      <c r="H53" s="4"/>
      <c r="I53" s="309"/>
      <c r="J53" s="4"/>
      <c r="K53" s="309"/>
      <c r="L53" s="4"/>
      <c r="M53" s="309"/>
      <c r="N53" s="4"/>
      <c r="O53" s="309"/>
      <c r="P53" s="4"/>
      <c r="Q53" s="309"/>
      <c r="R53" s="4"/>
      <c r="S53" s="309"/>
      <c r="T53" s="4"/>
      <c r="U53" s="309"/>
      <c r="V53" s="4"/>
      <c r="W53" s="309"/>
      <c r="X53" s="4"/>
      <c r="Y53" s="319"/>
      <c r="Z53" s="271"/>
      <c r="AB53" s="3"/>
      <c r="AC53" s="4"/>
      <c r="AD53" s="4"/>
      <c r="AE53" s="4"/>
      <c r="AF53" s="320"/>
      <c r="AG53" s="4"/>
      <c r="AH53" s="320"/>
      <c r="AI53" s="4"/>
      <c r="AJ53" s="320"/>
      <c r="AK53" s="4"/>
      <c r="AL53" s="318"/>
      <c r="AM53" s="4"/>
      <c r="AN53" s="320"/>
      <c r="AO53" s="4"/>
      <c r="AP53" s="320"/>
      <c r="AQ53" s="4"/>
      <c r="AR53" s="320"/>
      <c r="AS53" s="320"/>
      <c r="AT53" s="320"/>
      <c r="AU53" s="4"/>
      <c r="AV53" s="318"/>
      <c r="AW53" s="318"/>
      <c r="AX53" s="321"/>
      <c r="AZ53" s="3"/>
      <c r="BA53" s="4"/>
      <c r="BB53" s="320"/>
      <c r="BC53" s="4"/>
      <c r="BD53" s="4"/>
      <c r="BE53" s="4"/>
      <c r="BF53" s="318"/>
      <c r="BG53" s="4"/>
      <c r="BH53" s="271"/>
    </row>
    <row r="54" spans="2:60" ht="12">
      <c r="B54" s="3"/>
      <c r="C54" s="322" t="str">
        <f>G14&amp;"-year Nominal Levelized at "&amp;TEXT($G$18,"#.00%")</f>
        <v>25-year Nominal Levelized at 7.13%</v>
      </c>
      <c r="E54" s="192"/>
      <c r="F54" s="4"/>
      <c r="G54" s="23">
        <f>+-PMT($G$18,$G$14,NPV($G$18,G28:G52))</f>
        <v>393434.95185324195</v>
      </c>
      <c r="H54" s="7"/>
      <c r="I54" s="30">
        <f>+-PMT($G$18,$G$14,NPV($G$18,I28:I52))</f>
        <v>213.80014464982895</v>
      </c>
      <c r="J54" s="30"/>
      <c r="K54" s="30">
        <f>+-PMT($G$18,$G$14,NPV($G$18,K28:K52))</f>
        <v>19.895058482715587</v>
      </c>
      <c r="L54" s="7"/>
      <c r="M54" s="30">
        <f>+-PMT($G$18,$G$14,NPV($G$18,M28:M52))</f>
        <v>0</v>
      </c>
      <c r="N54" s="7"/>
      <c r="O54" s="30">
        <f>+-PMT($G$18,$G$14,NPV($G$18,O28:O52))</f>
        <v>6.006469828004521</v>
      </c>
      <c r="P54" s="7"/>
      <c r="Q54" s="30">
        <f>+-PMT($G$18,$G$14,NPV($G$18,Q28:Q52))</f>
        <v>-20.916729359522765</v>
      </c>
      <c r="R54" s="7"/>
      <c r="S54" s="23">
        <f>+-PMT($G$18,$G$14,NPV($G$18,S28:S52))</f>
        <v>31977.637511687299</v>
      </c>
      <c r="T54" s="7"/>
      <c r="U54" s="23">
        <f>+-PMT($G$18,$G$14,NPV($G$18,U28:U52))</f>
        <v>29431.93571696318</v>
      </c>
      <c r="V54" s="4"/>
      <c r="W54" s="23">
        <f>+-PMT($G$18,$G$14,NPV($G$18,W28:W52))</f>
        <v>2545.7017947241116</v>
      </c>
      <c r="X54" s="4"/>
      <c r="Y54" s="315">
        <f>+W54/G54*1000</f>
        <v>6.4704515517312311</v>
      </c>
      <c r="Z54" s="271"/>
      <c r="AB54" s="3"/>
      <c r="AC54" s="4"/>
      <c r="AD54" s="173">
        <f>+-PMT($G$18,$G$14,NPV($G$18,AD28:AD52))</f>
        <v>393434.95185324195</v>
      </c>
      <c r="AE54" s="4"/>
      <c r="AF54" s="176">
        <f>+-PMT($G$18,$G$14,NPV($G$18,AF28:AF52))</f>
        <v>67.224072086332185</v>
      </c>
      <c r="AG54" s="4"/>
      <c r="AH54" s="176">
        <f>+-PMT($G$18,$G$14,NPV($G$18,AH28:AH52))</f>
        <v>9.4775107271016612</v>
      </c>
      <c r="AI54" s="4"/>
      <c r="AJ54" s="176">
        <f>+-PMT($G$18,$G$14,NPV($G$18,AJ28:AJ52))</f>
        <v>2.6641808010176602</v>
      </c>
      <c r="AK54" s="4"/>
      <c r="AL54" s="175">
        <f>+-PMT($G$18,$G$14,NPV($G$18,AL28:AL52))</f>
        <v>8123.0487697253111</v>
      </c>
      <c r="AM54" s="4"/>
      <c r="AN54" s="176">
        <f>+-PMT($G$18,$G$14,NPV($G$18,AN28:AN52))</f>
        <v>8.6387552521536524</v>
      </c>
      <c r="AO54" s="4"/>
      <c r="AP54" s="176">
        <f>+-PMT($G$18,$G$14,NPV($G$18,AP28:AP52))</f>
        <v>62.769379932355257</v>
      </c>
      <c r="AQ54" s="4"/>
      <c r="AR54" s="176">
        <f>+-PMT($G$18,$G$14,NPV($G$18,AR28:AR52))</f>
        <v>2.7577525904617857</v>
      </c>
      <c r="AS54" s="176"/>
      <c r="AT54" s="175">
        <f>+-PMT($G$18,$G$14,NPV($G$18,AT28:AT52))</f>
        <v>3651.5343914440459</v>
      </c>
      <c r="AU54" s="4"/>
      <c r="AV54" s="175">
        <f>+-PMT($G$18,$G$14,NPV($G$18,AV28:AV52))</f>
        <v>25780.401325519142</v>
      </c>
      <c r="AW54" s="318"/>
      <c r="AX54" s="177">
        <f>+-PMT($G$18,$G$14,NPV($G$18,AX28:AX52))</f>
        <v>29431.93571696318</v>
      </c>
      <c r="AZ54" s="3"/>
      <c r="BA54" s="4"/>
      <c r="BB54" s="176">
        <f>+-PMT($G$18,$G$14,NPV($G$18,BB28:BB52))</f>
        <v>45.2971555220943</v>
      </c>
      <c r="BC54" s="4"/>
      <c r="BD54" s="176">
        <f>+-PMT($G$18,$G$14,NPV($G$18,BD28:BD52))</f>
        <v>6.8871243013163621</v>
      </c>
      <c r="BE54" s="4"/>
      <c r="BF54" s="175">
        <f>+-PMT($G$18,$G$14,NPV($G$18,BF28:BF52))</f>
        <v>4471.5143782812629</v>
      </c>
      <c r="BG54" s="4"/>
      <c r="BH54" s="179"/>
    </row>
    <row r="55" spans="2:60">
      <c r="B55" s="3"/>
      <c r="C55" s="4"/>
      <c r="D55" s="4"/>
      <c r="E55" s="19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23"/>
      <c r="X55" s="4"/>
      <c r="Y55" s="324"/>
      <c r="Z55" s="271"/>
      <c r="AB55" s="3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271"/>
      <c r="AZ55" s="3"/>
      <c r="BA55" s="4"/>
      <c r="BB55" s="4"/>
      <c r="BC55" s="4"/>
      <c r="BD55" s="4"/>
      <c r="BE55" s="4"/>
      <c r="BF55" s="4"/>
      <c r="BG55" s="4"/>
      <c r="BH55" s="271"/>
    </row>
    <row r="56" spans="2:60">
      <c r="B56" s="275"/>
      <c r="C56" s="325"/>
      <c r="D56" s="325"/>
      <c r="E56" s="326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278"/>
      <c r="AB56" s="27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278"/>
      <c r="AZ56" s="275"/>
      <c r="BA56" s="325"/>
      <c r="BB56" s="325"/>
      <c r="BC56" s="325"/>
      <c r="BD56" s="325"/>
      <c r="BE56" s="325"/>
      <c r="BF56" s="325"/>
      <c r="BG56" s="325"/>
      <c r="BH56" s="278"/>
    </row>
    <row r="57" spans="2:60">
      <c r="E57" s="327"/>
    </row>
    <row r="58" spans="2:60">
      <c r="E58" s="327"/>
      <c r="G58" s="328"/>
      <c r="I58" s="328"/>
      <c r="K58" s="328"/>
      <c r="O58" s="328"/>
      <c r="Q58" s="328"/>
      <c r="S58" s="328"/>
      <c r="U58" s="328"/>
      <c r="W58" s="328"/>
    </row>
    <row r="59" spans="2:60">
      <c r="E59" s="327"/>
    </row>
    <row r="60" spans="2:60">
      <c r="E60" s="327"/>
    </row>
    <row r="61" spans="2:60">
      <c r="E61" s="327"/>
    </row>
    <row r="62" spans="2:60">
      <c r="E62" s="327"/>
    </row>
    <row r="63" spans="2:60">
      <c r="E63" s="327"/>
    </row>
    <row r="64" spans="2:60">
      <c r="E64" s="327"/>
    </row>
    <row r="65" spans="5:5">
      <c r="E65" s="327"/>
    </row>
    <row r="66" spans="5:5">
      <c r="E66" s="327"/>
    </row>
    <row r="67" spans="5:5">
      <c r="E67" s="327"/>
    </row>
    <row r="68" spans="5:5">
      <c r="E68" s="327"/>
    </row>
    <row r="69" spans="5:5">
      <c r="E69" s="327"/>
    </row>
    <row r="70" spans="5:5">
      <c r="E70" s="327"/>
    </row>
    <row r="71" spans="5:5">
      <c r="E71" s="327"/>
    </row>
    <row r="72" spans="5:5">
      <c r="E72" s="327"/>
    </row>
    <row r="73" spans="5:5">
      <c r="E73" s="327"/>
    </row>
    <row r="74" spans="5:5">
      <c r="E74" s="327"/>
    </row>
    <row r="75" spans="5:5">
      <c r="E75" s="327"/>
    </row>
    <row r="76" spans="5:5">
      <c r="E76" s="327"/>
    </row>
    <row r="77" spans="5:5">
      <c r="E77" s="327"/>
    </row>
    <row r="78" spans="5:5">
      <c r="E78" s="327"/>
    </row>
    <row r="79" spans="5:5">
      <c r="E79" s="327"/>
    </row>
    <row r="80" spans="5:5">
      <c r="E80" s="327"/>
    </row>
  </sheetData>
  <pageMargins left="0.25" right="0.25" top="0.25" bottom="0.75" header="0.3" footer="0.3"/>
  <pageSetup paperSize="5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0"/>
  <sheetViews>
    <sheetView topLeftCell="A31" workbookViewId="0">
      <selection activeCell="A54" sqref="A54:XFD54"/>
    </sheetView>
  </sheetViews>
  <sheetFormatPr defaultRowHeight="11.25"/>
  <cols>
    <col min="1" max="1" width="8.1640625" style="157" customWidth="1"/>
    <col min="2" max="2" width="4.1640625" style="157" customWidth="1"/>
    <col min="3" max="3" width="11" style="157" customWidth="1"/>
    <col min="4" max="4" width="4.83203125" style="157" customWidth="1"/>
    <col min="5" max="5" width="10.83203125" style="157" customWidth="1"/>
    <col min="6" max="6" width="4.33203125" style="157" customWidth="1"/>
    <col min="7" max="7" width="17.33203125" style="157" customWidth="1"/>
    <col min="8" max="8" width="2.83203125" style="157" customWidth="1"/>
    <col min="9" max="9" width="13.5" style="157" customWidth="1"/>
    <col min="10" max="10" width="2.83203125" style="157" customWidth="1"/>
    <col min="11" max="11" width="13.5" style="157" customWidth="1"/>
    <col min="12" max="12" width="2.83203125" style="157" customWidth="1"/>
    <col min="13" max="13" width="15.33203125" style="157" customWidth="1"/>
    <col min="14" max="14" width="2.83203125" style="157" customWidth="1"/>
    <col min="15" max="15" width="13.1640625" style="157" customWidth="1"/>
    <col min="16" max="16" width="2.83203125" style="157" customWidth="1"/>
    <col min="17" max="17" width="13.83203125" style="157" customWidth="1"/>
    <col min="18" max="18" width="3.1640625" style="157" customWidth="1"/>
    <col min="19" max="19" width="13.1640625" style="157" customWidth="1"/>
    <col min="20" max="20" width="2.83203125" style="157" customWidth="1"/>
    <col min="21" max="21" width="15.1640625" style="157" customWidth="1"/>
    <col min="22" max="22" width="2.83203125" style="157" customWidth="1"/>
    <col min="23" max="23" width="14.1640625" style="157" customWidth="1"/>
    <col min="24" max="24" width="2.83203125" style="157" customWidth="1"/>
    <col min="25" max="25" width="14.6640625" style="157" customWidth="1"/>
    <col min="26" max="26" width="2.83203125" style="157" customWidth="1"/>
    <col min="27" max="27" width="2.6640625" style="157" customWidth="1"/>
    <col min="28" max="28" width="7.83203125" style="157" customWidth="1"/>
    <col min="29" max="29" width="3" style="157" customWidth="1"/>
    <col min="30" max="30" width="13" style="157" bestFit="1" customWidth="1"/>
    <col min="31" max="31" width="3.1640625" style="157" customWidth="1"/>
    <col min="32" max="32" width="12.1640625" style="157" customWidth="1"/>
    <col min="33" max="33" width="2.33203125" style="157" customWidth="1"/>
    <col min="34" max="34" width="14.5" style="157" customWidth="1"/>
    <col min="35" max="35" width="2.83203125" style="157" customWidth="1"/>
    <col min="36" max="36" width="13.1640625" style="157" customWidth="1"/>
    <col min="37" max="37" width="2.33203125" style="157" customWidth="1"/>
    <col min="38" max="38" width="13.6640625" style="157" customWidth="1"/>
    <col min="39" max="39" width="1.5" style="157" customWidth="1"/>
    <col min="40" max="40" width="9.33203125" style="157"/>
    <col min="41" max="41" width="1.33203125" style="157" customWidth="1"/>
    <col min="42" max="42" width="11.33203125" style="157" customWidth="1"/>
    <col min="43" max="43" width="2.5" style="157" customWidth="1"/>
    <col min="44" max="44" width="12.6640625" style="157" customWidth="1"/>
    <col min="45" max="45" width="4" style="157" customWidth="1"/>
    <col min="46" max="46" width="10.1640625" style="157" customWidth="1"/>
    <col min="47" max="47" width="3.33203125" style="157" customWidth="1"/>
    <col min="48" max="48" width="12" style="157" customWidth="1"/>
    <col min="49" max="49" width="1.5" style="157" customWidth="1"/>
    <col min="50" max="50" width="11.33203125" style="157" customWidth="1"/>
    <col min="51" max="51" width="1.83203125" style="157" customWidth="1"/>
    <col min="52" max="52" width="9.33203125" style="157"/>
    <col min="53" max="53" width="2.83203125" style="157" customWidth="1"/>
    <col min="54" max="54" width="9.33203125" style="157"/>
    <col min="55" max="55" width="4" style="157" customWidth="1"/>
    <col min="56" max="56" width="9.33203125" style="157"/>
    <col min="57" max="57" width="2.83203125" style="157" customWidth="1"/>
    <col min="58" max="58" width="10.5" style="157" bestFit="1" customWidth="1"/>
    <col min="59" max="59" width="2.33203125" style="157" customWidth="1"/>
    <col min="60" max="16384" width="9.33203125" style="157"/>
  </cols>
  <sheetData>
    <row r="1" spans="1:57" s="264" customFormat="1">
      <c r="A1" s="264" t="s">
        <v>0</v>
      </c>
    </row>
    <row r="2" spans="1:57" s="264" customFormat="1">
      <c r="A2" s="264" t="s">
        <v>162</v>
      </c>
    </row>
    <row r="3" spans="1:57" s="264" customFormat="1">
      <c r="A3" s="264" t="s">
        <v>1</v>
      </c>
    </row>
    <row r="4" spans="1:57" s="264" customFormat="1"/>
    <row r="5" spans="1:57" s="264" customFormat="1">
      <c r="A5" s="264" t="s">
        <v>158</v>
      </c>
    </row>
    <row r="8" spans="1:57">
      <c r="B8" s="280"/>
      <c r="C8" s="281" t="s">
        <v>109</v>
      </c>
      <c r="D8" s="281"/>
      <c r="E8" s="281"/>
      <c r="F8" s="282"/>
      <c r="G8" s="281"/>
      <c r="H8" s="283"/>
      <c r="AB8" s="284" t="s">
        <v>110</v>
      </c>
      <c r="AC8" s="285"/>
      <c r="AD8" s="285"/>
      <c r="AE8" s="285"/>
      <c r="AF8" s="285"/>
      <c r="AG8" s="285"/>
      <c r="AH8" s="285"/>
      <c r="AI8" s="285"/>
      <c r="AJ8" s="285"/>
      <c r="AK8" s="286"/>
      <c r="AZ8" s="284" t="s">
        <v>111</v>
      </c>
      <c r="BA8" s="285"/>
      <c r="BB8" s="285"/>
      <c r="BC8" s="285"/>
      <c r="BD8" s="285"/>
      <c r="BE8" s="286"/>
    </row>
    <row r="9" spans="1:57" ht="12">
      <c r="B9" s="287"/>
      <c r="C9" s="288"/>
      <c r="D9" s="288"/>
      <c r="E9" s="288"/>
      <c r="F9" s="288"/>
      <c r="G9" s="288"/>
      <c r="H9" s="289"/>
      <c r="J9" s="290"/>
      <c r="AB9" s="137"/>
      <c r="AC9" s="138"/>
      <c r="AD9" s="138"/>
      <c r="AE9" s="138"/>
      <c r="AF9" s="139"/>
      <c r="AG9" s="138"/>
      <c r="AH9" s="138"/>
      <c r="AI9" s="138"/>
      <c r="AJ9" s="140"/>
      <c r="AK9" s="141"/>
      <c r="AZ9" s="137"/>
      <c r="BA9" s="138"/>
      <c r="BB9" s="138"/>
      <c r="BC9" s="138"/>
      <c r="BD9" s="139"/>
      <c r="BE9" s="142"/>
    </row>
    <row r="10" spans="1:57" ht="12">
      <c r="B10" s="291"/>
      <c r="C10" s="292" t="s">
        <v>112</v>
      </c>
      <c r="D10" s="292"/>
      <c r="E10" s="292"/>
      <c r="F10" s="292"/>
      <c r="G10" s="293" t="s">
        <v>21</v>
      </c>
      <c r="H10" s="294"/>
      <c r="AB10" s="143"/>
      <c r="AC10" s="144"/>
      <c r="AD10" s="144"/>
      <c r="AE10" s="144"/>
      <c r="AF10" s="145"/>
      <c r="AG10" s="146"/>
      <c r="AH10" s="147"/>
      <c r="AI10" s="148"/>
      <c r="AJ10" s="4"/>
      <c r="AK10" s="271"/>
      <c r="AZ10" s="143"/>
      <c r="BA10" s="144"/>
      <c r="BB10" s="144"/>
      <c r="BC10" s="144"/>
      <c r="BD10" s="145"/>
      <c r="BE10" s="149"/>
    </row>
    <row r="11" spans="1:57" ht="12">
      <c r="B11" s="291"/>
      <c r="C11" s="292" t="s">
        <v>41</v>
      </c>
      <c r="D11" s="292"/>
      <c r="E11" s="292"/>
      <c r="F11" s="292"/>
      <c r="G11" s="293">
        <v>70.2</v>
      </c>
      <c r="H11" s="294"/>
      <c r="AB11" s="143" t="s">
        <v>113</v>
      </c>
      <c r="AC11" s="144"/>
      <c r="AD11" s="144"/>
      <c r="AE11" s="144"/>
      <c r="AF11" s="155">
        <f>+G11*(G12/AJ16)</f>
        <v>43.932659859016866</v>
      </c>
      <c r="AG11" s="148"/>
      <c r="AH11" s="144" t="s">
        <v>114</v>
      </c>
      <c r="AI11" s="145"/>
      <c r="AJ11" s="150">
        <v>7.9126910299003335</v>
      </c>
      <c r="AK11" s="271"/>
      <c r="AZ11" s="143" t="s">
        <v>113</v>
      </c>
      <c r="BA11" s="144"/>
      <c r="BB11" s="144"/>
      <c r="BC11" s="144"/>
      <c r="BD11" s="155">
        <f>(AF11*AF13-G11*G19)</f>
        <v>40.656659859016862</v>
      </c>
      <c r="BE11" s="151"/>
    </row>
    <row r="12" spans="1:57" ht="12">
      <c r="B12" s="291"/>
      <c r="C12" s="292" t="s">
        <v>42</v>
      </c>
      <c r="D12" s="292"/>
      <c r="E12" s="292"/>
      <c r="F12" s="292"/>
      <c r="G12" s="296">
        <v>0.30471886820463195</v>
      </c>
      <c r="H12" s="294"/>
      <c r="AB12" s="143" t="s">
        <v>42</v>
      </c>
      <c r="AC12" s="144"/>
      <c r="AD12" s="144"/>
      <c r="AE12" s="144"/>
      <c r="AF12" s="152">
        <f>+AD54/8760/AF11</f>
        <v>0.48697979881209996</v>
      </c>
      <c r="AG12" s="148"/>
      <c r="AH12" s="138" t="s">
        <v>115</v>
      </c>
      <c r="AI12" s="139"/>
      <c r="AJ12" s="138">
        <v>2006</v>
      </c>
      <c r="AK12" s="271"/>
      <c r="AZ12" s="143"/>
      <c r="BA12" s="144"/>
      <c r="BB12" s="144"/>
      <c r="BC12" s="144"/>
      <c r="BD12" s="152"/>
      <c r="BE12" s="153"/>
    </row>
    <row r="13" spans="1:57" ht="12">
      <c r="B13" s="291"/>
      <c r="C13" s="292" t="s">
        <v>43</v>
      </c>
      <c r="D13" s="292"/>
      <c r="E13" s="292"/>
      <c r="F13" s="292"/>
      <c r="G13" s="293">
        <v>2008</v>
      </c>
      <c r="H13" s="294"/>
      <c r="AB13" s="143" t="s">
        <v>116</v>
      </c>
      <c r="AC13" s="144"/>
      <c r="AD13" s="144"/>
      <c r="AE13" s="144"/>
      <c r="AF13" s="154">
        <v>1</v>
      </c>
      <c r="AG13" s="148"/>
      <c r="AH13" s="138" t="s">
        <v>117</v>
      </c>
      <c r="AI13" s="139"/>
      <c r="AJ13" s="150">
        <v>2.2243013100436677</v>
      </c>
      <c r="AK13" s="271"/>
      <c r="AZ13" s="143" t="s">
        <v>116</v>
      </c>
      <c r="BA13" s="144"/>
      <c r="BB13" s="144"/>
      <c r="BC13" s="144"/>
      <c r="BD13" s="154">
        <v>1</v>
      </c>
      <c r="BE13" s="153"/>
    </row>
    <row r="14" spans="1:57" ht="12">
      <c r="B14" s="291"/>
      <c r="C14" s="292" t="s">
        <v>44</v>
      </c>
      <c r="D14" s="292"/>
      <c r="E14" s="292"/>
      <c r="F14" s="292"/>
      <c r="G14" s="293">
        <v>25</v>
      </c>
      <c r="H14" s="294"/>
      <c r="AB14" s="143" t="s">
        <v>118</v>
      </c>
      <c r="AC14" s="144"/>
      <c r="AD14" s="144"/>
      <c r="AE14" s="144"/>
      <c r="AF14" s="155">
        <v>7266.0213306432961</v>
      </c>
      <c r="AG14" s="148"/>
      <c r="AH14" s="138"/>
      <c r="AI14" s="139"/>
      <c r="AJ14" s="150"/>
      <c r="AK14" s="271"/>
      <c r="AZ14" s="143" t="s">
        <v>119</v>
      </c>
      <c r="BA14" s="144"/>
      <c r="BB14" s="144"/>
      <c r="BC14" s="144"/>
      <c r="BD14" s="156">
        <v>454</v>
      </c>
      <c r="BE14" s="153"/>
    </row>
    <row r="15" spans="1:57" ht="12">
      <c r="A15" s="157" t="s">
        <v>152</v>
      </c>
      <c r="B15" s="291"/>
      <c r="C15" s="292" t="s">
        <v>121</v>
      </c>
      <c r="D15" s="292"/>
      <c r="E15" s="292"/>
      <c r="F15" s="292"/>
      <c r="G15" s="297">
        <v>180.81600157565364</v>
      </c>
      <c r="H15" s="294"/>
      <c r="AB15" s="143" t="s">
        <v>119</v>
      </c>
      <c r="AC15" s="144"/>
      <c r="AD15" s="144"/>
      <c r="AE15" s="144"/>
      <c r="AF15" s="156">
        <v>651.09966777408636</v>
      </c>
      <c r="AG15" s="148"/>
      <c r="AH15" s="138" t="s">
        <v>160</v>
      </c>
      <c r="AI15" s="139"/>
      <c r="AJ15" s="150">
        <v>2.302423580786026</v>
      </c>
      <c r="AK15" s="271"/>
      <c r="AZ15" s="143" t="s">
        <v>122</v>
      </c>
      <c r="BA15" s="144"/>
      <c r="BB15" s="144"/>
      <c r="BC15" s="144"/>
      <c r="BD15" s="158">
        <v>8.3299999999999999E-2</v>
      </c>
      <c r="BE15" s="153"/>
    </row>
    <row r="16" spans="1:57" ht="12">
      <c r="A16" s="157" t="s">
        <v>152</v>
      </c>
      <c r="B16" s="291"/>
      <c r="C16" s="292" t="s">
        <v>123</v>
      </c>
      <c r="D16" s="292"/>
      <c r="E16" s="292"/>
      <c r="F16" s="292"/>
      <c r="G16" s="297">
        <v>19.612798811178333</v>
      </c>
      <c r="H16" s="294"/>
      <c r="AB16" s="143" t="s">
        <v>122</v>
      </c>
      <c r="AC16" s="144"/>
      <c r="AD16" s="144"/>
      <c r="AE16" s="144"/>
      <c r="AF16" s="158">
        <v>8.6199999999999999E-2</v>
      </c>
      <c r="AG16" s="148"/>
      <c r="AH16" s="138" t="s">
        <v>124</v>
      </c>
      <c r="AI16" s="145"/>
      <c r="AJ16" s="159">
        <v>0.48691029900332239</v>
      </c>
      <c r="AK16" s="271"/>
      <c r="AZ16" s="143" t="s">
        <v>114</v>
      </c>
      <c r="BA16" s="145"/>
      <c r="BB16" s="150">
        <v>5.75</v>
      </c>
      <c r="BC16" s="4"/>
      <c r="BD16" s="4"/>
      <c r="BE16" s="151"/>
    </row>
    <row r="17" spans="1:60" ht="12">
      <c r="A17" s="157" t="s">
        <v>152</v>
      </c>
      <c r="B17" s="291"/>
      <c r="C17" s="292" t="s">
        <v>125</v>
      </c>
      <c r="D17" s="292"/>
      <c r="E17" s="292"/>
      <c r="F17" s="292"/>
      <c r="G17" s="297">
        <v>0</v>
      </c>
      <c r="H17" s="294"/>
      <c r="AB17" s="3"/>
      <c r="AG17" s="148"/>
      <c r="AH17" s="4"/>
      <c r="AI17" s="148"/>
      <c r="AJ17" s="144"/>
      <c r="AK17" s="151"/>
      <c r="AZ17" s="137" t="s">
        <v>115</v>
      </c>
      <c r="BA17" s="139"/>
      <c r="BB17" s="138">
        <v>2006</v>
      </c>
      <c r="BC17" s="4"/>
      <c r="BD17" s="4"/>
      <c r="BE17" s="149"/>
    </row>
    <row r="18" spans="1:60" ht="12">
      <c r="B18" s="291"/>
      <c r="C18" s="292" t="s">
        <v>126</v>
      </c>
      <c r="D18" s="292"/>
      <c r="E18" s="292"/>
      <c r="F18" s="292"/>
      <c r="G18" s="296">
        <v>7.3164524549999999E-2</v>
      </c>
      <c r="H18" s="29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2"/>
      <c r="AZ18" s="160"/>
      <c r="BA18" s="161"/>
      <c r="BB18" s="161"/>
      <c r="BC18" s="161"/>
      <c r="BD18" s="161"/>
      <c r="BE18" s="163"/>
    </row>
    <row r="19" spans="1:60">
      <c r="B19" s="298"/>
      <c r="C19" s="299" t="s">
        <v>116</v>
      </c>
      <c r="D19" s="299"/>
      <c r="E19" s="299"/>
      <c r="F19" s="299"/>
      <c r="G19" s="300">
        <f>14/300</f>
        <v>4.6666666666666669E-2</v>
      </c>
      <c r="H19" s="301"/>
      <c r="I19" s="157" t="s">
        <v>127</v>
      </c>
    </row>
    <row r="20" spans="1:60">
      <c r="B20" s="264"/>
      <c r="C20" s="264"/>
      <c r="D20" s="264"/>
      <c r="E20" s="264"/>
      <c r="F20" s="264"/>
      <c r="G20" s="264"/>
      <c r="H20" s="264"/>
    </row>
    <row r="23" spans="1:60">
      <c r="B23" s="284"/>
      <c r="C23" s="281" t="s">
        <v>128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3"/>
      <c r="AB23" s="284" t="s">
        <v>110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6"/>
      <c r="AZ23" s="284" t="s">
        <v>111</v>
      </c>
      <c r="BA23" s="285"/>
      <c r="BB23" s="285"/>
      <c r="BC23" s="285"/>
      <c r="BD23" s="285"/>
      <c r="BE23" s="285"/>
      <c r="BF23" s="285"/>
      <c r="BG23" s="285"/>
      <c r="BH23" s="286"/>
    </row>
    <row r="24" spans="1:60">
      <c r="B24" s="3"/>
      <c r="C24" s="4"/>
      <c r="D24" s="4"/>
      <c r="E24" s="4"/>
      <c r="F24" s="4"/>
      <c r="G24" s="304"/>
      <c r="H24" s="4"/>
      <c r="I24" s="304"/>
      <c r="J24" s="4"/>
      <c r="K24" s="304"/>
      <c r="L24" s="4"/>
      <c r="M24" s="4"/>
      <c r="N24" s="4"/>
      <c r="O24" s="304"/>
      <c r="P24" s="4"/>
      <c r="Q24" s="304"/>
      <c r="R24" s="4"/>
      <c r="S24" s="304"/>
      <c r="T24" s="4"/>
      <c r="U24" s="304"/>
      <c r="V24" s="4"/>
      <c r="W24" s="304"/>
      <c r="X24" s="4"/>
      <c r="Y24" s="304"/>
      <c r="Z24" s="271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71"/>
      <c r="AZ24" s="3"/>
      <c r="BA24" s="4"/>
      <c r="BB24" s="4"/>
      <c r="BC24" s="4"/>
      <c r="BD24" s="4"/>
      <c r="BE24" s="4"/>
      <c r="BF24" s="4"/>
      <c r="BG24" s="4"/>
      <c r="BH24" s="271"/>
    </row>
    <row r="25" spans="1:60" ht="60">
      <c r="B25" s="3"/>
      <c r="C25" s="4"/>
      <c r="D25" s="4"/>
      <c r="E25" s="304"/>
      <c r="F25" s="4"/>
      <c r="G25" s="305" t="s">
        <v>129</v>
      </c>
      <c r="H25" s="4"/>
      <c r="I25" s="305" t="s">
        <v>130</v>
      </c>
      <c r="J25" s="4"/>
      <c r="K25" s="305" t="s">
        <v>131</v>
      </c>
      <c r="L25" s="4"/>
      <c r="M25" s="305" t="s">
        <v>125</v>
      </c>
      <c r="N25" s="4"/>
      <c r="O25" s="305" t="s">
        <v>132</v>
      </c>
      <c r="P25" s="4"/>
      <c r="Q25" s="305" t="s">
        <v>133</v>
      </c>
      <c r="R25" s="4"/>
      <c r="S25" s="305" t="s">
        <v>30</v>
      </c>
      <c r="T25" s="4"/>
      <c r="U25" s="305" t="s">
        <v>134</v>
      </c>
      <c r="V25" s="4"/>
      <c r="W25" s="305" t="s">
        <v>135</v>
      </c>
      <c r="X25" s="270"/>
      <c r="Y25" s="305" t="s">
        <v>135</v>
      </c>
      <c r="Z25" s="271"/>
      <c r="AB25" s="164"/>
      <c r="AC25" s="139"/>
      <c r="AD25" s="306" t="s">
        <v>129</v>
      </c>
      <c r="AE25" s="4"/>
      <c r="AF25" s="165" t="s">
        <v>136</v>
      </c>
      <c r="AG25" s="166"/>
      <c r="AH25" s="165" t="s">
        <v>137</v>
      </c>
      <c r="AI25" s="4"/>
      <c r="AJ25" s="165" t="s">
        <v>138</v>
      </c>
      <c r="AK25" s="4"/>
      <c r="AL25" s="165" t="s">
        <v>139</v>
      </c>
      <c r="AM25" s="4"/>
      <c r="AN25" s="165" t="s">
        <v>140</v>
      </c>
      <c r="AO25" s="4"/>
      <c r="AP25" s="165" t="s">
        <v>140</v>
      </c>
      <c r="AQ25" s="4"/>
      <c r="AR25" s="165" t="s">
        <v>160</v>
      </c>
      <c r="AS25" s="165"/>
      <c r="AT25" s="165" t="s">
        <v>141</v>
      </c>
      <c r="AU25" s="4"/>
      <c r="AV25" s="165" t="s">
        <v>142</v>
      </c>
      <c r="AW25" s="4"/>
      <c r="AX25" s="307" t="s">
        <v>143</v>
      </c>
      <c r="AZ25" s="164"/>
      <c r="BA25" s="139"/>
      <c r="BB25" s="165" t="s">
        <v>136</v>
      </c>
      <c r="BC25" s="4"/>
      <c r="BD25" s="165" t="s">
        <v>137</v>
      </c>
      <c r="BE25" s="4"/>
      <c r="BF25" s="165" t="s">
        <v>139</v>
      </c>
      <c r="BG25" s="4"/>
      <c r="BH25" s="167"/>
    </row>
    <row r="26" spans="1:60" ht="22.5">
      <c r="B26" s="3"/>
      <c r="C26" s="308" t="s">
        <v>144</v>
      </c>
      <c r="D26" s="4"/>
      <c r="E26" s="305" t="s">
        <v>145</v>
      </c>
      <c r="F26" s="4"/>
      <c r="G26" s="304" t="s">
        <v>146</v>
      </c>
      <c r="H26" s="4"/>
      <c r="I26" s="304" t="s">
        <v>147</v>
      </c>
      <c r="J26" s="4"/>
      <c r="K26" s="304" t="str">
        <f>"($/MWH)"</f>
        <v>($/MWH)</v>
      </c>
      <c r="L26" s="4"/>
      <c r="M26" s="304" t="str">
        <f>"($/MWH)"</f>
        <v>($/MWH)</v>
      </c>
      <c r="N26" s="4"/>
      <c r="O26" s="304" t="str">
        <f>"($/MWH)"</f>
        <v>($/MWH)</v>
      </c>
      <c r="P26" s="4"/>
      <c r="Q26" s="304" t="str">
        <f>"($/MWH)"</f>
        <v>($/MWH)</v>
      </c>
      <c r="R26" s="4"/>
      <c r="S26" s="304" t="str">
        <f>"($000)"</f>
        <v>($000)</v>
      </c>
      <c r="T26" s="4"/>
      <c r="U26" s="304" t="str">
        <f>"($000)"</f>
        <v>($000)</v>
      </c>
      <c r="V26" s="4"/>
      <c r="W26" s="304" t="str">
        <f>"($000)"</f>
        <v>($000)</v>
      </c>
      <c r="X26" s="270"/>
      <c r="Y26" s="304" t="s">
        <v>148</v>
      </c>
      <c r="Z26" s="271"/>
      <c r="AB26" s="168" t="s">
        <v>90</v>
      </c>
      <c r="AC26" s="139"/>
      <c r="AD26" s="4" t="s">
        <v>146</v>
      </c>
      <c r="AE26" s="4"/>
      <c r="AF26" s="166" t="s">
        <v>147</v>
      </c>
      <c r="AG26" s="166"/>
      <c r="AH26" s="166" t="s">
        <v>147</v>
      </c>
      <c r="AI26" s="4"/>
      <c r="AJ26" s="166" t="s">
        <v>149</v>
      </c>
      <c r="AK26" s="4"/>
      <c r="AL26" s="166" t="s">
        <v>150</v>
      </c>
      <c r="AM26" s="4"/>
      <c r="AN26" s="166" t="s">
        <v>151</v>
      </c>
      <c r="AO26" s="4"/>
      <c r="AP26" s="166" t="s">
        <v>149</v>
      </c>
      <c r="AQ26" s="4"/>
      <c r="AR26" s="166" t="s">
        <v>149</v>
      </c>
      <c r="AS26" s="166"/>
      <c r="AT26" s="166" t="s">
        <v>150</v>
      </c>
      <c r="AU26" s="4"/>
      <c r="AV26" s="166" t="s">
        <v>150</v>
      </c>
      <c r="AW26" s="4"/>
      <c r="AX26" s="169" t="s">
        <v>150</v>
      </c>
      <c r="AZ26" s="168" t="s">
        <v>90</v>
      </c>
      <c r="BA26" s="139"/>
      <c r="BB26" s="166" t="s">
        <v>147</v>
      </c>
      <c r="BC26" s="4"/>
      <c r="BD26" s="166" t="s">
        <v>147</v>
      </c>
      <c r="BE26" s="4"/>
      <c r="BF26" s="166" t="s">
        <v>150</v>
      </c>
      <c r="BG26" s="4"/>
      <c r="BH26" s="169"/>
    </row>
    <row r="27" spans="1:60" ht="12">
      <c r="B27" s="3"/>
      <c r="C27" s="309" t="s">
        <v>48</v>
      </c>
      <c r="D27" s="4"/>
      <c r="E27" s="309" t="s">
        <v>48</v>
      </c>
      <c r="F27" s="4"/>
      <c r="G27" s="309" t="s">
        <v>48</v>
      </c>
      <c r="H27" s="4"/>
      <c r="I27" s="309" t="s">
        <v>48</v>
      </c>
      <c r="J27" s="4"/>
      <c r="K27" s="309" t="s">
        <v>48</v>
      </c>
      <c r="L27" s="4"/>
      <c r="M27" s="309" t="s">
        <v>48</v>
      </c>
      <c r="N27" s="4"/>
      <c r="O27" s="309" t="s">
        <v>48</v>
      </c>
      <c r="P27" s="4"/>
      <c r="Q27" s="309" t="s">
        <v>48</v>
      </c>
      <c r="R27" s="4"/>
      <c r="S27" s="309" t="s">
        <v>48</v>
      </c>
      <c r="T27" s="4"/>
      <c r="U27" s="309" t="s">
        <v>48</v>
      </c>
      <c r="V27" s="4"/>
      <c r="W27" s="309" t="s">
        <v>48</v>
      </c>
      <c r="X27" s="4"/>
      <c r="Y27" s="309" t="s">
        <v>48</v>
      </c>
      <c r="Z27" s="271"/>
      <c r="AB27" s="170" t="s">
        <v>48</v>
      </c>
      <c r="AC27" s="139"/>
      <c r="AD27" s="171" t="s">
        <v>48</v>
      </c>
      <c r="AE27" s="4"/>
      <c r="AF27" s="171" t="s">
        <v>48</v>
      </c>
      <c r="AG27" s="4"/>
      <c r="AH27" s="171" t="s">
        <v>48</v>
      </c>
      <c r="AI27" s="4"/>
      <c r="AJ27" s="171" t="s">
        <v>48</v>
      </c>
      <c r="AK27" s="4"/>
      <c r="AL27" s="171" t="s">
        <v>48</v>
      </c>
      <c r="AM27" s="4"/>
      <c r="AN27" s="171" t="s">
        <v>48</v>
      </c>
      <c r="AO27" s="310"/>
      <c r="AP27" s="171" t="s">
        <v>48</v>
      </c>
      <c r="AQ27" s="310"/>
      <c r="AR27" s="171" t="s">
        <v>48</v>
      </c>
      <c r="AS27" s="171"/>
      <c r="AT27" s="171"/>
      <c r="AU27" s="310"/>
      <c r="AV27" s="171" t="s">
        <v>48</v>
      </c>
      <c r="AW27" s="4"/>
      <c r="AX27" s="172" t="s">
        <v>48</v>
      </c>
      <c r="AZ27" s="170" t="s">
        <v>48</v>
      </c>
      <c r="BA27" s="139"/>
      <c r="BB27" s="171" t="s">
        <v>48</v>
      </c>
      <c r="BC27" s="4"/>
      <c r="BD27" s="171" t="s">
        <v>48</v>
      </c>
      <c r="BE27" s="4"/>
      <c r="BF27" s="171" t="s">
        <v>48</v>
      </c>
      <c r="BG27" s="4"/>
      <c r="BH27" s="172"/>
    </row>
    <row r="28" spans="1:60" ht="12">
      <c r="B28" s="3"/>
      <c r="C28" s="7">
        <f>+G13</f>
        <v>2008</v>
      </c>
      <c r="D28" s="7"/>
      <c r="E28" s="311">
        <v>1.7000000000000001E-2</v>
      </c>
      <c r="F28" s="7"/>
      <c r="G28" s="23">
        <f>G32</f>
        <v>187887.18509575512</v>
      </c>
      <c r="H28" s="7"/>
      <c r="I28" s="312">
        <f>$G$15</f>
        <v>180.81600157565364</v>
      </c>
      <c r="J28" s="312"/>
      <c r="K28" s="312">
        <f>$G$16</f>
        <v>19.612798811178333</v>
      </c>
      <c r="L28" s="313"/>
      <c r="M28" s="312">
        <f>$G$17</f>
        <v>0</v>
      </c>
      <c r="N28" s="7"/>
      <c r="O28" s="314">
        <v>5.1866999999999992</v>
      </c>
      <c r="P28" s="7"/>
      <c r="Q28" s="30">
        <v>-31.863781128122483</v>
      </c>
      <c r="R28" s="7"/>
      <c r="S28" s="23">
        <f>(I28*$G$11*1000+(K28+M28+O28+Q28)*G28)/1000</f>
        <v>11365.99519135853</v>
      </c>
      <c r="T28" s="7"/>
      <c r="U28" s="23">
        <f t="shared" ref="U28:U52" si="0">AX28</f>
        <v>12842.821109082755</v>
      </c>
      <c r="V28" s="7"/>
      <c r="W28" s="23">
        <f t="shared" ref="W28:W52" si="1">S28-U28</f>
        <v>-1476.8259177242253</v>
      </c>
      <c r="X28" s="7"/>
      <c r="Y28" s="315">
        <f>+W28*1000/G28</f>
        <v>-7.8601737365513955</v>
      </c>
      <c r="Z28" s="271"/>
      <c r="AB28" s="168">
        <f>$C$28</f>
        <v>2008</v>
      </c>
      <c r="AC28" s="138"/>
      <c r="AD28" s="173">
        <f t="shared" ref="AD28:AD52" si="2">G28</f>
        <v>187887.18509575512</v>
      </c>
      <c r="AE28" s="4"/>
      <c r="AF28" s="174">
        <v>58.163412158772744</v>
      </c>
      <c r="AG28" s="316"/>
      <c r="AH28" s="174">
        <v>8.2001037061794015</v>
      </c>
      <c r="AI28" s="316"/>
      <c r="AJ28" s="174">
        <v>2.3050946065283835</v>
      </c>
      <c r="AK28" s="317"/>
      <c r="AL28" s="175">
        <f>((AF28+AH28)*$AF$11*1000+AJ28*AD28)/1000</f>
        <v>3348.6235065434375</v>
      </c>
      <c r="AM28" s="4"/>
      <c r="AN28" s="176">
        <f>INDEX('(2.2)_Forward_Price_Curve'!$G:$G,MATCH($AB28,'(2.2)_Forward_Price_Curve'!$C:$C,0),1)</f>
        <v>7.9707205782722266</v>
      </c>
      <c r="AO28" s="329"/>
      <c r="AP28" s="176">
        <f>AN28*$AF$14/1000</f>
        <v>57.915425742323464</v>
      </c>
      <c r="AQ28" s="316"/>
      <c r="AR28" s="174">
        <v>2.3860545125109165</v>
      </c>
      <c r="AS28" s="174"/>
      <c r="AT28" s="175">
        <f t="shared" ref="AT28:AT52" si="3">AL28-BF28</f>
        <v>1512.9457268946667</v>
      </c>
      <c r="AU28" s="317"/>
      <c r="AV28" s="175">
        <f t="shared" ref="AV28:AV52" si="4">(AP28+AR28)*AD28/1000</f>
        <v>11329.875382188089</v>
      </c>
      <c r="AW28" s="318"/>
      <c r="AX28" s="177">
        <f>AT28+AV28</f>
        <v>12842.821109082755</v>
      </c>
      <c r="AZ28" s="168">
        <f>$C$28</f>
        <v>2008</v>
      </c>
      <c r="BA28" s="138"/>
      <c r="BB28" s="174">
        <v>39.191870478599988</v>
      </c>
      <c r="BC28" s="4"/>
      <c r="BD28" s="174">
        <v>5.9588572499999986</v>
      </c>
      <c r="BE28" s="316"/>
      <c r="BF28" s="175">
        <f>(BB28+BD28)*$BD$11</f>
        <v>1835.6777796487709</v>
      </c>
      <c r="BG28" s="316"/>
      <c r="BH28" s="178"/>
    </row>
    <row r="29" spans="1:60" ht="12">
      <c r="B29" s="3"/>
      <c r="C29" s="7">
        <f>+IF(C28&gt;$G$13+$G$14,XX,C28+1)</f>
        <v>2009</v>
      </c>
      <c r="D29" s="7"/>
      <c r="E29" s="311">
        <v>1.7000000000000001E-2</v>
      </c>
      <c r="F29" s="7"/>
      <c r="G29" s="23">
        <v>187222.92451008921</v>
      </c>
      <c r="H29" s="7"/>
      <c r="I29" s="30">
        <f>I28*(1+$E29)</f>
        <v>183.88987360243974</v>
      </c>
      <c r="J29" s="7"/>
      <c r="K29" s="30">
        <f>K28*(1+$E29)</f>
        <v>19.946216390968363</v>
      </c>
      <c r="L29" s="7"/>
      <c r="M29" s="30">
        <f>M28*(1+$E29)</f>
        <v>0</v>
      </c>
      <c r="N29" s="7"/>
      <c r="O29" s="314">
        <v>5.2748738999999985</v>
      </c>
      <c r="P29" s="7"/>
      <c r="Q29" s="30">
        <v>-32.504243128797739</v>
      </c>
      <c r="R29" s="7"/>
      <c r="S29" s="23">
        <f t="shared" ref="S29:S52" si="5">(I29*$G$11*1000+(K29+M29+O29+Q29)*G29)/1000</f>
        <v>11545.4959529389</v>
      </c>
      <c r="T29" s="7"/>
      <c r="U29" s="23">
        <f t="shared" si="0"/>
        <v>12569.396723682576</v>
      </c>
      <c r="V29" s="7"/>
      <c r="W29" s="23">
        <f t="shared" si="1"/>
        <v>-1023.9007707436758</v>
      </c>
      <c r="X29" s="7"/>
      <c r="Y29" s="315">
        <f t="shared" ref="Y29:Y52" si="6">+W29*1000/G29</f>
        <v>-5.468885679587272</v>
      </c>
      <c r="Z29" s="271"/>
      <c r="AB29" s="168">
        <f>+IF(AB28&gt;$G$13+$G$14,XX,AB28+1)</f>
        <v>2009</v>
      </c>
      <c r="AC29" s="138"/>
      <c r="AD29" s="173">
        <f t="shared" si="2"/>
        <v>187222.92451008921</v>
      </c>
      <c r="AE29" s="4"/>
      <c r="AF29" s="176">
        <f>AF28*(1+$E29)</f>
        <v>59.152190165471872</v>
      </c>
      <c r="AG29" s="4"/>
      <c r="AH29" s="176">
        <f>AH28*(1+$E29)</f>
        <v>8.3395054691844503</v>
      </c>
      <c r="AI29" s="4"/>
      <c r="AJ29" s="176">
        <f>AJ28*(1+$E29)</f>
        <v>2.3442812148393659</v>
      </c>
      <c r="AK29" s="4"/>
      <c r="AL29" s="175">
        <f t="shared" ref="AL29:AL52" si="7">((AF29+AH29)*$AF$11*1000+AJ29*AD29)/1000</f>
        <v>3403.9928925419408</v>
      </c>
      <c r="AM29" s="4"/>
      <c r="AN29" s="176">
        <f>INDEX('(2.2)_Forward_Price_Curve'!$G:$G,MATCH($AB29,'(2.2)_Forward_Price_Curve'!$C:$C,0),1)</f>
        <v>7.7758276535043622</v>
      </c>
      <c r="AO29" s="4"/>
      <c r="AP29" s="176">
        <f t="shared" ref="AP29:AP52" si="8">AN29*$AF$14/1000</f>
        <v>56.499329593768707</v>
      </c>
      <c r="AQ29" s="4"/>
      <c r="AR29" s="176">
        <f>AR28*(1+$E29)</f>
        <v>2.4266174392236017</v>
      </c>
      <c r="AS29" s="176"/>
      <c r="AT29" s="175">
        <f t="shared" si="3"/>
        <v>1537.1085906391413</v>
      </c>
      <c r="AU29" s="4"/>
      <c r="AV29" s="175">
        <f t="shared" si="4"/>
        <v>11032.288133043434</v>
      </c>
      <c r="AW29" s="318"/>
      <c r="AX29" s="177">
        <f t="shared" ref="AX29:AX52" si="9">AT29+AV29</f>
        <v>12569.396723682576</v>
      </c>
      <c r="AZ29" s="168">
        <f>+IF(AZ28&gt;$G$13+$G$14,XX,AZ28+1)</f>
        <v>2009</v>
      </c>
      <c r="BA29" s="138"/>
      <c r="BB29" s="176">
        <f>BB28*(1+$E29)</f>
        <v>39.858132276736185</v>
      </c>
      <c r="BC29" s="4"/>
      <c r="BD29" s="176">
        <f>BD28*(1+$E29)</f>
        <v>6.0601578232499982</v>
      </c>
      <c r="BE29" s="4"/>
      <c r="BF29" s="175">
        <f t="shared" ref="BF29:BF51" si="10">(BB29+BD29)*$BD$11</f>
        <v>1866.8843019027995</v>
      </c>
      <c r="BG29" s="4"/>
      <c r="BH29" s="179"/>
    </row>
    <row r="30" spans="1:60" ht="12">
      <c r="B30" s="3"/>
      <c r="C30" s="7">
        <f>+IF(C29&gt;$G$13+$G$14,XX,C29+1)</f>
        <v>2010</v>
      </c>
      <c r="D30" s="7"/>
      <c r="E30" s="311">
        <v>1.9E-2</v>
      </c>
      <c r="F30" s="7"/>
      <c r="G30" s="23">
        <v>187222.92451008921</v>
      </c>
      <c r="H30" s="7"/>
      <c r="I30" s="30">
        <f t="shared" ref="I30:I52" si="11">I29*(1+$E30)</f>
        <v>187.38378120088606</v>
      </c>
      <c r="J30" s="7"/>
      <c r="K30" s="30">
        <f t="shared" ref="K30:K52" si="12">K29*(1+$E30)</f>
        <v>20.325194502396759</v>
      </c>
      <c r="L30" s="7"/>
      <c r="M30" s="30">
        <f t="shared" ref="M30:M52" si="13">M29*(1+$E30)</f>
        <v>0</v>
      </c>
      <c r="N30" s="7"/>
      <c r="O30" s="314">
        <v>5.3750965040999983</v>
      </c>
      <c r="P30" s="7"/>
      <c r="Q30" s="30">
        <v>-33.157578415686572</v>
      </c>
      <c r="R30" s="7"/>
      <c r="S30" s="23">
        <f t="shared" si="5"/>
        <v>11758.166282641418</v>
      </c>
      <c r="T30" s="7"/>
      <c r="U30" s="23">
        <f t="shared" si="0"/>
        <v>12201.325314965939</v>
      </c>
      <c r="V30" s="7"/>
      <c r="W30" s="23">
        <f t="shared" si="1"/>
        <v>-443.15903232452183</v>
      </c>
      <c r="X30" s="7"/>
      <c r="Y30" s="315">
        <f t="shared" si="6"/>
        <v>-2.3670126587550473</v>
      </c>
      <c r="Z30" s="271"/>
      <c r="AB30" s="168">
        <f>+IF(AB29&gt;$G$13+$G$14,XX,AB29+1)</f>
        <v>2010</v>
      </c>
      <c r="AC30" s="138"/>
      <c r="AD30" s="173">
        <f t="shared" si="2"/>
        <v>187222.92451008921</v>
      </c>
      <c r="AE30" s="4"/>
      <c r="AF30" s="176">
        <f t="shared" ref="AF30:AF52" si="14">AF29*(1+$E30)</f>
        <v>60.276081778615833</v>
      </c>
      <c r="AG30" s="4"/>
      <c r="AH30" s="176">
        <f t="shared" ref="AH30:AH52" si="15">AH29*(1+$E30)</f>
        <v>8.4979560730989547</v>
      </c>
      <c r="AI30" s="4"/>
      <c r="AJ30" s="176">
        <f t="shared" ref="AJ30:AJ52" si="16">AJ29*(1+$E30)</f>
        <v>2.3888225579213138</v>
      </c>
      <c r="AK30" s="4"/>
      <c r="AL30" s="175">
        <f t="shared" si="7"/>
        <v>3468.668757500237</v>
      </c>
      <c r="AM30" s="4"/>
      <c r="AN30" s="176">
        <f>INDEX('(2.2)_Forward_Price_Curve'!$G:$G,MATCH($AB30,'(2.2)_Forward_Price_Curve'!$C:$C,0),1)</f>
        <v>7.4774457529777205</v>
      </c>
      <c r="AO30" s="4"/>
      <c r="AP30" s="176">
        <f t="shared" si="8"/>
        <v>54.331280339864243</v>
      </c>
      <c r="AQ30" s="4"/>
      <c r="AR30" s="176">
        <f t="shared" ref="AR30:AR52" si="17">AR29*(1+$E30)</f>
        <v>2.4727231705688499</v>
      </c>
      <c r="AS30" s="176"/>
      <c r="AT30" s="175">
        <f t="shared" si="3"/>
        <v>1566.3136538612844</v>
      </c>
      <c r="AU30" s="4"/>
      <c r="AV30" s="175">
        <f t="shared" si="4"/>
        <v>10635.011661104656</v>
      </c>
      <c r="AW30" s="318"/>
      <c r="AX30" s="177">
        <f t="shared" si="9"/>
        <v>12201.325314965939</v>
      </c>
      <c r="AZ30" s="168">
        <f>+IF(AZ29&gt;$G$13+$G$14,XX,AZ29+1)</f>
        <v>2010</v>
      </c>
      <c r="BA30" s="138"/>
      <c r="BB30" s="176">
        <f t="shared" ref="BB30:BB52" si="18">BB29*(1+$E30)</f>
        <v>40.61543678999417</v>
      </c>
      <c r="BC30" s="4"/>
      <c r="BD30" s="176">
        <f t="shared" ref="BD30:BD52" si="19">BD29*(1+$E30)</f>
        <v>6.1753008218917476</v>
      </c>
      <c r="BE30" s="4"/>
      <c r="BF30" s="175">
        <f t="shared" si="10"/>
        <v>1902.3551036389526</v>
      </c>
      <c r="BG30" s="4"/>
      <c r="BH30" s="179"/>
    </row>
    <row r="31" spans="1:60" ht="12">
      <c r="B31" s="3"/>
      <c r="C31" s="7">
        <f>+IF(C30&gt;$G$13+$G$14,XX,C30+1)</f>
        <v>2011</v>
      </c>
      <c r="D31" s="7"/>
      <c r="E31" s="311">
        <v>1.9E-2</v>
      </c>
      <c r="F31" s="7"/>
      <c r="G31" s="23">
        <v>187222.92451008921</v>
      </c>
      <c r="H31" s="7"/>
      <c r="I31" s="30">
        <f t="shared" si="11"/>
        <v>190.94407304370287</v>
      </c>
      <c r="J31" s="7"/>
      <c r="K31" s="30">
        <f t="shared" si="12"/>
        <v>20.711373197942294</v>
      </c>
      <c r="L31" s="7"/>
      <c r="M31" s="30">
        <f t="shared" si="13"/>
        <v>0</v>
      </c>
      <c r="N31" s="7"/>
      <c r="O31" s="314">
        <v>5.4772233376778976</v>
      </c>
      <c r="P31" s="7"/>
      <c r="Q31" s="30">
        <v>-33.824045741841871</v>
      </c>
      <c r="R31" s="7"/>
      <c r="S31" s="23">
        <f t="shared" si="5"/>
        <v>11974.74279733088</v>
      </c>
      <c r="T31" s="7"/>
      <c r="U31" s="23">
        <f t="shared" si="0"/>
        <v>11702.125849940097</v>
      </c>
      <c r="V31" s="7"/>
      <c r="W31" s="23">
        <f t="shared" si="1"/>
        <v>272.61694739078303</v>
      </c>
      <c r="X31" s="7"/>
      <c r="Y31" s="315">
        <f t="shared" si="6"/>
        <v>1.4561087970618256</v>
      </c>
      <c r="Z31" s="271"/>
      <c r="AB31" s="168">
        <f>+IF(AB30&gt;$G$13+$G$14,XX,AB30+1)</f>
        <v>2011</v>
      </c>
      <c r="AC31" s="138"/>
      <c r="AD31" s="173">
        <f t="shared" si="2"/>
        <v>187222.92451008921</v>
      </c>
      <c r="AE31" s="4"/>
      <c r="AF31" s="176">
        <f t="shared" si="14"/>
        <v>61.421327332409525</v>
      </c>
      <c r="AG31" s="4"/>
      <c r="AH31" s="176">
        <f t="shared" si="15"/>
        <v>8.6594172384878334</v>
      </c>
      <c r="AI31" s="4"/>
      <c r="AJ31" s="176">
        <f t="shared" si="16"/>
        <v>2.4342101865218186</v>
      </c>
      <c r="AK31" s="4"/>
      <c r="AL31" s="175">
        <f t="shared" si="7"/>
        <v>3534.5734638927411</v>
      </c>
      <c r="AM31" s="4"/>
      <c r="AN31" s="176">
        <f>INDEX('(2.2)_Forward_Price_Curve'!$G:$G,MATCH($AB31,'(2.2)_Forward_Price_Curve'!$C:$C,0),1)</f>
        <v>7.0821436233211914</v>
      </c>
      <c r="AO31" s="4"/>
      <c r="AP31" s="176">
        <f t="shared" si="8"/>
        <v>51.459006633731178</v>
      </c>
      <c r="AQ31" s="4"/>
      <c r="AR31" s="176">
        <f t="shared" si="17"/>
        <v>2.5197049108096579</v>
      </c>
      <c r="AS31" s="176"/>
      <c r="AT31" s="175">
        <f t="shared" si="3"/>
        <v>1596.0736132846487</v>
      </c>
      <c r="AU31" s="4"/>
      <c r="AV31" s="175">
        <f t="shared" si="4"/>
        <v>10106.052236655449</v>
      </c>
      <c r="AW31" s="318"/>
      <c r="AX31" s="177">
        <f t="shared" si="9"/>
        <v>11702.125849940097</v>
      </c>
      <c r="AZ31" s="168">
        <f>+IF(AZ30&gt;$G$13+$G$14,XX,AZ30+1)</f>
        <v>2011</v>
      </c>
      <c r="BA31" s="138"/>
      <c r="BB31" s="176">
        <f t="shared" si="18"/>
        <v>41.387130089004053</v>
      </c>
      <c r="BC31" s="4"/>
      <c r="BD31" s="176">
        <f t="shared" si="19"/>
        <v>6.29263153750769</v>
      </c>
      <c r="BE31" s="4"/>
      <c r="BF31" s="175">
        <f t="shared" si="10"/>
        <v>1938.4998506080924</v>
      </c>
      <c r="BG31" s="4"/>
      <c r="BH31" s="179"/>
    </row>
    <row r="32" spans="1:60" ht="12">
      <c r="B32" s="3"/>
      <c r="C32" s="7">
        <f>+IF(C31&gt;$G$13+$G$14,XX,C31+1)</f>
        <v>2012</v>
      </c>
      <c r="D32" s="7"/>
      <c r="E32" s="311">
        <v>0.02</v>
      </c>
      <c r="F32" s="7"/>
      <c r="G32" s="23">
        <v>187887.18509575512</v>
      </c>
      <c r="H32" s="7"/>
      <c r="I32" s="30">
        <f t="shared" si="11"/>
        <v>194.76295450457692</v>
      </c>
      <c r="J32" s="7"/>
      <c r="K32" s="30">
        <f t="shared" si="12"/>
        <v>21.125600661901139</v>
      </c>
      <c r="L32" s="7"/>
      <c r="M32" s="30">
        <f t="shared" si="13"/>
        <v>0</v>
      </c>
      <c r="N32" s="7"/>
      <c r="O32" s="314">
        <v>5.5867678044314557</v>
      </c>
      <c r="P32" s="7"/>
      <c r="Q32" s="30">
        <v>-34.503909061252898</v>
      </c>
      <c r="R32" s="7"/>
      <c r="S32" s="23">
        <f t="shared" si="5"/>
        <v>12208.428776282422</v>
      </c>
      <c r="T32" s="7"/>
      <c r="U32" s="23">
        <f t="shared" si="0"/>
        <v>11262.693310492226</v>
      </c>
      <c r="V32" s="7"/>
      <c r="W32" s="23">
        <f t="shared" si="1"/>
        <v>945.73546579019603</v>
      </c>
      <c r="X32" s="7"/>
      <c r="Y32" s="315">
        <f t="shared" si="6"/>
        <v>5.0335283127915824</v>
      </c>
      <c r="Z32" s="271"/>
      <c r="AB32" s="168">
        <f>+IF(AB31&gt;$G$13+$G$14,XX,AB31+1)</f>
        <v>2012</v>
      </c>
      <c r="AC32" s="138"/>
      <c r="AD32" s="173">
        <f t="shared" si="2"/>
        <v>187887.18509575512</v>
      </c>
      <c r="AE32" s="4"/>
      <c r="AF32" s="176">
        <f t="shared" si="14"/>
        <v>62.64975387905772</v>
      </c>
      <c r="AG32" s="4"/>
      <c r="AH32" s="176">
        <f t="shared" si="15"/>
        <v>8.8326055832575907</v>
      </c>
      <c r="AI32" s="4"/>
      <c r="AJ32" s="176">
        <f t="shared" si="16"/>
        <v>2.4828943902522549</v>
      </c>
      <c r="AK32" s="4"/>
      <c r="AL32" s="175">
        <f t="shared" si="7"/>
        <v>3606.9142220524118</v>
      </c>
      <c r="AM32" s="4"/>
      <c r="AN32" s="176">
        <f>INDEX('(2.2)_Forward_Price_Curve'!$G:$G,MATCH($AB32,'(2.2)_Forward_Price_Curve'!$C:$C,0),1)</f>
        <v>6.7024699037828679</v>
      </c>
      <c r="AO32" s="4"/>
      <c r="AP32" s="176">
        <f t="shared" si="8"/>
        <v>48.700289288881038</v>
      </c>
      <c r="AQ32" s="4"/>
      <c r="AR32" s="176">
        <f t="shared" si="17"/>
        <v>2.5700990090258511</v>
      </c>
      <c r="AS32" s="176"/>
      <c r="AT32" s="175">
        <f t="shared" si="3"/>
        <v>1629.6443744321575</v>
      </c>
      <c r="AU32" s="4"/>
      <c r="AV32" s="175">
        <f t="shared" si="4"/>
        <v>9633.0489360600695</v>
      </c>
      <c r="AW32" s="318"/>
      <c r="AX32" s="177">
        <f t="shared" si="9"/>
        <v>11262.693310492226</v>
      </c>
      <c r="AZ32" s="168">
        <f>+IF(AZ31&gt;$G$13+$G$14,XX,AZ31+1)</f>
        <v>2012</v>
      </c>
      <c r="BA32" s="138"/>
      <c r="BB32" s="176">
        <f t="shared" si="18"/>
        <v>42.214872690784134</v>
      </c>
      <c r="BC32" s="4"/>
      <c r="BD32" s="176">
        <f t="shared" si="19"/>
        <v>6.4184841682578435</v>
      </c>
      <c r="BE32" s="4"/>
      <c r="BF32" s="175">
        <f t="shared" si="10"/>
        <v>1977.2698476202543</v>
      </c>
      <c r="BG32" s="4"/>
      <c r="BH32" s="179"/>
    </row>
    <row r="33" spans="2:60" ht="12">
      <c r="B33" s="3"/>
      <c r="C33" s="7">
        <f>+IF(C32&gt;$G$13+$G$14,XX,C32+1)</f>
        <v>2013</v>
      </c>
      <c r="D33" s="7"/>
      <c r="E33" s="311">
        <v>1.9E-2</v>
      </c>
      <c r="F33" s="7"/>
      <c r="G33" s="23">
        <v>187222.92451008921</v>
      </c>
      <c r="H33" s="7"/>
      <c r="I33" s="30">
        <f t="shared" si="11"/>
        <v>198.46345064016387</v>
      </c>
      <c r="J33" s="7"/>
      <c r="K33" s="30">
        <f t="shared" si="12"/>
        <v>21.526987074477258</v>
      </c>
      <c r="L33" s="7"/>
      <c r="M33" s="30">
        <f t="shared" si="13"/>
        <v>0</v>
      </c>
      <c r="N33" s="7"/>
      <c r="O33" s="314">
        <v>5.6929163927156532</v>
      </c>
      <c r="P33" s="7"/>
      <c r="Q33" s="30">
        <v>-35.197437633384084</v>
      </c>
      <c r="R33" s="7"/>
      <c r="S33" s="23">
        <f t="shared" si="5"/>
        <v>12438.556957966037</v>
      </c>
      <c r="T33" s="7"/>
      <c r="U33" s="23">
        <f t="shared" si="0"/>
        <v>11263.014358077171</v>
      </c>
      <c r="V33" s="7"/>
      <c r="W33" s="23">
        <f t="shared" si="1"/>
        <v>1175.5425998888659</v>
      </c>
      <c r="X33" s="7"/>
      <c r="Y33" s="315">
        <f t="shared" si="6"/>
        <v>6.2788389988295332</v>
      </c>
      <c r="Z33" s="271"/>
      <c r="AB33" s="168">
        <f>+IF(AB32&gt;$G$13+$G$14,XX,AB32+1)</f>
        <v>2013</v>
      </c>
      <c r="AC33" s="138"/>
      <c r="AD33" s="173">
        <f t="shared" si="2"/>
        <v>187222.92451008921</v>
      </c>
      <c r="AE33" s="4"/>
      <c r="AF33" s="176">
        <f t="shared" si="14"/>
        <v>63.840099202759809</v>
      </c>
      <c r="AG33" s="4"/>
      <c r="AH33" s="176">
        <f t="shared" si="15"/>
        <v>9.0004250893394833</v>
      </c>
      <c r="AI33" s="4"/>
      <c r="AJ33" s="176">
        <f t="shared" si="16"/>
        <v>2.5300693836670476</v>
      </c>
      <c r="AK33" s="4"/>
      <c r="AL33" s="175">
        <f t="shared" si="7"/>
        <v>3673.764966900837</v>
      </c>
      <c r="AM33" s="4"/>
      <c r="AN33" s="176">
        <f>INDEX('(2.2)_Forward_Price_Curve'!$G:$G,MATCH($AB33,'(2.2)_Forward_Price_Curve'!$C:$C,0),1)</f>
        <v>6.6994948806584134</v>
      </c>
      <c r="AO33" s="4"/>
      <c r="AP33" s="176">
        <f t="shared" si="8"/>
        <v>48.678672707399592</v>
      </c>
      <c r="AQ33" s="4"/>
      <c r="AR33" s="176">
        <f t="shared" si="17"/>
        <v>2.6189308901973418</v>
      </c>
      <c r="AS33" s="176"/>
      <c r="AT33" s="175">
        <f t="shared" si="3"/>
        <v>1658.926992175798</v>
      </c>
      <c r="AU33" s="4"/>
      <c r="AV33" s="175">
        <f t="shared" si="4"/>
        <v>9604.0873659013723</v>
      </c>
      <c r="AW33" s="318"/>
      <c r="AX33" s="177">
        <f t="shared" si="9"/>
        <v>11263.014358077171</v>
      </c>
      <c r="AZ33" s="168">
        <f>+IF(AZ32&gt;$G$13+$G$14,XX,AZ32+1)</f>
        <v>2013</v>
      </c>
      <c r="BA33" s="138"/>
      <c r="BB33" s="176">
        <f t="shared" si="18"/>
        <v>43.016955271909026</v>
      </c>
      <c r="BC33" s="4"/>
      <c r="BD33" s="176">
        <f t="shared" si="19"/>
        <v>6.5404353674547417</v>
      </c>
      <c r="BE33" s="4"/>
      <c r="BF33" s="175">
        <f t="shared" si="10"/>
        <v>2014.837974725039</v>
      </c>
      <c r="BG33" s="4"/>
      <c r="BH33" s="179"/>
    </row>
    <row r="34" spans="2:60" ht="12">
      <c r="B34" s="3"/>
      <c r="C34" s="7">
        <f>+IF(C33&gt;$G$13+$G$14,XX,C33+1)</f>
        <v>2014</v>
      </c>
      <c r="D34" s="7"/>
      <c r="E34" s="311">
        <v>1.7999999999999999E-2</v>
      </c>
      <c r="F34" s="7"/>
      <c r="G34" s="23">
        <v>187222.92451008921</v>
      </c>
      <c r="H34" s="7"/>
      <c r="I34" s="30">
        <f t="shared" si="11"/>
        <v>202.03579275168681</v>
      </c>
      <c r="J34" s="7"/>
      <c r="K34" s="30">
        <f t="shared" si="12"/>
        <v>21.914472841817851</v>
      </c>
      <c r="L34" s="7"/>
      <c r="M34" s="30">
        <f t="shared" si="13"/>
        <v>0</v>
      </c>
      <c r="N34" s="7"/>
      <c r="O34" s="314">
        <v>5.7953888877845348</v>
      </c>
      <c r="P34" s="7"/>
      <c r="Q34" s="30">
        <v>-35.904906129815103</v>
      </c>
      <c r="R34" s="7"/>
      <c r="S34" s="23">
        <f t="shared" si="5"/>
        <v>12648.612472070559</v>
      </c>
      <c r="T34" s="7"/>
      <c r="U34" s="23">
        <f t="shared" si="0"/>
        <v>11593.517968066521</v>
      </c>
      <c r="V34" s="7"/>
      <c r="W34" s="23">
        <f t="shared" si="1"/>
        <v>1055.0945040040388</v>
      </c>
      <c r="X34" s="7"/>
      <c r="Y34" s="315">
        <f t="shared" si="6"/>
        <v>5.635498466680458</v>
      </c>
      <c r="Z34" s="271"/>
      <c r="AB34" s="168">
        <f>+IF(AB33&gt;$G$13+$G$14,XX,AB33+1)</f>
        <v>2014</v>
      </c>
      <c r="AC34" s="138"/>
      <c r="AD34" s="173">
        <f t="shared" si="2"/>
        <v>187222.92451008921</v>
      </c>
      <c r="AE34" s="4"/>
      <c r="AF34" s="176">
        <f t="shared" si="14"/>
        <v>64.989220988409485</v>
      </c>
      <c r="AG34" s="4"/>
      <c r="AH34" s="176">
        <f t="shared" si="15"/>
        <v>9.1624327409475939</v>
      </c>
      <c r="AI34" s="4"/>
      <c r="AJ34" s="176">
        <f t="shared" si="16"/>
        <v>2.5756106325730546</v>
      </c>
      <c r="AK34" s="4"/>
      <c r="AL34" s="175">
        <f t="shared" si="7"/>
        <v>3739.892736305052</v>
      </c>
      <c r="AM34" s="4"/>
      <c r="AN34" s="176">
        <f>INDEX('(2.2)_Forward_Price_Curve'!$G:$G,MATCH($AB34,'(2.2)_Forward_Price_Curve'!$C:$C,0),1)</f>
        <v>6.9140085811973453</v>
      </c>
      <c r="AO34" s="4"/>
      <c r="AP34" s="176">
        <f t="shared" si="8"/>
        <v>50.2373338312307</v>
      </c>
      <c r="AQ34" s="4"/>
      <c r="AR34" s="176">
        <f t="shared" si="17"/>
        <v>2.6660716462208942</v>
      </c>
      <c r="AS34" s="176"/>
      <c r="AT34" s="175">
        <f t="shared" si="3"/>
        <v>1688.7876780349625</v>
      </c>
      <c r="AU34" s="4"/>
      <c r="AV34" s="175">
        <f t="shared" si="4"/>
        <v>9904.730290031559</v>
      </c>
      <c r="AW34" s="318"/>
      <c r="AX34" s="177">
        <f t="shared" si="9"/>
        <v>11593.517968066521</v>
      </c>
      <c r="AZ34" s="168">
        <f>+IF(AZ33&gt;$G$13+$G$14,XX,AZ33+1)</f>
        <v>2014</v>
      </c>
      <c r="BA34" s="138"/>
      <c r="BB34" s="176">
        <f t="shared" si="18"/>
        <v>43.791260466803386</v>
      </c>
      <c r="BC34" s="4"/>
      <c r="BD34" s="176">
        <f t="shared" si="19"/>
        <v>6.6581632040689271</v>
      </c>
      <c r="BE34" s="4"/>
      <c r="BF34" s="175">
        <f t="shared" si="10"/>
        <v>2051.1050582700896</v>
      </c>
      <c r="BG34" s="4"/>
      <c r="BH34" s="179"/>
    </row>
    <row r="35" spans="2:60" ht="12">
      <c r="B35" s="3"/>
      <c r="C35" s="7">
        <f>+IF(C34&gt;$G$13+$G$14,XX,C34+1)</f>
        <v>2015</v>
      </c>
      <c r="D35" s="7"/>
      <c r="E35" s="311">
        <v>1.7999999999999999E-2</v>
      </c>
      <c r="F35" s="7"/>
      <c r="G35" s="23">
        <v>187222.92451008921</v>
      </c>
      <c r="H35" s="7"/>
      <c r="I35" s="30">
        <f t="shared" si="11"/>
        <v>205.67243702121718</v>
      </c>
      <c r="J35" s="7"/>
      <c r="K35" s="30">
        <f t="shared" si="12"/>
        <v>22.308933352970573</v>
      </c>
      <c r="L35" s="7"/>
      <c r="M35" s="30">
        <f t="shared" si="13"/>
        <v>0</v>
      </c>
      <c r="N35" s="7"/>
      <c r="O35" s="314">
        <v>5.8997058877646564</v>
      </c>
      <c r="P35" s="7"/>
      <c r="Q35" s="30">
        <v>-36.626594743024391</v>
      </c>
      <c r="R35" s="7"/>
      <c r="S35" s="23">
        <f t="shared" si="5"/>
        <v>12862.170831355073</v>
      </c>
      <c r="T35" s="7"/>
      <c r="U35" s="23">
        <f t="shared" si="0"/>
        <v>12180.301964137931</v>
      </c>
      <c r="V35" s="7"/>
      <c r="W35" s="23">
        <f t="shared" si="1"/>
        <v>681.86886721714291</v>
      </c>
      <c r="X35" s="7"/>
      <c r="Y35" s="315">
        <f t="shared" si="6"/>
        <v>3.6420158962979872</v>
      </c>
      <c r="Z35" s="271"/>
      <c r="AB35" s="168">
        <f>+IF(AB34&gt;$G$13+$G$14,XX,AB34+1)</f>
        <v>2015</v>
      </c>
      <c r="AC35" s="138"/>
      <c r="AD35" s="173">
        <f t="shared" si="2"/>
        <v>187222.92451008921</v>
      </c>
      <c r="AE35" s="4"/>
      <c r="AF35" s="176">
        <f t="shared" si="14"/>
        <v>66.159026966200855</v>
      </c>
      <c r="AG35" s="4"/>
      <c r="AH35" s="176">
        <f t="shared" si="15"/>
        <v>9.3273565302846499</v>
      </c>
      <c r="AI35" s="4"/>
      <c r="AJ35" s="176">
        <f t="shared" si="16"/>
        <v>2.6219716239593698</v>
      </c>
      <c r="AK35" s="4"/>
      <c r="AL35" s="175">
        <f t="shared" si="7"/>
        <v>3807.2108055585427</v>
      </c>
      <c r="AM35" s="4"/>
      <c r="AN35" s="176">
        <f>INDEX('(2.2)_Forward_Price_Curve'!$G:$G,MATCH($AB35,'(2.2)_Forward_Price_Curve'!$C:$C,0),1)</f>
        <v>7.3164011858738007</v>
      </c>
      <c r="AO35" s="4"/>
      <c r="AP35" s="176">
        <f t="shared" si="8"/>
        <v>53.161127080102943</v>
      </c>
      <c r="AQ35" s="4"/>
      <c r="AR35" s="176">
        <f t="shared" si="17"/>
        <v>2.7140609358528702</v>
      </c>
      <c r="AS35" s="176"/>
      <c r="AT35" s="175">
        <f t="shared" si="3"/>
        <v>1719.1858562395914</v>
      </c>
      <c r="AU35" s="4"/>
      <c r="AV35" s="175">
        <f t="shared" si="4"/>
        <v>10461.116107898339</v>
      </c>
      <c r="AW35" s="318"/>
      <c r="AX35" s="177">
        <f t="shared" si="9"/>
        <v>12180.301964137931</v>
      </c>
      <c r="AZ35" s="168">
        <f>+IF(AZ34&gt;$G$13+$G$14,XX,AZ34+1)</f>
        <v>2015</v>
      </c>
      <c r="BA35" s="138"/>
      <c r="BB35" s="176">
        <f t="shared" si="18"/>
        <v>44.579503155205849</v>
      </c>
      <c r="BC35" s="4"/>
      <c r="BD35" s="176">
        <f t="shared" si="19"/>
        <v>6.7780101417421683</v>
      </c>
      <c r="BE35" s="4"/>
      <c r="BF35" s="175">
        <f t="shared" si="10"/>
        <v>2088.0249493189513</v>
      </c>
      <c r="BG35" s="4"/>
      <c r="BH35" s="179"/>
    </row>
    <row r="36" spans="2:60" ht="12">
      <c r="B36" s="3"/>
      <c r="C36" s="7">
        <f>+IF(C35&gt;$G$13+$G$14,XX,C35+1)</f>
        <v>2016</v>
      </c>
      <c r="D36" s="7"/>
      <c r="E36" s="311">
        <v>1.7999999999999999E-2</v>
      </c>
      <c r="F36" s="7"/>
      <c r="G36" s="23">
        <v>187887.18509575512</v>
      </c>
      <c r="H36" s="7"/>
      <c r="I36" s="30">
        <f t="shared" si="11"/>
        <v>209.3745408875991</v>
      </c>
      <c r="J36" s="7"/>
      <c r="K36" s="30">
        <f t="shared" si="12"/>
        <v>22.710494153324046</v>
      </c>
      <c r="L36" s="7"/>
      <c r="M36" s="30">
        <f t="shared" si="13"/>
        <v>0</v>
      </c>
      <c r="N36" s="7"/>
      <c r="O36" s="314">
        <v>6.0059005937444203</v>
      </c>
      <c r="P36" s="7"/>
      <c r="Q36" s="30">
        <v>-37.362789297359178</v>
      </c>
      <c r="R36" s="7"/>
      <c r="S36" s="23">
        <f t="shared" si="5"/>
        <v>13073.546037028058</v>
      </c>
      <c r="T36" s="7"/>
      <c r="U36" s="23">
        <f t="shared" si="0"/>
        <v>13084.958144522447</v>
      </c>
      <c r="V36" s="7"/>
      <c r="W36" s="23">
        <f t="shared" si="1"/>
        <v>-11.412107494388692</v>
      </c>
      <c r="X36" s="7"/>
      <c r="Y36" s="315">
        <f t="shared" si="6"/>
        <v>-6.0739147742154997E-2</v>
      </c>
      <c r="Z36" s="271"/>
      <c r="AB36" s="168">
        <f>+IF(AB35&gt;$G$13+$G$14,XX,AB35+1)</f>
        <v>2016</v>
      </c>
      <c r="AC36" s="138"/>
      <c r="AD36" s="173">
        <f t="shared" si="2"/>
        <v>187887.18509575512</v>
      </c>
      <c r="AE36" s="4"/>
      <c r="AF36" s="176">
        <f t="shared" si="14"/>
        <v>67.349889451592475</v>
      </c>
      <c r="AG36" s="4"/>
      <c r="AH36" s="176">
        <f t="shared" si="15"/>
        <v>9.4952489478297739</v>
      </c>
      <c r="AI36" s="4"/>
      <c r="AJ36" s="176">
        <f t="shared" si="16"/>
        <v>2.6691671131906385</v>
      </c>
      <c r="AK36" s="4"/>
      <c r="AL36" s="175">
        <f t="shared" si="7"/>
        <v>3877.5136225684455</v>
      </c>
      <c r="AM36" s="4"/>
      <c r="AN36" s="176">
        <f>INDEX('(2.2)_Forward_Price_Curve'!$G:$G,MATCH($AB36,'(2.2)_Forward_Price_Curve'!$C:$C,0),1)</f>
        <v>7.9211828417083421</v>
      </c>
      <c r="AO36" s="4"/>
      <c r="AP36" s="176">
        <f t="shared" si="8"/>
        <v>57.555483491778489</v>
      </c>
      <c r="AQ36" s="4"/>
      <c r="AR36" s="176">
        <f t="shared" si="17"/>
        <v>2.7629140326982218</v>
      </c>
      <c r="AS36" s="176"/>
      <c r="AT36" s="175">
        <f t="shared" si="3"/>
        <v>1751.9042241617531</v>
      </c>
      <c r="AU36" s="4"/>
      <c r="AV36" s="175">
        <f t="shared" si="4"/>
        <v>11333.053920360693</v>
      </c>
      <c r="AW36" s="318"/>
      <c r="AX36" s="177">
        <f t="shared" si="9"/>
        <v>13084.958144522447</v>
      </c>
      <c r="AZ36" s="168">
        <f>+IF(AZ35&gt;$G$13+$G$14,XX,AZ35+1)</f>
        <v>2016</v>
      </c>
      <c r="BA36" s="138"/>
      <c r="BB36" s="176">
        <f t="shared" si="18"/>
        <v>45.381934211999557</v>
      </c>
      <c r="BC36" s="4"/>
      <c r="BD36" s="176">
        <f t="shared" si="19"/>
        <v>6.9000143242935277</v>
      </c>
      <c r="BE36" s="4"/>
      <c r="BF36" s="175">
        <f t="shared" si="10"/>
        <v>2125.6093984066924</v>
      </c>
      <c r="BG36" s="4"/>
      <c r="BH36" s="179"/>
    </row>
    <row r="37" spans="2:60" ht="12">
      <c r="B37" s="3"/>
      <c r="C37" s="7">
        <f>+IF(C36&gt;$G$13+$G$14,XX,C36+1)</f>
        <v>2017</v>
      </c>
      <c r="D37" s="7"/>
      <c r="E37" s="311">
        <v>1.7999999999999999E-2</v>
      </c>
      <c r="F37" s="7"/>
      <c r="G37" s="23">
        <v>187222.92451008921</v>
      </c>
      <c r="H37" s="7"/>
      <c r="I37" s="30">
        <f t="shared" si="11"/>
        <v>213.14328262357589</v>
      </c>
      <c r="J37" s="7"/>
      <c r="K37" s="30">
        <f t="shared" si="12"/>
        <v>23.119283048083879</v>
      </c>
      <c r="L37" s="7"/>
      <c r="M37" s="30">
        <f t="shared" si="13"/>
        <v>0</v>
      </c>
      <c r="N37" s="7"/>
      <c r="O37" s="314">
        <v>6.1140068044318197</v>
      </c>
      <c r="P37" s="7"/>
      <c r="Q37" s="30">
        <v>-38.113781362236097</v>
      </c>
      <c r="R37" s="7"/>
      <c r="S37" s="23">
        <f t="shared" si="5"/>
        <v>13300.026848638157</v>
      </c>
      <c r="T37" s="7"/>
      <c r="U37" s="23">
        <f t="shared" si="0"/>
        <v>13934.937758620019</v>
      </c>
      <c r="V37" s="7"/>
      <c r="W37" s="23">
        <f t="shared" si="1"/>
        <v>-634.91090998186155</v>
      </c>
      <c r="X37" s="7"/>
      <c r="Y37" s="315">
        <f t="shared" si="6"/>
        <v>-3.3912028222144719</v>
      </c>
      <c r="Z37" s="271"/>
      <c r="AB37" s="168">
        <f>+IF(AB36&gt;$G$13+$G$14,XX,AB36+1)</f>
        <v>2017</v>
      </c>
      <c r="AC37" s="138"/>
      <c r="AD37" s="173">
        <f t="shared" si="2"/>
        <v>187222.92451008921</v>
      </c>
      <c r="AE37" s="4"/>
      <c r="AF37" s="176">
        <f t="shared" si="14"/>
        <v>68.562187461721138</v>
      </c>
      <c r="AG37" s="4"/>
      <c r="AH37" s="176">
        <f t="shared" si="15"/>
        <v>9.6661634288907106</v>
      </c>
      <c r="AI37" s="4"/>
      <c r="AJ37" s="176">
        <f t="shared" si="16"/>
        <v>2.7172121212280702</v>
      </c>
      <c r="AK37" s="4"/>
      <c r="AL37" s="175">
        <f t="shared" si="7"/>
        <v>3945.503930859652</v>
      </c>
      <c r="AM37" s="4"/>
      <c r="AN37" s="176">
        <f>INDEX('(2.2)_Forward_Price_Curve'!$G:$G,MATCH($AB37,'(2.2)_Forward_Price_Curve'!$C:$C,0),1)</f>
        <v>8.5467545643478058</v>
      </c>
      <c r="AO37" s="4"/>
      <c r="AP37" s="176">
        <f t="shared" si="8"/>
        <v>62.100900972324112</v>
      </c>
      <c r="AQ37" s="4"/>
      <c r="AR37" s="176">
        <f t="shared" si="17"/>
        <v>2.8126464852867898</v>
      </c>
      <c r="AS37" s="176"/>
      <c r="AT37" s="175">
        <f t="shared" si="3"/>
        <v>1781.633563281639</v>
      </c>
      <c r="AU37" s="4"/>
      <c r="AV37" s="175">
        <f t="shared" si="4"/>
        <v>12153.30419533838</v>
      </c>
      <c r="AW37" s="318"/>
      <c r="AX37" s="177">
        <f t="shared" si="9"/>
        <v>13934.937758620019</v>
      </c>
      <c r="AZ37" s="168">
        <f>+IF(AZ36&gt;$G$13+$G$14,XX,AZ36+1)</f>
        <v>2017</v>
      </c>
      <c r="BA37" s="138"/>
      <c r="BB37" s="176">
        <f t="shared" si="18"/>
        <v>46.19880902781555</v>
      </c>
      <c r="BC37" s="4"/>
      <c r="BD37" s="176">
        <f t="shared" si="19"/>
        <v>7.0242145821308108</v>
      </c>
      <c r="BE37" s="4"/>
      <c r="BF37" s="175">
        <f t="shared" si="10"/>
        <v>2163.870367578013</v>
      </c>
      <c r="BG37" s="4"/>
      <c r="BH37" s="179"/>
    </row>
    <row r="38" spans="2:60" ht="12">
      <c r="B38" s="3"/>
      <c r="C38" s="7">
        <f>+IF(C37&gt;$G$13+$G$14,XX,C37+1)</f>
        <v>2018</v>
      </c>
      <c r="D38" s="7"/>
      <c r="E38" s="311">
        <v>1.7999999999999999E-2</v>
      </c>
      <c r="F38" s="7"/>
      <c r="G38" s="23">
        <v>187222.92451008921</v>
      </c>
      <c r="H38" s="7"/>
      <c r="I38" s="30">
        <f t="shared" si="11"/>
        <v>216.97986171080026</v>
      </c>
      <c r="J38" s="7"/>
      <c r="K38" s="30">
        <f t="shared" si="12"/>
        <v>23.535430142949391</v>
      </c>
      <c r="L38" s="7"/>
      <c r="M38" s="30">
        <f t="shared" si="13"/>
        <v>0</v>
      </c>
      <c r="N38" s="7"/>
      <c r="O38" s="314">
        <v>6.2240589269115922</v>
      </c>
      <c r="P38" s="7"/>
      <c r="Q38" s="30">
        <v>0</v>
      </c>
      <c r="R38" s="7"/>
      <c r="S38" s="23">
        <f t="shared" si="5"/>
        <v>20803.64486768359</v>
      </c>
      <c r="T38" s="7"/>
      <c r="U38" s="23">
        <f t="shared" si="0"/>
        <v>14738.827000112622</v>
      </c>
      <c r="V38" s="7"/>
      <c r="W38" s="23">
        <f t="shared" si="1"/>
        <v>6064.8178675709678</v>
      </c>
      <c r="X38" s="7"/>
      <c r="Y38" s="315">
        <f t="shared" si="6"/>
        <v>32.393564428292763</v>
      </c>
      <c r="Z38" s="271"/>
      <c r="AB38" s="168">
        <f>+IF(AB37&gt;$G$13+$G$14,XX,AB37+1)</f>
        <v>2018</v>
      </c>
      <c r="AC38" s="138"/>
      <c r="AD38" s="173">
        <f t="shared" si="2"/>
        <v>187222.92451008921</v>
      </c>
      <c r="AE38" s="4"/>
      <c r="AF38" s="176">
        <f t="shared" si="14"/>
        <v>69.796306836032116</v>
      </c>
      <c r="AG38" s="4"/>
      <c r="AH38" s="176">
        <f t="shared" si="15"/>
        <v>9.8401543706107439</v>
      </c>
      <c r="AI38" s="4"/>
      <c r="AJ38" s="176">
        <f t="shared" si="16"/>
        <v>2.7661219394101755</v>
      </c>
      <c r="AK38" s="4"/>
      <c r="AL38" s="175">
        <f t="shared" si="7"/>
        <v>4016.5230016151258</v>
      </c>
      <c r="AM38" s="4"/>
      <c r="AN38" s="176">
        <f>INDEX('(2.2)_Forward_Price_Curve'!$G:$G,MATCH($AB38,'(2.2)_Forward_Price_Curve'!$C:$C,0),1)</f>
        <v>9.1071488375904099</v>
      </c>
      <c r="AO38" s="4"/>
      <c r="AP38" s="176">
        <f t="shared" si="8"/>
        <v>66.172737715275218</v>
      </c>
      <c r="AQ38" s="4"/>
      <c r="AR38" s="176">
        <f t="shared" si="17"/>
        <v>2.8632741220219522</v>
      </c>
      <c r="AS38" s="176"/>
      <c r="AT38" s="175">
        <f t="shared" si="3"/>
        <v>1813.7029674207088</v>
      </c>
      <c r="AU38" s="4"/>
      <c r="AV38" s="175">
        <f t="shared" si="4"/>
        <v>12925.124032691912</v>
      </c>
      <c r="AW38" s="318"/>
      <c r="AX38" s="177">
        <f t="shared" si="9"/>
        <v>14738.827000112622</v>
      </c>
      <c r="AZ38" s="168">
        <f>+IF(AZ37&gt;$G$13+$G$14,XX,AZ37+1)</f>
        <v>2018</v>
      </c>
      <c r="BA38" s="138"/>
      <c r="BB38" s="176">
        <f t="shared" si="18"/>
        <v>47.030387590316231</v>
      </c>
      <c r="BC38" s="4"/>
      <c r="BD38" s="176">
        <f t="shared" si="19"/>
        <v>7.1506504446091652</v>
      </c>
      <c r="BE38" s="4"/>
      <c r="BF38" s="175">
        <f t="shared" si="10"/>
        <v>2202.8200341944171</v>
      </c>
      <c r="BG38" s="4"/>
      <c r="BH38" s="179"/>
    </row>
    <row r="39" spans="2:60" ht="12">
      <c r="B39" s="3"/>
      <c r="C39" s="7">
        <f>+IF(C38&gt;$G$13+$G$14,XX,C38+1)</f>
        <v>2019</v>
      </c>
      <c r="D39" s="7"/>
      <c r="E39" s="311">
        <v>1.7999999999999999E-2</v>
      </c>
      <c r="F39" s="7"/>
      <c r="G39" s="23">
        <v>187222.92451008921</v>
      </c>
      <c r="H39" s="7"/>
      <c r="I39" s="30">
        <f t="shared" si="11"/>
        <v>220.88549922159467</v>
      </c>
      <c r="J39" s="7"/>
      <c r="K39" s="30">
        <f t="shared" si="12"/>
        <v>23.959067885522479</v>
      </c>
      <c r="L39" s="7"/>
      <c r="M39" s="30">
        <f t="shared" si="13"/>
        <v>0</v>
      </c>
      <c r="N39" s="7"/>
      <c r="O39" s="314">
        <v>6.3360919875960011</v>
      </c>
      <c r="P39" s="7"/>
      <c r="Q39" s="30">
        <v>0</v>
      </c>
      <c r="R39" s="7"/>
      <c r="S39" s="23">
        <f t="shared" si="5"/>
        <v>21178.110475301892</v>
      </c>
      <c r="T39" s="7"/>
      <c r="U39" s="23">
        <f t="shared" si="0"/>
        <v>15627.013204337849</v>
      </c>
      <c r="V39" s="7"/>
      <c r="W39" s="23">
        <f t="shared" si="1"/>
        <v>5551.0972709640428</v>
      </c>
      <c r="X39" s="7"/>
      <c r="Y39" s="315">
        <f t="shared" si="6"/>
        <v>29.649666489772738</v>
      </c>
      <c r="Z39" s="271"/>
      <c r="AB39" s="168">
        <f>+IF(AB38&gt;$G$13+$G$14,XX,AB38+1)</f>
        <v>2019</v>
      </c>
      <c r="AC39" s="138"/>
      <c r="AD39" s="173">
        <f t="shared" si="2"/>
        <v>187222.92451008921</v>
      </c>
      <c r="AE39" s="4"/>
      <c r="AF39" s="176">
        <f t="shared" si="14"/>
        <v>71.052640359080698</v>
      </c>
      <c r="AG39" s="4"/>
      <c r="AH39" s="176">
        <f t="shared" si="15"/>
        <v>10.017277149281737</v>
      </c>
      <c r="AI39" s="4"/>
      <c r="AJ39" s="176">
        <f t="shared" si="16"/>
        <v>2.8159121343195586</v>
      </c>
      <c r="AK39" s="4"/>
      <c r="AL39" s="175">
        <f t="shared" si="7"/>
        <v>4088.8204156441975</v>
      </c>
      <c r="AM39" s="4"/>
      <c r="AN39" s="176">
        <f>INDEX('(2.2)_Forward_Price_Curve'!$G:$G,MATCH($AB39,'(2.2)_Forward_Price_Curve'!$C:$C,0),1)</f>
        <v>9.7289597532905745</v>
      </c>
      <c r="AO39" s="4"/>
      <c r="AP39" s="176">
        <f t="shared" si="8"/>
        <v>70.69082909237946</v>
      </c>
      <c r="AQ39" s="4"/>
      <c r="AR39" s="176">
        <f t="shared" si="17"/>
        <v>2.9148130562183474</v>
      </c>
      <c r="AS39" s="176"/>
      <c r="AT39" s="175">
        <f t="shared" si="3"/>
        <v>1846.3496208342808</v>
      </c>
      <c r="AU39" s="4"/>
      <c r="AV39" s="175">
        <f t="shared" si="4"/>
        <v>13780.663583503569</v>
      </c>
      <c r="AW39" s="318"/>
      <c r="AX39" s="177">
        <f t="shared" si="9"/>
        <v>15627.013204337849</v>
      </c>
      <c r="AZ39" s="168">
        <f>+IF(AZ38&gt;$G$13+$G$14,XX,AZ38+1)</f>
        <v>2019</v>
      </c>
      <c r="BA39" s="138"/>
      <c r="BB39" s="176">
        <f t="shared" si="18"/>
        <v>47.876934566941927</v>
      </c>
      <c r="BC39" s="4"/>
      <c r="BD39" s="176">
        <f t="shared" si="19"/>
        <v>7.2793621526121299</v>
      </c>
      <c r="BE39" s="4"/>
      <c r="BF39" s="175">
        <f t="shared" si="10"/>
        <v>2242.4707948099167</v>
      </c>
      <c r="BG39" s="4"/>
      <c r="BH39" s="179"/>
    </row>
    <row r="40" spans="2:60" ht="12">
      <c r="B40" s="3"/>
      <c r="C40" s="7">
        <f>+IF(C39&gt;$G$13+$G$14,XX,C39+1)</f>
        <v>2020</v>
      </c>
      <c r="D40" s="7"/>
      <c r="E40" s="311">
        <v>1.7999999999999999E-2</v>
      </c>
      <c r="F40" s="7"/>
      <c r="G40" s="23">
        <v>187887.18509575512</v>
      </c>
      <c r="H40" s="7"/>
      <c r="I40" s="30">
        <f t="shared" si="11"/>
        <v>224.86143820758338</v>
      </c>
      <c r="J40" s="7"/>
      <c r="K40" s="30">
        <f t="shared" si="12"/>
        <v>24.390331107461883</v>
      </c>
      <c r="L40" s="7"/>
      <c r="M40" s="30">
        <f t="shared" si="13"/>
        <v>0</v>
      </c>
      <c r="N40" s="7"/>
      <c r="O40" s="314">
        <v>6.4501416433727297</v>
      </c>
      <c r="P40" s="7"/>
      <c r="Q40" s="30">
        <v>0</v>
      </c>
      <c r="R40" s="7"/>
      <c r="S40" s="23">
        <f t="shared" si="5"/>
        <v>21579.802574349007</v>
      </c>
      <c r="T40" s="7"/>
      <c r="U40" s="23">
        <f t="shared" si="0"/>
        <v>16237.422930953006</v>
      </c>
      <c r="V40" s="7"/>
      <c r="W40" s="23">
        <f t="shared" si="1"/>
        <v>5342.3796433960015</v>
      </c>
      <c r="X40" s="7"/>
      <c r="Y40" s="315">
        <f t="shared" si="6"/>
        <v>28.433975636354884</v>
      </c>
      <c r="Z40" s="271"/>
      <c r="AB40" s="168">
        <f>+IF(AB39&gt;$G$13+$G$14,XX,AB39+1)</f>
        <v>2020</v>
      </c>
      <c r="AC40" s="138"/>
      <c r="AD40" s="173">
        <f t="shared" si="2"/>
        <v>187887.18509575512</v>
      </c>
      <c r="AE40" s="4"/>
      <c r="AF40" s="176">
        <f t="shared" si="14"/>
        <v>72.331587885544153</v>
      </c>
      <c r="AG40" s="4"/>
      <c r="AH40" s="176">
        <f t="shared" si="15"/>
        <v>10.197588137968809</v>
      </c>
      <c r="AI40" s="4"/>
      <c r="AJ40" s="176">
        <f t="shared" si="16"/>
        <v>2.8665985527373108</v>
      </c>
      <c r="AK40" s="4"/>
      <c r="AL40" s="175">
        <f t="shared" si="7"/>
        <v>4164.3233515593038</v>
      </c>
      <c r="AM40" s="4"/>
      <c r="AN40" s="176">
        <f>INDEX('(2.2)_Forward_Price_Curve'!$G:$G,MATCH($AB40,'(2.2)_Forward_Price_Curve'!$C:$C,0),1)</f>
        <v>10.107309478601163</v>
      </c>
      <c r="AO40" s="4"/>
      <c r="AP40" s="176">
        <f t="shared" si="8"/>
        <v>73.43992626692922</v>
      </c>
      <c r="AQ40" s="4"/>
      <c r="AR40" s="176">
        <f t="shared" si="17"/>
        <v>2.9672796912302779</v>
      </c>
      <c r="AS40" s="176"/>
      <c r="AT40" s="175">
        <f t="shared" si="3"/>
        <v>1881.4880824428087</v>
      </c>
      <c r="AU40" s="4"/>
      <c r="AV40" s="175">
        <f t="shared" si="4"/>
        <v>14355.934848510196</v>
      </c>
      <c r="AW40" s="318"/>
      <c r="AX40" s="177">
        <f t="shared" si="9"/>
        <v>16237.422930953006</v>
      </c>
      <c r="AZ40" s="168">
        <f>+IF(AZ39&gt;$G$13+$G$14,XX,AZ39+1)</f>
        <v>2020</v>
      </c>
      <c r="BA40" s="138"/>
      <c r="BB40" s="176">
        <f t="shared" si="18"/>
        <v>48.73871938914688</v>
      </c>
      <c r="BC40" s="4"/>
      <c r="BD40" s="176">
        <f t="shared" si="19"/>
        <v>7.4103906713591483</v>
      </c>
      <c r="BE40" s="4"/>
      <c r="BF40" s="175">
        <f t="shared" si="10"/>
        <v>2282.8352691164951</v>
      </c>
      <c r="BG40" s="4"/>
      <c r="BH40" s="179"/>
    </row>
    <row r="41" spans="2:60" ht="12">
      <c r="B41" s="3"/>
      <c r="C41" s="7">
        <f>+IF(C40&gt;$G$13+$G$14,XX,C40+1)</f>
        <v>2021</v>
      </c>
      <c r="D41" s="7"/>
      <c r="E41" s="311">
        <v>1.7999999999999999E-2</v>
      </c>
      <c r="F41" s="7"/>
      <c r="G41" s="23">
        <v>187222.92451008921</v>
      </c>
      <c r="H41" s="7"/>
      <c r="I41" s="30">
        <f t="shared" si="11"/>
        <v>228.90894409531987</v>
      </c>
      <c r="J41" s="7"/>
      <c r="K41" s="30">
        <f t="shared" si="12"/>
        <v>24.829357067396199</v>
      </c>
      <c r="L41" s="7"/>
      <c r="M41" s="30">
        <f t="shared" si="13"/>
        <v>0</v>
      </c>
      <c r="N41" s="7"/>
      <c r="O41" s="314">
        <v>6.5662441929534392</v>
      </c>
      <c r="P41" s="7"/>
      <c r="Q41" s="30">
        <v>0</v>
      </c>
      <c r="R41" s="7"/>
      <c r="S41" s="23">
        <f t="shared" si="5"/>
        <v>21947.384160206759</v>
      </c>
      <c r="T41" s="7"/>
      <c r="U41" s="23">
        <f t="shared" si="0"/>
        <v>16471.987930027535</v>
      </c>
      <c r="V41" s="7"/>
      <c r="W41" s="23">
        <f t="shared" si="1"/>
        <v>5475.3962301792235</v>
      </c>
      <c r="X41" s="7"/>
      <c r="Y41" s="315">
        <f t="shared" si="6"/>
        <v>29.245330103174201</v>
      </c>
      <c r="Z41" s="271"/>
      <c r="AB41" s="168">
        <f>+IF(AB40&gt;$G$13+$G$14,XX,AB40+1)</f>
        <v>2021</v>
      </c>
      <c r="AC41" s="138"/>
      <c r="AD41" s="173">
        <f t="shared" si="2"/>
        <v>187222.92451008921</v>
      </c>
      <c r="AE41" s="4"/>
      <c r="AF41" s="176">
        <f t="shared" si="14"/>
        <v>73.633556467483942</v>
      </c>
      <c r="AG41" s="4"/>
      <c r="AH41" s="176">
        <f t="shared" si="15"/>
        <v>10.381144724452248</v>
      </c>
      <c r="AI41" s="4"/>
      <c r="AJ41" s="176">
        <f t="shared" si="16"/>
        <v>2.9181973266865824</v>
      </c>
      <c r="AK41" s="4"/>
      <c r="AL41" s="175">
        <f t="shared" si="7"/>
        <v>4237.342728422057</v>
      </c>
      <c r="AM41" s="4"/>
      <c r="AN41" s="176">
        <f>INDEX('(2.2)_Forward_Price_Curve'!$G:$G,MATCH($AB41,'(2.2)_Forward_Price_Curve'!$C:$C,0),1)</f>
        <v>10.286225465001079</v>
      </c>
      <c r="AO41" s="4"/>
      <c r="AP41" s="176">
        <f t="shared" si="8"/>
        <v>74.739933640504091</v>
      </c>
      <c r="AQ41" s="4"/>
      <c r="AR41" s="176">
        <f t="shared" si="17"/>
        <v>3.0206907256724231</v>
      </c>
      <c r="AS41" s="176"/>
      <c r="AT41" s="175">
        <f t="shared" si="3"/>
        <v>1913.4164244614649</v>
      </c>
      <c r="AU41" s="4"/>
      <c r="AV41" s="175">
        <f t="shared" si="4"/>
        <v>14558.571505566069</v>
      </c>
      <c r="AW41" s="318"/>
      <c r="AX41" s="177">
        <f t="shared" si="9"/>
        <v>16471.987930027535</v>
      </c>
      <c r="AZ41" s="168">
        <f>+IF(AZ40&gt;$G$13+$G$14,XX,AZ40+1)</f>
        <v>2021</v>
      </c>
      <c r="BA41" s="138"/>
      <c r="BB41" s="176">
        <f t="shared" si="18"/>
        <v>49.616016338151525</v>
      </c>
      <c r="BC41" s="4"/>
      <c r="BD41" s="176">
        <f t="shared" si="19"/>
        <v>7.5437777034436131</v>
      </c>
      <c r="BE41" s="4"/>
      <c r="BF41" s="175">
        <f t="shared" si="10"/>
        <v>2323.9263039605921</v>
      </c>
      <c r="BG41" s="4"/>
      <c r="BH41" s="179"/>
    </row>
    <row r="42" spans="2:60" ht="12">
      <c r="B42" s="3"/>
      <c r="C42" s="7">
        <f>+IF(C41&gt;$G$13+$G$14,XX,C41+1)</f>
        <v>2022</v>
      </c>
      <c r="D42" s="7"/>
      <c r="E42" s="311">
        <v>1.9E-2</v>
      </c>
      <c r="F42" s="7"/>
      <c r="G42" s="23">
        <v>187222.92451008921</v>
      </c>
      <c r="H42" s="7"/>
      <c r="I42" s="30">
        <f t="shared" si="11"/>
        <v>233.25821403313091</v>
      </c>
      <c r="J42" s="7"/>
      <c r="K42" s="30">
        <f t="shared" si="12"/>
        <v>25.301114851676726</v>
      </c>
      <c r="L42" s="7"/>
      <c r="M42" s="30">
        <f t="shared" si="13"/>
        <v>0</v>
      </c>
      <c r="N42" s="7"/>
      <c r="O42" s="314">
        <v>6.6910028326195539</v>
      </c>
      <c r="P42" s="7"/>
      <c r="Q42" s="30">
        <v>0</v>
      </c>
      <c r="R42" s="7"/>
      <c r="S42" s="23">
        <f t="shared" si="5"/>
        <v>22364.384459250687</v>
      </c>
      <c r="T42" s="7"/>
      <c r="U42" s="23">
        <f t="shared" si="0"/>
        <v>16785.264733154429</v>
      </c>
      <c r="V42" s="7"/>
      <c r="W42" s="23">
        <f t="shared" si="1"/>
        <v>5579.1197260962581</v>
      </c>
      <c r="X42" s="7"/>
      <c r="Y42" s="315">
        <f t="shared" si="6"/>
        <v>29.799340762864787</v>
      </c>
      <c r="Z42" s="271"/>
      <c r="AB42" s="168">
        <f>+IF(AB41&gt;$G$13+$G$14,XX,AB41+1)</f>
        <v>2022</v>
      </c>
      <c r="AC42" s="138"/>
      <c r="AD42" s="173">
        <f t="shared" si="2"/>
        <v>187222.92451008921</v>
      </c>
      <c r="AE42" s="4"/>
      <c r="AF42" s="176">
        <f t="shared" si="14"/>
        <v>75.032594040366135</v>
      </c>
      <c r="AG42" s="4"/>
      <c r="AH42" s="176">
        <f t="shared" si="15"/>
        <v>10.57838647421684</v>
      </c>
      <c r="AI42" s="4"/>
      <c r="AJ42" s="176">
        <f t="shared" si="16"/>
        <v>2.973643075893627</v>
      </c>
      <c r="AK42" s="4"/>
      <c r="AL42" s="175">
        <f t="shared" si="7"/>
        <v>4317.8522402620765</v>
      </c>
      <c r="AM42" s="4"/>
      <c r="AN42" s="176">
        <f>INDEX('(2.2)_Forward_Price_Curve'!$G:$G,MATCH($AB42,'(2.2)_Forward_Price_Curve'!$C:$C,0),1)</f>
        <v>10.481890917487915</v>
      </c>
      <c r="AO42" s="4"/>
      <c r="AP42" s="176">
        <f t="shared" si="8"/>
        <v>76.16164299194341</v>
      </c>
      <c r="AQ42" s="4"/>
      <c r="AR42" s="176">
        <f t="shared" si="17"/>
        <v>3.078083849460199</v>
      </c>
      <c r="AS42" s="176"/>
      <c r="AT42" s="175">
        <f t="shared" si="3"/>
        <v>1949.7713365262334</v>
      </c>
      <c r="AU42" s="4"/>
      <c r="AV42" s="175">
        <f t="shared" si="4"/>
        <v>14835.493396628197</v>
      </c>
      <c r="AW42" s="318"/>
      <c r="AX42" s="177">
        <f t="shared" si="9"/>
        <v>16785.264733154429</v>
      </c>
      <c r="AZ42" s="168">
        <f>+IF(AZ41&gt;$G$13+$G$14,XX,AZ41+1)</f>
        <v>2022</v>
      </c>
      <c r="BA42" s="138"/>
      <c r="BB42" s="176">
        <f t="shared" si="18"/>
        <v>50.558720648576397</v>
      </c>
      <c r="BC42" s="4"/>
      <c r="BD42" s="176">
        <f t="shared" si="19"/>
        <v>7.6871094798090409</v>
      </c>
      <c r="BE42" s="4"/>
      <c r="BF42" s="175">
        <f t="shared" si="10"/>
        <v>2368.0809037358431</v>
      </c>
      <c r="BG42" s="4"/>
      <c r="BH42" s="179"/>
    </row>
    <row r="43" spans="2:60" ht="12">
      <c r="B43" s="3"/>
      <c r="C43" s="7">
        <f>+IF(C42&gt;$G$13+$G$14,XX,C42+1)</f>
        <v>2023</v>
      </c>
      <c r="D43" s="7"/>
      <c r="E43" s="311">
        <v>1.9E-2</v>
      </c>
      <c r="F43" s="7"/>
      <c r="G43" s="23">
        <v>187222.92451008921</v>
      </c>
      <c r="H43" s="7"/>
      <c r="I43" s="30">
        <f t="shared" si="11"/>
        <v>237.69012009976038</v>
      </c>
      <c r="J43" s="7"/>
      <c r="K43" s="30">
        <f t="shared" si="12"/>
        <v>25.781836033858582</v>
      </c>
      <c r="L43" s="7"/>
      <c r="M43" s="30">
        <f t="shared" si="13"/>
        <v>0</v>
      </c>
      <c r="N43" s="7"/>
      <c r="O43" s="314">
        <v>6.8181318864393248</v>
      </c>
      <c r="P43" s="7"/>
      <c r="Q43" s="30">
        <v>0</v>
      </c>
      <c r="R43" s="7"/>
      <c r="S43" s="23">
        <f t="shared" si="5"/>
        <v>22789.307763976445</v>
      </c>
      <c r="T43" s="7"/>
      <c r="U43" s="23">
        <f t="shared" si="0"/>
        <v>17102.134432862003</v>
      </c>
      <c r="V43" s="7"/>
      <c r="W43" s="23">
        <f t="shared" si="1"/>
        <v>5687.1733311144417</v>
      </c>
      <c r="X43" s="7"/>
      <c r="Y43" s="315">
        <f t="shared" si="6"/>
        <v>30.376479514975035</v>
      </c>
      <c r="Z43" s="271"/>
      <c r="AB43" s="168">
        <f>+IF(AB42&gt;$G$13+$G$14,XX,AB42+1)</f>
        <v>2023</v>
      </c>
      <c r="AC43" s="138"/>
      <c r="AD43" s="173">
        <f t="shared" si="2"/>
        <v>187222.92451008921</v>
      </c>
      <c r="AE43" s="4"/>
      <c r="AF43" s="176">
        <f t="shared" si="14"/>
        <v>76.45821332713308</v>
      </c>
      <c r="AG43" s="4"/>
      <c r="AH43" s="176">
        <f t="shared" si="15"/>
        <v>10.77937581722696</v>
      </c>
      <c r="AI43" s="4"/>
      <c r="AJ43" s="176">
        <f t="shared" si="16"/>
        <v>3.0301422943356058</v>
      </c>
      <c r="AK43" s="4"/>
      <c r="AL43" s="175">
        <f t="shared" si="7"/>
        <v>4399.8914328270557</v>
      </c>
      <c r="AM43" s="4"/>
      <c r="AN43" s="176">
        <f>INDEX('(2.2)_Forward_Price_Curve'!$G:$G,MATCH($AB43,'(2.2)_Forward_Price_Curve'!$C:$C,0),1)</f>
        <v>10.679539654517416</v>
      </c>
      <c r="AO43" s="4"/>
      <c r="AP43" s="176">
        <f t="shared" si="8"/>
        <v>77.597762931174486</v>
      </c>
      <c r="AQ43" s="4"/>
      <c r="AR43" s="176">
        <f t="shared" si="17"/>
        <v>3.1365674425999424</v>
      </c>
      <c r="AS43" s="176"/>
      <c r="AT43" s="175">
        <f t="shared" si="3"/>
        <v>1986.8169919202314</v>
      </c>
      <c r="AU43" s="4"/>
      <c r="AV43" s="175">
        <f t="shared" si="4"/>
        <v>15115.317440941772</v>
      </c>
      <c r="AW43" s="318"/>
      <c r="AX43" s="177">
        <f t="shared" si="9"/>
        <v>17102.134432862003</v>
      </c>
      <c r="AZ43" s="168">
        <f>+IF(AZ42&gt;$G$13+$G$14,XX,AZ42+1)</f>
        <v>2023</v>
      </c>
      <c r="BA43" s="138"/>
      <c r="BB43" s="176">
        <f t="shared" si="18"/>
        <v>51.519336340899343</v>
      </c>
      <c r="BC43" s="4"/>
      <c r="BD43" s="176">
        <f t="shared" si="19"/>
        <v>7.8331645599254118</v>
      </c>
      <c r="BE43" s="4"/>
      <c r="BF43" s="175">
        <f t="shared" si="10"/>
        <v>2413.0744409068243</v>
      </c>
      <c r="BG43" s="4"/>
      <c r="BH43" s="179"/>
    </row>
    <row r="44" spans="2:60" ht="12">
      <c r="B44" s="3"/>
      <c r="C44" s="7">
        <f>+IF(C43&gt;$G$13+$G$14,XX,C43+1)</f>
        <v>2024</v>
      </c>
      <c r="D44" s="7"/>
      <c r="E44" s="311">
        <v>1.9E-2</v>
      </c>
      <c r="F44" s="7"/>
      <c r="G44" s="23">
        <v>187887.18509575512</v>
      </c>
      <c r="H44" s="7"/>
      <c r="I44" s="30">
        <f t="shared" si="11"/>
        <v>242.20623238165581</v>
      </c>
      <c r="J44" s="7"/>
      <c r="K44" s="30">
        <f t="shared" si="12"/>
        <v>26.271690918501893</v>
      </c>
      <c r="L44" s="7"/>
      <c r="M44" s="30">
        <f t="shared" si="13"/>
        <v>0</v>
      </c>
      <c r="N44" s="7"/>
      <c r="O44" s="314">
        <v>6.9476763922816716</v>
      </c>
      <c r="P44" s="7"/>
      <c r="Q44" s="30">
        <v>0</v>
      </c>
      <c r="R44" s="7"/>
      <c r="S44" s="23">
        <f t="shared" si="5"/>
        <v>23244.370927877306</v>
      </c>
      <c r="T44" s="7"/>
      <c r="U44" s="23">
        <f t="shared" si="0"/>
        <v>17485.327706698299</v>
      </c>
      <c r="V44" s="7"/>
      <c r="W44" s="23">
        <f t="shared" si="1"/>
        <v>5759.0432211790067</v>
      </c>
      <c r="X44" s="7"/>
      <c r="Y44" s="315">
        <f t="shared" si="6"/>
        <v>30.651602014495872</v>
      </c>
      <c r="Z44" s="271"/>
      <c r="AB44" s="168">
        <f>+IF(AB43&gt;$G$13+$G$14,XX,AB43+1)</f>
        <v>2024</v>
      </c>
      <c r="AC44" s="138"/>
      <c r="AD44" s="173">
        <f t="shared" si="2"/>
        <v>187887.18509575512</v>
      </c>
      <c r="AE44" s="4"/>
      <c r="AF44" s="176">
        <f t="shared" si="14"/>
        <v>77.910919380348602</v>
      </c>
      <c r="AG44" s="4"/>
      <c r="AH44" s="176">
        <f t="shared" si="15"/>
        <v>10.98418395775427</v>
      </c>
      <c r="AI44" s="4"/>
      <c r="AJ44" s="176">
        <f t="shared" si="16"/>
        <v>3.0877149979279821</v>
      </c>
      <c r="AK44" s="4"/>
      <c r="AL44" s="175">
        <f t="shared" si="7"/>
        <v>4485.5404174236619</v>
      </c>
      <c r="AM44" s="4"/>
      <c r="AN44" s="176">
        <f>INDEX('(2.2)_Forward_Price_Curve'!$G:$G,MATCH($AB44,'(2.2)_Forward_Price_Curve'!$C:$C,0),1)</f>
        <v>10.883589278444866</v>
      </c>
      <c r="AO44" s="4"/>
      <c r="AP44" s="176">
        <f t="shared" si="8"/>
        <v>79.080391851141073</v>
      </c>
      <c r="AQ44" s="4"/>
      <c r="AR44" s="176">
        <f t="shared" si="17"/>
        <v>3.196162224009341</v>
      </c>
      <c r="AS44" s="176"/>
      <c r="AT44" s="175">
        <f t="shared" si="3"/>
        <v>2026.6175621396083</v>
      </c>
      <c r="AU44" s="4"/>
      <c r="AV44" s="175">
        <f t="shared" si="4"/>
        <v>15458.71014455869</v>
      </c>
      <c r="AW44" s="318"/>
      <c r="AX44" s="177">
        <f t="shared" si="9"/>
        <v>17485.327706698299</v>
      </c>
      <c r="AZ44" s="168">
        <f>+IF(AZ43&gt;$G$13+$G$14,XX,AZ43+1)</f>
        <v>2024</v>
      </c>
      <c r="BA44" s="138"/>
      <c r="BB44" s="176">
        <f t="shared" si="18"/>
        <v>52.498203731376428</v>
      </c>
      <c r="BC44" s="4"/>
      <c r="BD44" s="176">
        <f t="shared" si="19"/>
        <v>7.9819946865639944</v>
      </c>
      <c r="BE44" s="4"/>
      <c r="BF44" s="175">
        <f t="shared" si="10"/>
        <v>2458.9228552840536</v>
      </c>
      <c r="BG44" s="4"/>
      <c r="BH44" s="179"/>
    </row>
    <row r="45" spans="2:60" ht="12">
      <c r="B45" s="3"/>
      <c r="C45" s="7">
        <f>+IF(C44&gt;$G$13+$G$14,XX,C44+1)</f>
        <v>2025</v>
      </c>
      <c r="D45" s="7"/>
      <c r="E45" s="311">
        <v>1.9E-2</v>
      </c>
      <c r="F45" s="7"/>
      <c r="G45" s="23">
        <v>187222.92451008921</v>
      </c>
      <c r="H45" s="7"/>
      <c r="I45" s="30">
        <f t="shared" si="11"/>
        <v>246.80815079690726</v>
      </c>
      <c r="J45" s="7"/>
      <c r="K45" s="30">
        <f t="shared" si="12"/>
        <v>26.770853045953427</v>
      </c>
      <c r="L45" s="7"/>
      <c r="M45" s="30">
        <f t="shared" si="13"/>
        <v>0</v>
      </c>
      <c r="N45" s="7"/>
      <c r="O45" s="314">
        <v>7.0796822437350224</v>
      </c>
      <c r="P45" s="7"/>
      <c r="Q45" s="30">
        <v>0</v>
      </c>
      <c r="R45" s="7"/>
      <c r="S45" s="23">
        <f t="shared" si="5"/>
        <v>23663.528399110339</v>
      </c>
      <c r="T45" s="7"/>
      <c r="U45" s="23">
        <f t="shared" si="0"/>
        <v>17759.425488631226</v>
      </c>
      <c r="V45" s="7"/>
      <c r="W45" s="23">
        <f t="shared" si="1"/>
        <v>5904.1029104791123</v>
      </c>
      <c r="X45" s="7"/>
      <c r="Y45" s="315">
        <f t="shared" si="6"/>
        <v>31.535149479843465</v>
      </c>
      <c r="Z45" s="271"/>
      <c r="AB45" s="168">
        <f>+IF(AB44&gt;$G$13+$G$14,XX,AB44+1)</f>
        <v>2025</v>
      </c>
      <c r="AC45" s="138"/>
      <c r="AD45" s="173">
        <f t="shared" si="2"/>
        <v>187222.92451008921</v>
      </c>
      <c r="AE45" s="4"/>
      <c r="AF45" s="176">
        <f t="shared" si="14"/>
        <v>79.391226848575215</v>
      </c>
      <c r="AG45" s="4"/>
      <c r="AH45" s="176">
        <f t="shared" si="15"/>
        <v>11.1928834529516</v>
      </c>
      <c r="AI45" s="4"/>
      <c r="AJ45" s="176">
        <f t="shared" si="16"/>
        <v>3.1463815828886132</v>
      </c>
      <c r="AK45" s="4"/>
      <c r="AL45" s="175">
        <f t="shared" si="7"/>
        <v>4568.6756680817334</v>
      </c>
      <c r="AM45" s="4"/>
      <c r="AN45" s="176">
        <f>INDEX('(2.2)_Forward_Price_Curve'!$G:$G,MATCH($AB45,'(2.2)_Forward_Price_Curve'!$C:$C,0),1)</f>
        <v>11.090126110825569</v>
      </c>
      <c r="AO45" s="4"/>
      <c r="AP45" s="176">
        <f t="shared" si="8"/>
        <v>80.581092880782762</v>
      </c>
      <c r="AQ45" s="4"/>
      <c r="AR45" s="176">
        <f t="shared" si="17"/>
        <v>3.2568893062655184</v>
      </c>
      <c r="AS45" s="176"/>
      <c r="AT45" s="175">
        <f t="shared" si="3"/>
        <v>2063.0332785472829</v>
      </c>
      <c r="AU45" s="4"/>
      <c r="AV45" s="175">
        <f t="shared" si="4"/>
        <v>15696.392210083945</v>
      </c>
      <c r="AW45" s="318"/>
      <c r="AX45" s="177">
        <f t="shared" si="9"/>
        <v>17759.425488631226</v>
      </c>
      <c r="AZ45" s="168">
        <f>+IF(AZ44&gt;$G$13+$G$14,XX,AZ44+1)</f>
        <v>2025</v>
      </c>
      <c r="BA45" s="138"/>
      <c r="BB45" s="176">
        <f t="shared" si="18"/>
        <v>53.495669602272578</v>
      </c>
      <c r="BC45" s="4"/>
      <c r="BD45" s="176">
        <f t="shared" si="19"/>
        <v>8.1336525856087096</v>
      </c>
      <c r="BE45" s="4"/>
      <c r="BF45" s="175">
        <f t="shared" si="10"/>
        <v>2505.6423895344506</v>
      </c>
      <c r="BG45" s="4"/>
      <c r="BH45" s="179"/>
    </row>
    <row r="46" spans="2:60" ht="12">
      <c r="B46" s="3"/>
      <c r="C46" s="7">
        <f>+IF(C45&gt;$G$13+$G$14,XX,C45+1)</f>
        <v>2026</v>
      </c>
      <c r="D46" s="7"/>
      <c r="E46" s="311">
        <v>1.9E-2</v>
      </c>
      <c r="F46" s="7"/>
      <c r="G46" s="23">
        <v>187222.92451008921</v>
      </c>
      <c r="H46" s="7"/>
      <c r="I46" s="30">
        <f t="shared" si="11"/>
        <v>251.49750566204847</v>
      </c>
      <c r="J46" s="7"/>
      <c r="K46" s="30">
        <f t="shared" si="12"/>
        <v>27.27949925382654</v>
      </c>
      <c r="L46" s="7"/>
      <c r="M46" s="30">
        <f t="shared" si="13"/>
        <v>0</v>
      </c>
      <c r="N46" s="7"/>
      <c r="O46" s="314">
        <v>7.2141962063659868</v>
      </c>
      <c r="P46" s="7"/>
      <c r="Q46" s="30">
        <v>0</v>
      </c>
      <c r="R46" s="7"/>
      <c r="S46" s="23">
        <f t="shared" si="5"/>
        <v>24113.135438693433</v>
      </c>
      <c r="T46" s="7"/>
      <c r="U46" s="23">
        <f t="shared" si="0"/>
        <v>18094.511174852796</v>
      </c>
      <c r="V46" s="7"/>
      <c r="W46" s="23">
        <f t="shared" si="1"/>
        <v>6018.6242638406366</v>
      </c>
      <c r="X46" s="7"/>
      <c r="Y46" s="315">
        <f t="shared" si="6"/>
        <v>32.146833939218268</v>
      </c>
      <c r="Z46" s="271"/>
      <c r="AB46" s="168">
        <f>+IF(AB45&gt;$G$13+$G$14,XX,AB45+1)</f>
        <v>2026</v>
      </c>
      <c r="AC46" s="138"/>
      <c r="AD46" s="173">
        <f t="shared" si="2"/>
        <v>187222.92451008921</v>
      </c>
      <c r="AE46" s="4"/>
      <c r="AF46" s="176">
        <f t="shared" si="14"/>
        <v>80.89966015869814</v>
      </c>
      <c r="AG46" s="4"/>
      <c r="AH46" s="176">
        <f t="shared" si="15"/>
        <v>11.40554823855768</v>
      </c>
      <c r="AI46" s="4"/>
      <c r="AJ46" s="176">
        <f t="shared" si="16"/>
        <v>3.2061628329634968</v>
      </c>
      <c r="AK46" s="4"/>
      <c r="AL46" s="175">
        <f t="shared" si="7"/>
        <v>4655.4805057752856</v>
      </c>
      <c r="AM46" s="4"/>
      <c r="AN46" s="176">
        <f>INDEX('(2.2)_Forward_Price_Curve'!$G:$G,MATCH($AB46,'(2.2)_Forward_Price_Curve'!$C:$C,0),1)</f>
        <v>11.299115883408938</v>
      </c>
      <c r="AO46" s="4"/>
      <c r="AP46" s="176">
        <f t="shared" si="8"/>
        <v>82.099617026259821</v>
      </c>
      <c r="AQ46" s="4"/>
      <c r="AR46" s="176">
        <f t="shared" si="17"/>
        <v>3.3187702030845632</v>
      </c>
      <c r="AS46" s="176"/>
      <c r="AT46" s="175">
        <f t="shared" si="3"/>
        <v>2102.2309108396807</v>
      </c>
      <c r="AU46" s="4"/>
      <c r="AV46" s="175">
        <f t="shared" si="4"/>
        <v>15992.280264013114</v>
      </c>
      <c r="AW46" s="318"/>
      <c r="AX46" s="177">
        <f t="shared" si="9"/>
        <v>18094.511174852796</v>
      </c>
      <c r="AZ46" s="168">
        <f>+IF(AZ45&gt;$G$13+$G$14,XX,AZ45+1)</f>
        <v>2026</v>
      </c>
      <c r="BA46" s="138"/>
      <c r="BB46" s="176">
        <f t="shared" si="18"/>
        <v>54.51208732471575</v>
      </c>
      <c r="BC46" s="4"/>
      <c r="BD46" s="176">
        <f t="shared" si="19"/>
        <v>8.2881919847352741</v>
      </c>
      <c r="BE46" s="4"/>
      <c r="BF46" s="175">
        <f t="shared" si="10"/>
        <v>2553.2495949356048</v>
      </c>
      <c r="BG46" s="4"/>
      <c r="BH46" s="179"/>
    </row>
    <row r="47" spans="2:60" ht="12">
      <c r="B47" s="3"/>
      <c r="C47" s="7">
        <f>+IF(C46&gt;$G$13+$G$14,XX,C46+1)</f>
        <v>2027</v>
      </c>
      <c r="D47" s="7"/>
      <c r="E47" s="311">
        <v>1.9E-2</v>
      </c>
      <c r="F47" s="7"/>
      <c r="G47" s="23">
        <v>187222.92451008921</v>
      </c>
      <c r="H47" s="7"/>
      <c r="I47" s="30">
        <f t="shared" si="11"/>
        <v>256.27595826962738</v>
      </c>
      <c r="J47" s="7"/>
      <c r="K47" s="30">
        <f t="shared" si="12"/>
        <v>27.797809739649242</v>
      </c>
      <c r="L47" s="7"/>
      <c r="M47" s="30">
        <f t="shared" si="13"/>
        <v>0</v>
      </c>
      <c r="N47" s="7"/>
      <c r="O47" s="314">
        <v>7.35126593428694</v>
      </c>
      <c r="P47" s="7"/>
      <c r="Q47" s="30">
        <v>0</v>
      </c>
      <c r="R47" s="7"/>
      <c r="S47" s="23">
        <f t="shared" si="5"/>
        <v>24571.285012028613</v>
      </c>
      <c r="T47" s="7"/>
      <c r="U47" s="23">
        <f t="shared" si="0"/>
        <v>18436.705057020976</v>
      </c>
      <c r="V47" s="7"/>
      <c r="W47" s="23">
        <f t="shared" si="1"/>
        <v>6134.5799550076372</v>
      </c>
      <c r="X47" s="7"/>
      <c r="Y47" s="315">
        <f t="shared" si="6"/>
        <v>32.766179521338756</v>
      </c>
      <c r="Z47" s="271"/>
      <c r="AB47" s="168">
        <f>+IF(AB46&gt;$G$13+$G$14,XX,AB46+1)</f>
        <v>2027</v>
      </c>
      <c r="AC47" s="138"/>
      <c r="AD47" s="173">
        <f t="shared" si="2"/>
        <v>187222.92451008921</v>
      </c>
      <c r="AE47" s="4"/>
      <c r="AF47" s="176">
        <f t="shared" si="14"/>
        <v>82.4367537017134</v>
      </c>
      <c r="AG47" s="4"/>
      <c r="AH47" s="176">
        <f t="shared" si="15"/>
        <v>11.622253655090274</v>
      </c>
      <c r="AI47" s="4"/>
      <c r="AJ47" s="176">
        <f t="shared" si="16"/>
        <v>3.267079926789803</v>
      </c>
      <c r="AK47" s="4"/>
      <c r="AL47" s="175">
        <f t="shared" si="7"/>
        <v>4743.934635385016</v>
      </c>
      <c r="AM47" s="4"/>
      <c r="AN47" s="176">
        <f>INDEX('(2.2)_Forward_Price_Curve'!$G:$G,MATCH($AB47,'(2.2)_Forward_Price_Curve'!$C:$C,0),1)</f>
        <v>11.51262158558478</v>
      </c>
      <c r="AO47" s="4"/>
      <c r="AP47" s="176">
        <f t="shared" si="8"/>
        <v>83.650954012483467</v>
      </c>
      <c r="AQ47" s="4"/>
      <c r="AR47" s="176">
        <f t="shared" si="17"/>
        <v>3.3818268369431697</v>
      </c>
      <c r="AS47" s="176"/>
      <c r="AT47" s="175">
        <f t="shared" si="3"/>
        <v>2142.1732981456348</v>
      </c>
      <c r="AU47" s="4"/>
      <c r="AV47" s="175">
        <f t="shared" si="4"/>
        <v>16294.531758875342</v>
      </c>
      <c r="AW47" s="318"/>
      <c r="AX47" s="177">
        <f t="shared" si="9"/>
        <v>18436.705057020976</v>
      </c>
      <c r="AZ47" s="168">
        <f>+IF(AZ46&gt;$G$13+$G$14,XX,AZ46+1)</f>
        <v>2027</v>
      </c>
      <c r="BA47" s="138"/>
      <c r="BB47" s="176">
        <f t="shared" si="18"/>
        <v>55.547816983885347</v>
      </c>
      <c r="BC47" s="4"/>
      <c r="BD47" s="176">
        <f t="shared" si="19"/>
        <v>8.4456676324452431</v>
      </c>
      <c r="BE47" s="4"/>
      <c r="BF47" s="175">
        <f t="shared" si="10"/>
        <v>2601.7613372393812</v>
      </c>
      <c r="BG47" s="4"/>
      <c r="BH47" s="179"/>
    </row>
    <row r="48" spans="2:60" ht="12">
      <c r="B48" s="3"/>
      <c r="C48" s="7">
        <f>+IF(C47&gt;$G$13+$G$14,XX,C47+1)</f>
        <v>2028</v>
      </c>
      <c r="D48" s="7"/>
      <c r="E48" s="311">
        <v>1.9E-2</v>
      </c>
      <c r="F48" s="7"/>
      <c r="G48" s="23">
        <v>187887.18509575512</v>
      </c>
      <c r="H48" s="7"/>
      <c r="I48" s="30">
        <f t="shared" si="11"/>
        <v>261.14520147675029</v>
      </c>
      <c r="J48" s="7"/>
      <c r="K48" s="30">
        <f t="shared" si="12"/>
        <v>28.325968124702577</v>
      </c>
      <c r="L48" s="7"/>
      <c r="M48" s="30">
        <f t="shared" si="13"/>
        <v>0</v>
      </c>
      <c r="N48" s="7"/>
      <c r="O48" s="314">
        <v>7.4909399870383915</v>
      </c>
      <c r="P48" s="7"/>
      <c r="Q48" s="30">
        <v>0</v>
      </c>
      <c r="R48" s="7"/>
      <c r="S48" s="23">
        <f t="shared" si="5"/>
        <v>25061.931187616203</v>
      </c>
      <c r="T48" s="7"/>
      <c r="U48" s="23">
        <f t="shared" si="0"/>
        <v>18850.683718718268</v>
      </c>
      <c r="V48" s="7"/>
      <c r="W48" s="23">
        <f t="shared" si="1"/>
        <v>6211.2474688979346</v>
      </c>
      <c r="X48" s="7"/>
      <c r="Y48" s="315">
        <f t="shared" si="6"/>
        <v>33.058388020089957</v>
      </c>
      <c r="Z48" s="271"/>
      <c r="AB48" s="168">
        <f>+IF(AB47&gt;$G$13+$G$14,XX,AB47+1)</f>
        <v>2028</v>
      </c>
      <c r="AC48" s="138"/>
      <c r="AD48" s="173">
        <f t="shared" si="2"/>
        <v>187887.18509575512</v>
      </c>
      <c r="AE48" s="4"/>
      <c r="AF48" s="176">
        <f t="shared" si="14"/>
        <v>84.003052022045949</v>
      </c>
      <c r="AG48" s="4"/>
      <c r="AH48" s="176">
        <f t="shared" si="15"/>
        <v>11.843076474536989</v>
      </c>
      <c r="AI48" s="4"/>
      <c r="AJ48" s="176">
        <f t="shared" si="16"/>
        <v>3.3291544453988089</v>
      </c>
      <c r="AK48" s="4"/>
      <c r="AL48" s="175">
        <f t="shared" si="7"/>
        <v>4836.2808195390044</v>
      </c>
      <c r="AM48" s="4"/>
      <c r="AN48" s="176">
        <f>INDEX('(2.2)_Forward_Price_Curve'!$G:$G,MATCH($AB48,'(2.2)_Forward_Price_Curve'!$C:$C,0),1)</f>
        <v>11.7332358254813</v>
      </c>
      <c r="AO48" s="4"/>
      <c r="AP48" s="176">
        <f t="shared" si="8"/>
        <v>85.253941785415222</v>
      </c>
      <c r="AQ48" s="4"/>
      <c r="AR48" s="176">
        <f t="shared" si="17"/>
        <v>3.4460815468450896</v>
      </c>
      <c r="AS48" s="176"/>
      <c r="AT48" s="175">
        <f t="shared" si="3"/>
        <v>2185.0860168920753</v>
      </c>
      <c r="AU48" s="4"/>
      <c r="AV48" s="175">
        <f t="shared" si="4"/>
        <v>16665.597701826191</v>
      </c>
      <c r="AW48" s="318"/>
      <c r="AX48" s="177">
        <f t="shared" si="9"/>
        <v>18850.683718718268</v>
      </c>
      <c r="AZ48" s="168">
        <f>+IF(AZ47&gt;$G$13+$G$14,XX,AZ47+1)</f>
        <v>2028</v>
      </c>
      <c r="BA48" s="138"/>
      <c r="BB48" s="176">
        <f t="shared" si="18"/>
        <v>56.603225506579165</v>
      </c>
      <c r="BC48" s="4"/>
      <c r="BD48" s="176">
        <f t="shared" si="19"/>
        <v>8.6061353174617015</v>
      </c>
      <c r="BE48" s="4"/>
      <c r="BF48" s="175">
        <f t="shared" si="10"/>
        <v>2651.194802646929</v>
      </c>
      <c r="BG48" s="4"/>
      <c r="BH48" s="179"/>
    </row>
    <row r="49" spans="2:60" ht="12">
      <c r="B49" s="3"/>
      <c r="C49" s="7">
        <f>+IF(C48&gt;$G$13+$G$14,XX,C48+1)</f>
        <v>2029</v>
      </c>
      <c r="D49" s="7"/>
      <c r="E49" s="311">
        <v>1.9E-2</v>
      </c>
      <c r="F49" s="7"/>
      <c r="G49" s="23">
        <v>187222.92451008921</v>
      </c>
      <c r="H49" s="7"/>
      <c r="I49" s="30">
        <f t="shared" si="11"/>
        <v>266.10696030480852</v>
      </c>
      <c r="J49" s="7"/>
      <c r="K49" s="30">
        <f t="shared" si="12"/>
        <v>28.864161519071924</v>
      </c>
      <c r="L49" s="7"/>
      <c r="M49" s="30">
        <f t="shared" si="13"/>
        <v>0</v>
      </c>
      <c r="N49" s="7"/>
      <c r="O49" s="314">
        <v>7.63326784679212</v>
      </c>
      <c r="P49" s="7"/>
      <c r="Q49" s="30">
        <v>0</v>
      </c>
      <c r="R49" s="7"/>
      <c r="S49" s="23">
        <f t="shared" si="5"/>
        <v>25513.864076375037</v>
      </c>
      <c r="T49" s="7"/>
      <c r="U49" s="23">
        <f t="shared" si="0"/>
        <v>19142.161755989859</v>
      </c>
      <c r="V49" s="7"/>
      <c r="W49" s="23">
        <f t="shared" si="1"/>
        <v>6371.7023203851786</v>
      </c>
      <c r="X49" s="7"/>
      <c r="Y49" s="315">
        <f t="shared" si="6"/>
        <v>34.032703725028156</v>
      </c>
      <c r="Z49" s="271"/>
      <c r="AB49" s="168">
        <f>+IF(AB48&gt;$G$13+$G$14,XX,AB48+1)</f>
        <v>2029</v>
      </c>
      <c r="AC49" s="138"/>
      <c r="AD49" s="173">
        <f t="shared" si="2"/>
        <v>187222.92451008921</v>
      </c>
      <c r="AE49" s="4"/>
      <c r="AF49" s="176">
        <f t="shared" si="14"/>
        <v>85.599110010464813</v>
      </c>
      <c r="AG49" s="4"/>
      <c r="AH49" s="176">
        <f t="shared" si="15"/>
        <v>12.06809492755319</v>
      </c>
      <c r="AI49" s="4"/>
      <c r="AJ49" s="176">
        <f t="shared" si="16"/>
        <v>3.392408379861386</v>
      </c>
      <c r="AK49" s="4"/>
      <c r="AL49" s="175">
        <f t="shared" si="7"/>
        <v>4925.9167119330195</v>
      </c>
      <c r="AM49" s="4"/>
      <c r="AN49" s="176">
        <f>INDEX('(2.2)_Forward_Price_Curve'!$G:$G,MATCH($AB49,'(2.2)_Forward_Price_Curve'!$C:$C,0),1)</f>
        <v>11.952938687642925</v>
      </c>
      <c r="AO49" s="4"/>
      <c r="AP49" s="176">
        <f t="shared" si="8"/>
        <v>86.850307468284981</v>
      </c>
      <c r="AQ49" s="4"/>
      <c r="AR49" s="176">
        <f t="shared" si="17"/>
        <v>3.5115570962351459</v>
      </c>
      <c r="AS49" s="176"/>
      <c r="AT49" s="175">
        <f t="shared" si="3"/>
        <v>2224.3492080357987</v>
      </c>
      <c r="AU49" s="4"/>
      <c r="AV49" s="175">
        <f t="shared" si="4"/>
        <v>16917.812547954061</v>
      </c>
      <c r="AW49" s="318"/>
      <c r="AX49" s="177">
        <f t="shared" si="9"/>
        <v>19142.161755989859</v>
      </c>
      <c r="AZ49" s="168">
        <f>+IF(AZ48&gt;$G$13+$G$14,XX,AZ48+1)</f>
        <v>2029</v>
      </c>
      <c r="BA49" s="138"/>
      <c r="BB49" s="176">
        <f t="shared" si="18"/>
        <v>57.678686791204164</v>
      </c>
      <c r="BC49" s="4"/>
      <c r="BD49" s="176">
        <f t="shared" si="19"/>
        <v>8.7696518884934722</v>
      </c>
      <c r="BE49" s="4"/>
      <c r="BF49" s="175">
        <f t="shared" si="10"/>
        <v>2701.5675038972208</v>
      </c>
      <c r="BG49" s="4"/>
      <c r="BH49" s="179"/>
    </row>
    <row r="50" spans="2:60" ht="12">
      <c r="B50" s="3"/>
      <c r="C50" s="7">
        <f>+IF(C49&gt;$G$13+$G$14,XX,C49+1)</f>
        <v>2030</v>
      </c>
      <c r="D50" s="7"/>
      <c r="E50" s="311">
        <v>0.02</v>
      </c>
      <c r="F50" s="7"/>
      <c r="G50" s="23">
        <v>187222.92451008921</v>
      </c>
      <c r="H50" s="7"/>
      <c r="I50" s="30">
        <f t="shared" si="11"/>
        <v>271.42909951090468</v>
      </c>
      <c r="J50" s="7"/>
      <c r="K50" s="30">
        <f t="shared" si="12"/>
        <v>29.441444749453364</v>
      </c>
      <c r="L50" s="7"/>
      <c r="M50" s="30">
        <f t="shared" si="13"/>
        <v>0</v>
      </c>
      <c r="N50" s="7"/>
      <c r="O50" s="314">
        <v>7.7859332037279625</v>
      </c>
      <c r="P50" s="7"/>
      <c r="Q50" s="30">
        <v>0</v>
      </c>
      <c r="R50" s="7"/>
      <c r="S50" s="23">
        <f t="shared" si="5"/>
        <v>26024.141357902539</v>
      </c>
      <c r="T50" s="7"/>
      <c r="U50" s="23">
        <f t="shared" si="0"/>
        <v>19526.064699694067</v>
      </c>
      <c r="V50" s="7"/>
      <c r="W50" s="23">
        <f t="shared" si="1"/>
        <v>6498.0766582084725</v>
      </c>
      <c r="X50" s="7"/>
      <c r="Y50" s="315">
        <f t="shared" si="6"/>
        <v>34.707697656214634</v>
      </c>
      <c r="Z50" s="271"/>
      <c r="AB50" s="168">
        <f>+IF(AB49&gt;$G$13+$G$14,XX,AB49+1)</f>
        <v>2030</v>
      </c>
      <c r="AC50" s="138"/>
      <c r="AD50" s="173">
        <f t="shared" si="2"/>
        <v>187222.92451008921</v>
      </c>
      <c r="AE50" s="4"/>
      <c r="AF50" s="176">
        <f t="shared" si="14"/>
        <v>87.311092210674104</v>
      </c>
      <c r="AG50" s="4"/>
      <c r="AH50" s="176">
        <f t="shared" si="15"/>
        <v>12.309456826104254</v>
      </c>
      <c r="AI50" s="4"/>
      <c r="AJ50" s="176">
        <f t="shared" si="16"/>
        <v>3.4602565474586138</v>
      </c>
      <c r="AK50" s="4"/>
      <c r="AL50" s="175">
        <f t="shared" si="7"/>
        <v>5024.4350461716795</v>
      </c>
      <c r="AM50" s="4"/>
      <c r="AN50" s="176">
        <f>INDEX('(2.2)_Forward_Price_Curve'!$G:$G,MATCH($AB50,'(2.2)_Forward_Price_Curve'!$C:$C,0),1)</f>
        <v>12.192776449380618</v>
      </c>
      <c r="AO50" s="4"/>
      <c r="AP50" s="176">
        <f t="shared" si="8"/>
        <v>88.592973760964796</v>
      </c>
      <c r="AQ50" s="4"/>
      <c r="AR50" s="176">
        <f t="shared" si="17"/>
        <v>3.5817882381598487</v>
      </c>
      <c r="AS50" s="176"/>
      <c r="AT50" s="175">
        <f t="shared" si="3"/>
        <v>2268.8361921965147</v>
      </c>
      <c r="AU50" s="4"/>
      <c r="AV50" s="175">
        <f t="shared" si="4"/>
        <v>17257.228507497552</v>
      </c>
      <c r="AW50" s="318"/>
      <c r="AX50" s="177">
        <f t="shared" si="9"/>
        <v>19526.064699694067</v>
      </c>
      <c r="AZ50" s="168">
        <f>+IF(AZ49&gt;$G$13+$G$14,XX,AZ49+1)</f>
        <v>2030</v>
      </c>
      <c r="BA50" s="138"/>
      <c r="BB50" s="176">
        <f t="shared" si="18"/>
        <v>58.832260527028247</v>
      </c>
      <c r="BC50" s="4"/>
      <c r="BD50" s="176">
        <f t="shared" si="19"/>
        <v>8.9450449262633427</v>
      </c>
      <c r="BE50" s="4"/>
      <c r="BF50" s="175">
        <f t="shared" si="10"/>
        <v>2755.5988539751647</v>
      </c>
      <c r="BG50" s="4"/>
      <c r="BH50" s="179"/>
    </row>
    <row r="51" spans="2:60" ht="12">
      <c r="B51" s="3"/>
      <c r="C51" s="7">
        <f>+IF(C50&gt;$G$13+$G$14,XX,C50+1)</f>
        <v>2031</v>
      </c>
      <c r="D51" s="7"/>
      <c r="E51" s="311">
        <v>0.02</v>
      </c>
      <c r="F51" s="7"/>
      <c r="G51" s="23">
        <v>187222.92451008921</v>
      </c>
      <c r="H51" s="7"/>
      <c r="I51" s="30">
        <f t="shared" si="11"/>
        <v>276.85768150112278</v>
      </c>
      <c r="J51" s="7"/>
      <c r="K51" s="30">
        <f t="shared" si="12"/>
        <v>30.030273644442431</v>
      </c>
      <c r="L51" s="7"/>
      <c r="M51" s="30">
        <f t="shared" si="13"/>
        <v>0</v>
      </c>
      <c r="N51" s="7"/>
      <c r="O51" s="314">
        <v>7.9416518678025216</v>
      </c>
      <c r="P51" s="7"/>
      <c r="Q51" s="30">
        <v>0</v>
      </c>
      <c r="R51" s="7"/>
      <c r="S51" s="23">
        <f t="shared" si="5"/>
        <v>26544.624185060591</v>
      </c>
      <c r="T51" s="7"/>
      <c r="U51" s="23">
        <f t="shared" si="0"/>
        <v>19913.451020770171</v>
      </c>
      <c r="V51" s="7"/>
      <c r="W51" s="23">
        <f t="shared" si="1"/>
        <v>6631.1731642904197</v>
      </c>
      <c r="X51" s="7"/>
      <c r="Y51" s="315">
        <f t="shared" si="6"/>
        <v>35.418596208997229</v>
      </c>
      <c r="Z51" s="271"/>
      <c r="AB51" s="168">
        <f>+IF(AB50&gt;$G$13+$G$14,XX,AB50+1)</f>
        <v>2031</v>
      </c>
      <c r="AC51" s="138"/>
      <c r="AD51" s="173">
        <f t="shared" si="2"/>
        <v>187222.92451008921</v>
      </c>
      <c r="AE51" s="4"/>
      <c r="AF51" s="176">
        <f t="shared" si="14"/>
        <v>89.057314054887584</v>
      </c>
      <c r="AG51" s="4"/>
      <c r="AH51" s="176">
        <f t="shared" si="15"/>
        <v>12.55564596262634</v>
      </c>
      <c r="AI51" s="4"/>
      <c r="AJ51" s="176">
        <f t="shared" si="16"/>
        <v>3.5294616784077859</v>
      </c>
      <c r="AK51" s="4"/>
      <c r="AL51" s="175">
        <f t="shared" si="7"/>
        <v>5124.9237470951139</v>
      </c>
      <c r="AM51" s="4"/>
      <c r="AN51" s="176">
        <f>INDEX('(2.2)_Forward_Price_Curve'!$G:$G,MATCH($AB51,'(2.2)_Forward_Price_Curve'!$C:$C,0),1)</f>
        <v>12.434327471004936</v>
      </c>
      <c r="AO51" s="4"/>
      <c r="AP51" s="176">
        <f t="shared" si="8"/>
        <v>90.348088636525773</v>
      </c>
      <c r="AQ51" s="4"/>
      <c r="AR51" s="176">
        <f t="shared" si="17"/>
        <v>3.6534240029230456</v>
      </c>
      <c r="AS51" s="176"/>
      <c r="AT51" s="175">
        <f t="shared" si="3"/>
        <v>2314.2129160404461</v>
      </c>
      <c r="AU51" s="4"/>
      <c r="AV51" s="175">
        <f t="shared" si="4"/>
        <v>17599.238104729724</v>
      </c>
      <c r="AW51" s="318"/>
      <c r="AX51" s="177">
        <f t="shared" si="9"/>
        <v>19913.451020770171</v>
      </c>
      <c r="AZ51" s="168">
        <f>+IF(AZ50&gt;$G$13+$G$14,XX,AZ50+1)</f>
        <v>2031</v>
      </c>
      <c r="BA51" s="138"/>
      <c r="BB51" s="176">
        <f t="shared" si="18"/>
        <v>60.00890573756881</v>
      </c>
      <c r="BC51" s="4"/>
      <c r="BD51" s="176">
        <f t="shared" si="19"/>
        <v>9.1239458247886098</v>
      </c>
      <c r="BE51" s="4"/>
      <c r="BF51" s="175">
        <f t="shared" si="10"/>
        <v>2810.7108310546678</v>
      </c>
      <c r="BG51" s="4"/>
      <c r="BH51" s="179"/>
    </row>
    <row r="52" spans="2:60" ht="12">
      <c r="B52" s="3"/>
      <c r="C52" s="7">
        <f>+IF(C51&gt;$G$13+$G$14,XX,C51+1)</f>
        <v>2032</v>
      </c>
      <c r="D52" s="7"/>
      <c r="E52" s="311">
        <v>2.1000000000000001E-2</v>
      </c>
      <c r="F52" s="7"/>
      <c r="G52" s="23">
        <v>187887.18509575512</v>
      </c>
      <c r="H52" s="7"/>
      <c r="I52" s="30">
        <f t="shared" si="11"/>
        <v>282.67169281264631</v>
      </c>
      <c r="J52" s="7"/>
      <c r="K52" s="30">
        <f t="shared" si="12"/>
        <v>30.660909390975718</v>
      </c>
      <c r="L52" s="7"/>
      <c r="M52" s="30">
        <f t="shared" si="13"/>
        <v>0</v>
      </c>
      <c r="N52" s="7"/>
      <c r="O52" s="314">
        <v>8.1084265570263732</v>
      </c>
      <c r="P52" s="7"/>
      <c r="Q52" s="30">
        <v>0</v>
      </c>
      <c r="R52" s="7"/>
      <c r="S52" s="23">
        <f t="shared" si="5"/>
        <v>27127.814234749556</v>
      </c>
      <c r="T52" s="7"/>
      <c r="U52" s="23">
        <f t="shared" si="0"/>
        <v>20401.463400675424</v>
      </c>
      <c r="V52" s="7"/>
      <c r="W52" s="23">
        <f t="shared" si="1"/>
        <v>6726.3508340741319</v>
      </c>
      <c r="X52" s="7"/>
      <c r="Y52" s="315">
        <f t="shared" si="6"/>
        <v>35.799944688330413</v>
      </c>
      <c r="Z52" s="271"/>
      <c r="AB52" s="168">
        <f>+IF(AB51&gt;$G$13+$G$14,XX,AB51+1)</f>
        <v>2032</v>
      </c>
      <c r="AC52" s="138"/>
      <c r="AD52" s="173">
        <f t="shared" si="2"/>
        <v>187887.18509575512</v>
      </c>
      <c r="AE52" s="4"/>
      <c r="AF52" s="176">
        <f t="shared" si="14"/>
        <v>90.927517650040215</v>
      </c>
      <c r="AG52" s="4"/>
      <c r="AH52" s="176">
        <f t="shared" si="15"/>
        <v>12.819314527841492</v>
      </c>
      <c r="AI52" s="4"/>
      <c r="AJ52" s="176">
        <f t="shared" si="16"/>
        <v>3.6035803736543492</v>
      </c>
      <c r="AK52" s="4"/>
      <c r="AL52" s="175">
        <f t="shared" si="7"/>
        <v>5234.9408621936091</v>
      </c>
      <c r="AM52" s="4"/>
      <c r="AN52" s="176">
        <f>INDEX('(2.2)_Forward_Price_Curve'!$G:$G,MATCH($AB52,'(2.2)_Forward_Price_Curve'!$C:$C,0),1)</f>
        <v>12.698146444521699</v>
      </c>
      <c r="AO52" s="4"/>
      <c r="AP52" s="176">
        <f t="shared" si="8"/>
        <v>92.265002925526986</v>
      </c>
      <c r="AQ52" s="4"/>
      <c r="AR52" s="176">
        <f t="shared" si="17"/>
        <v>3.7301459069844292</v>
      </c>
      <c r="AS52" s="176"/>
      <c r="AT52" s="175">
        <f t="shared" si="3"/>
        <v>2365.2051036867929</v>
      </c>
      <c r="AU52" s="4"/>
      <c r="AV52" s="175">
        <f t="shared" si="4"/>
        <v>18036.258296988632</v>
      </c>
      <c r="AW52" s="318"/>
      <c r="AX52" s="177">
        <f t="shared" si="9"/>
        <v>20401.463400675424</v>
      </c>
      <c r="AZ52" s="168">
        <f>+IF(AZ51&gt;$G$13+$G$14,XX,AZ51+1)</f>
        <v>2032</v>
      </c>
      <c r="BA52" s="138"/>
      <c r="BB52" s="176">
        <f t="shared" si="18"/>
        <v>61.269092758057752</v>
      </c>
      <c r="BC52" s="4"/>
      <c r="BD52" s="176">
        <f t="shared" si="19"/>
        <v>9.3155486871091693</v>
      </c>
      <c r="BE52" s="4"/>
      <c r="BF52" s="175">
        <f>(BB52+BD52)*$BD$11</f>
        <v>2869.7357585068162</v>
      </c>
      <c r="BG52" s="4"/>
      <c r="BH52" s="179"/>
    </row>
    <row r="53" spans="2:60">
      <c r="B53" s="3"/>
      <c r="C53" s="4"/>
      <c r="D53" s="4"/>
      <c r="E53" s="192"/>
      <c r="F53" s="4"/>
      <c r="G53" s="309"/>
      <c r="H53" s="4"/>
      <c r="I53" s="309"/>
      <c r="J53" s="4"/>
      <c r="K53" s="309"/>
      <c r="L53" s="4"/>
      <c r="M53" s="309"/>
      <c r="N53" s="4"/>
      <c r="O53" s="309"/>
      <c r="P53" s="4"/>
      <c r="Q53" s="309"/>
      <c r="R53" s="4"/>
      <c r="S53" s="309"/>
      <c r="T53" s="4"/>
      <c r="U53" s="309"/>
      <c r="V53" s="4"/>
      <c r="W53" s="309"/>
      <c r="X53" s="4"/>
      <c r="Y53" s="319"/>
      <c r="Z53" s="271"/>
      <c r="AB53" s="3"/>
      <c r="AC53" s="4"/>
      <c r="AD53" s="4"/>
      <c r="AE53" s="4"/>
      <c r="AF53" s="320"/>
      <c r="AG53" s="4"/>
      <c r="AH53" s="320"/>
      <c r="AI53" s="4"/>
      <c r="AJ53" s="320"/>
      <c r="AK53" s="4"/>
      <c r="AL53" s="318"/>
      <c r="AM53" s="4"/>
      <c r="AN53" s="320"/>
      <c r="AO53" s="4"/>
      <c r="AP53" s="320"/>
      <c r="AQ53" s="4"/>
      <c r="AR53" s="320"/>
      <c r="AS53" s="320"/>
      <c r="AT53" s="320"/>
      <c r="AU53" s="4"/>
      <c r="AV53" s="318"/>
      <c r="AW53" s="318"/>
      <c r="AX53" s="321"/>
      <c r="AZ53" s="3"/>
      <c r="BA53" s="4"/>
      <c r="BB53" s="320"/>
      <c r="BC53" s="4"/>
      <c r="BD53" s="4"/>
      <c r="BE53" s="4"/>
      <c r="BF53" s="318"/>
      <c r="BG53" s="4"/>
      <c r="BH53" s="271"/>
    </row>
    <row r="54" spans="2:60" ht="12">
      <c r="B54" s="3"/>
      <c r="C54" s="322" t="str">
        <f>G14&amp;"-year Nominal Levelized at "&amp;TEXT($G$18,"#.00%")</f>
        <v>25-year Nominal Levelized at 7.32%</v>
      </c>
      <c r="E54" s="192"/>
      <c r="F54" s="4"/>
      <c r="G54" s="23">
        <f>+-PMT($G$18,$G$14,NPV($G$18,G28:G52))</f>
        <v>187414.22444855821</v>
      </c>
      <c r="H54" s="7"/>
      <c r="I54" s="30">
        <f>+-PMT($G$18,$G$14,NPV($G$18,I28:I52))</f>
        <v>212.94957431360362</v>
      </c>
      <c r="J54" s="30"/>
      <c r="K54" s="30">
        <f>+-PMT($G$18,$G$14,NPV($G$18,K28:K52))</f>
        <v>23.098271842889453</v>
      </c>
      <c r="L54" s="7"/>
      <c r="M54" s="30">
        <f>+-PMT($G$18,$G$14,NPV($G$18,M28:M52))</f>
        <v>0</v>
      </c>
      <c r="N54" s="7"/>
      <c r="O54" s="30">
        <f>+-PMT($G$18,$G$14,NPV($G$18,O28:O52))</f>
        <v>6.1084502890649341</v>
      </c>
      <c r="P54" s="7"/>
      <c r="Q54" s="30">
        <f>+-PMT($G$18,$G$14,NPV($G$18,Q28:Q52))</f>
        <v>-21.083343367200708</v>
      </c>
      <c r="R54" s="7"/>
      <c r="S54" s="23">
        <f>+-PMT($G$18,$G$14,NPV($G$18,S28:S52))</f>
        <v>16471.141688628581</v>
      </c>
      <c r="T54" s="7"/>
      <c r="U54" s="23">
        <f>+-PMT($G$18,$G$14,NPV($G$18,U28:U52))</f>
        <v>14202.225403499042</v>
      </c>
      <c r="V54" s="4"/>
      <c r="W54" s="23">
        <f>+-PMT($G$18,$G$14,NPV($G$18,W28:W52))</f>
        <v>2268.9162851295418</v>
      </c>
      <c r="X54" s="4"/>
      <c r="Y54" s="315">
        <f>+W54/G54*1000</f>
        <v>12.106425175599828</v>
      </c>
      <c r="Z54" s="271"/>
      <c r="AB54" s="3"/>
      <c r="AC54" s="4"/>
      <c r="AD54" s="173">
        <f>+-PMT($G$18,$G$14,NPV($G$18,AD28:AD52))</f>
        <v>187414.22444855821</v>
      </c>
      <c r="AE54" s="4"/>
      <c r="AF54" s="176">
        <f>+-PMT($G$18,$G$14,NPV($G$18,AF28:AF52))</f>
        <v>68.499876957267318</v>
      </c>
      <c r="AG54" s="4"/>
      <c r="AH54" s="176">
        <f>+-PMT($G$18,$G$14,NPV($G$18,AH28:AH52))</f>
        <v>9.6573786520087967</v>
      </c>
      <c r="AI54" s="4"/>
      <c r="AJ54" s="176">
        <f>+-PMT($G$18,$G$14,NPV($G$18,AJ28:AJ52))</f>
        <v>2.7147426717508885</v>
      </c>
      <c r="AK54" s="4"/>
      <c r="AL54" s="175">
        <f>+-PMT($G$18,$G$14,NPV($G$18,AL28:AL52))</f>
        <v>3942.4314071062799</v>
      </c>
      <c r="AM54" s="4"/>
      <c r="AN54" s="176">
        <f>+-PMT($G$18,$G$14,NPV($G$18,AN28:AN52))</f>
        <v>8.735091274734982</v>
      </c>
      <c r="AO54" s="4"/>
      <c r="AP54" s="176">
        <f>+-PMT($G$18,$G$14,NPV($G$18,AP28:AP52))</f>
        <v>63.469359527340494</v>
      </c>
      <c r="AQ54" s="4"/>
      <c r="AR54" s="176">
        <f>+-PMT($G$18,$G$14,NPV($G$18,AR28:AR52))</f>
        <v>2.8100903034052487</v>
      </c>
      <c r="AS54" s="176"/>
      <c r="AT54" s="175">
        <f>+-PMT($G$18,$G$14,NPV($G$18,AT28:AT52))</f>
        <v>1780.5276024278494</v>
      </c>
      <c r="AU54" s="4"/>
      <c r="AV54" s="175">
        <f>+-PMT($G$18,$G$14,NPV($G$18,AV28:AV52))</f>
        <v>12421.69780107119</v>
      </c>
      <c r="AW54" s="318"/>
      <c r="AX54" s="177">
        <f>+-PMT($G$18,$G$14,NPV($G$18,AX28:AX52))</f>
        <v>14202.225403499042</v>
      </c>
      <c r="AZ54" s="3"/>
      <c r="BA54" s="4"/>
      <c r="BB54" s="176">
        <f>+-PMT($G$18,$G$14,NPV($G$18,BB28:BB52))</f>
        <v>46.156822749339604</v>
      </c>
      <c r="BC54" s="4"/>
      <c r="BD54" s="176">
        <f>+-PMT($G$18,$G$14,NPV($G$18,BD28:BD52))</f>
        <v>7.01783085415759</v>
      </c>
      <c r="BE54" s="4"/>
      <c r="BF54" s="175">
        <f>+-PMT($G$18,$G$14,NPV($G$18,BF28:BF52))</f>
        <v>2161.9038046784303</v>
      </c>
      <c r="BG54" s="4"/>
      <c r="BH54" s="179"/>
    </row>
    <row r="55" spans="2:60">
      <c r="B55" s="3"/>
      <c r="C55" s="4"/>
      <c r="D55" s="4"/>
      <c r="E55" s="19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23"/>
      <c r="X55" s="4"/>
      <c r="Y55" s="324"/>
      <c r="Z55" s="271"/>
      <c r="AB55" s="3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271"/>
      <c r="AZ55" s="3"/>
      <c r="BA55" s="4"/>
      <c r="BB55" s="4"/>
      <c r="BC55" s="4"/>
      <c r="BD55" s="4"/>
      <c r="BE55" s="4"/>
      <c r="BF55" s="4"/>
      <c r="BG55" s="4"/>
      <c r="BH55" s="271"/>
    </row>
    <row r="56" spans="2:60">
      <c r="B56" s="275"/>
      <c r="C56" s="325"/>
      <c r="D56" s="325"/>
      <c r="E56" s="326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278"/>
      <c r="AB56" s="27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278"/>
      <c r="AZ56" s="275"/>
      <c r="BA56" s="325"/>
      <c r="BB56" s="325"/>
      <c r="BC56" s="325"/>
      <c r="BD56" s="325"/>
      <c r="BE56" s="325"/>
      <c r="BF56" s="325"/>
      <c r="BG56" s="325"/>
      <c r="BH56" s="278"/>
    </row>
    <row r="57" spans="2:60">
      <c r="E57" s="327"/>
    </row>
    <row r="58" spans="2:60">
      <c r="E58" s="327"/>
      <c r="G58" s="328"/>
      <c r="I58" s="328"/>
      <c r="K58" s="328"/>
      <c r="O58" s="328"/>
      <c r="Q58" s="328"/>
      <c r="S58" s="328"/>
      <c r="U58" s="328"/>
      <c r="W58" s="328"/>
    </row>
    <row r="59" spans="2:60">
      <c r="E59" s="327"/>
    </row>
    <row r="60" spans="2:60">
      <c r="E60" s="327"/>
    </row>
    <row r="61" spans="2:60">
      <c r="E61" s="327"/>
    </row>
    <row r="62" spans="2:60">
      <c r="E62" s="327"/>
    </row>
    <row r="63" spans="2:60">
      <c r="E63" s="327"/>
    </row>
    <row r="64" spans="2:60">
      <c r="E64" s="327"/>
    </row>
    <row r="65" spans="5:5">
      <c r="E65" s="327"/>
    </row>
    <row r="66" spans="5:5">
      <c r="E66" s="327"/>
    </row>
    <row r="67" spans="5:5">
      <c r="E67" s="327"/>
    </row>
    <row r="68" spans="5:5">
      <c r="E68" s="327"/>
    </row>
    <row r="69" spans="5:5">
      <c r="E69" s="327"/>
    </row>
    <row r="70" spans="5:5">
      <c r="E70" s="327"/>
    </row>
    <row r="71" spans="5:5">
      <c r="E71" s="327"/>
    </row>
    <row r="72" spans="5:5">
      <c r="E72" s="327"/>
    </row>
    <row r="73" spans="5:5">
      <c r="E73" s="327"/>
    </row>
    <row r="74" spans="5:5">
      <c r="E74" s="327"/>
    </row>
    <row r="75" spans="5:5">
      <c r="E75" s="327"/>
    </row>
    <row r="76" spans="5:5">
      <c r="E76" s="327"/>
    </row>
    <row r="77" spans="5:5">
      <c r="E77" s="327"/>
    </row>
    <row r="78" spans="5:5">
      <c r="E78" s="327"/>
    </row>
    <row r="79" spans="5:5">
      <c r="E79" s="327"/>
    </row>
    <row r="80" spans="5:5">
      <c r="E80" s="327"/>
    </row>
  </sheetData>
  <pageMargins left="0.25" right="0.25" top="0.25" bottom="0.75" header="0.3" footer="0.3"/>
  <pageSetup paperSize="5"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0"/>
  <sheetViews>
    <sheetView topLeftCell="A25" workbookViewId="0">
      <selection sqref="A1:XFD1048576"/>
    </sheetView>
  </sheetViews>
  <sheetFormatPr defaultRowHeight="11.25"/>
  <cols>
    <col min="1" max="1" width="8.1640625" style="157" customWidth="1"/>
    <col min="2" max="2" width="4.1640625" style="157" customWidth="1"/>
    <col min="3" max="3" width="11" style="157" customWidth="1"/>
    <col min="4" max="4" width="4.83203125" style="157" customWidth="1"/>
    <col min="5" max="5" width="10.83203125" style="157" customWidth="1"/>
    <col min="6" max="6" width="4.33203125" style="157" customWidth="1"/>
    <col min="7" max="7" width="17.33203125" style="157" customWidth="1"/>
    <col min="8" max="8" width="2.83203125" style="157" customWidth="1"/>
    <col min="9" max="9" width="13.5" style="157" customWidth="1"/>
    <col min="10" max="10" width="2.83203125" style="157" customWidth="1"/>
    <col min="11" max="11" width="13.5" style="157" customWidth="1"/>
    <col min="12" max="12" width="2.83203125" style="157" customWidth="1"/>
    <col min="13" max="13" width="15.33203125" style="157" customWidth="1"/>
    <col min="14" max="14" width="2.83203125" style="157" customWidth="1"/>
    <col min="15" max="15" width="13.1640625" style="157" customWidth="1"/>
    <col min="16" max="16" width="2.83203125" style="157" customWidth="1"/>
    <col min="17" max="17" width="13.83203125" style="157" customWidth="1"/>
    <col min="18" max="18" width="3.1640625" style="157" customWidth="1"/>
    <col min="19" max="19" width="13.1640625" style="157" customWidth="1"/>
    <col min="20" max="20" width="2.83203125" style="157" customWidth="1"/>
    <col min="21" max="21" width="15.1640625" style="157" customWidth="1"/>
    <col min="22" max="22" width="2.83203125" style="157" customWidth="1"/>
    <col min="23" max="23" width="14.1640625" style="157" customWidth="1"/>
    <col min="24" max="24" width="2.83203125" style="157" customWidth="1"/>
    <col min="25" max="25" width="14.6640625" style="157" customWidth="1"/>
    <col min="26" max="26" width="2.83203125" style="157" customWidth="1"/>
    <col min="27" max="27" width="2.6640625" style="157" customWidth="1"/>
    <col min="28" max="28" width="7.83203125" style="157" customWidth="1"/>
    <col min="29" max="29" width="3" style="157" customWidth="1"/>
    <col min="30" max="30" width="13" style="157" bestFit="1" customWidth="1"/>
    <col min="31" max="31" width="3.1640625" style="157" customWidth="1"/>
    <col min="32" max="32" width="12.1640625" style="157" customWidth="1"/>
    <col min="33" max="33" width="2.33203125" style="157" customWidth="1"/>
    <col min="34" max="34" width="14.5" style="157" customWidth="1"/>
    <col min="35" max="35" width="3" style="157" customWidth="1"/>
    <col min="36" max="36" width="13.1640625" style="157" customWidth="1"/>
    <col min="37" max="37" width="2.33203125" style="157" customWidth="1"/>
    <col min="38" max="38" width="13.6640625" style="157" customWidth="1"/>
    <col min="39" max="39" width="1.5" style="157" customWidth="1"/>
    <col min="40" max="40" width="9.33203125" style="157"/>
    <col min="41" max="41" width="1.33203125" style="157" customWidth="1"/>
    <col min="42" max="42" width="11.33203125" style="157" customWidth="1"/>
    <col min="43" max="43" width="2.5" style="157" customWidth="1"/>
    <col min="44" max="44" width="12.6640625" style="157" customWidth="1"/>
    <col min="45" max="45" width="4" style="157" customWidth="1"/>
    <col min="46" max="46" width="10.1640625" style="157" customWidth="1"/>
    <col min="47" max="47" width="3.33203125" style="157" customWidth="1"/>
    <col min="48" max="48" width="12" style="157" customWidth="1"/>
    <col min="49" max="49" width="1.5" style="157" customWidth="1"/>
    <col min="50" max="50" width="11.33203125" style="157" customWidth="1"/>
    <col min="51" max="51" width="1.83203125" style="157" customWidth="1"/>
    <col min="52" max="52" width="9.33203125" style="157"/>
    <col min="53" max="53" width="2.83203125" style="157" customWidth="1"/>
    <col min="54" max="54" width="9.33203125" style="157"/>
    <col min="55" max="55" width="4" style="157" customWidth="1"/>
    <col min="56" max="56" width="9.33203125" style="157"/>
    <col min="57" max="57" width="2.83203125" style="157" customWidth="1"/>
    <col min="58" max="58" width="10.5" style="157" bestFit="1" customWidth="1"/>
    <col min="59" max="59" width="2.33203125" style="157" customWidth="1"/>
    <col min="60" max="16384" width="9.33203125" style="157"/>
  </cols>
  <sheetData>
    <row r="1" spans="1:57" s="264" customFormat="1">
      <c r="A1" s="264" t="s">
        <v>0</v>
      </c>
    </row>
    <row r="2" spans="1:57" s="264" customFormat="1">
      <c r="A2" s="264" t="s">
        <v>162</v>
      </c>
    </row>
    <row r="3" spans="1:57" s="264" customFormat="1">
      <c r="A3" s="264" t="s">
        <v>1</v>
      </c>
    </row>
    <row r="4" spans="1:57" s="264" customFormat="1"/>
    <row r="5" spans="1:57" s="264" customFormat="1">
      <c r="A5" s="264" t="s">
        <v>159</v>
      </c>
    </row>
    <row r="8" spans="1:57">
      <c r="B8" s="280"/>
      <c r="C8" s="281" t="s">
        <v>109</v>
      </c>
      <c r="D8" s="281"/>
      <c r="E8" s="281"/>
      <c r="F8" s="282"/>
      <c r="G8" s="281"/>
      <c r="H8" s="283"/>
      <c r="AB8" s="284" t="s">
        <v>110</v>
      </c>
      <c r="AC8" s="285"/>
      <c r="AD8" s="285"/>
      <c r="AE8" s="285"/>
      <c r="AF8" s="285"/>
      <c r="AG8" s="285"/>
      <c r="AH8" s="285"/>
      <c r="AI8" s="285"/>
      <c r="AJ8" s="285"/>
      <c r="AK8" s="286"/>
      <c r="AZ8" s="284" t="s">
        <v>111</v>
      </c>
      <c r="BA8" s="285"/>
      <c r="BB8" s="285"/>
      <c r="BC8" s="285"/>
      <c r="BD8" s="285"/>
      <c r="BE8" s="286"/>
    </row>
    <row r="9" spans="1:57" ht="12">
      <c r="B9" s="287"/>
      <c r="C9" s="288"/>
      <c r="D9" s="288"/>
      <c r="E9" s="288"/>
      <c r="F9" s="288"/>
      <c r="G9" s="288"/>
      <c r="H9" s="289"/>
      <c r="J9" s="290"/>
      <c r="AB9" s="137"/>
      <c r="AC9" s="138"/>
      <c r="AD9" s="138"/>
      <c r="AE9" s="138"/>
      <c r="AF9" s="139"/>
      <c r="AG9" s="138"/>
      <c r="AH9" s="138"/>
      <c r="AI9" s="138"/>
      <c r="AJ9" s="140"/>
      <c r="AK9" s="141"/>
      <c r="AZ9" s="137"/>
      <c r="BA9" s="138"/>
      <c r="BB9" s="138"/>
      <c r="BC9" s="138"/>
      <c r="BD9" s="139"/>
      <c r="BE9" s="142"/>
    </row>
    <row r="10" spans="1:57" ht="12">
      <c r="B10" s="291"/>
      <c r="C10" s="292" t="s">
        <v>112</v>
      </c>
      <c r="D10" s="292"/>
      <c r="E10" s="292"/>
      <c r="F10" s="292"/>
      <c r="G10" s="293" t="s">
        <v>18</v>
      </c>
      <c r="H10" s="294"/>
      <c r="AB10" s="143"/>
      <c r="AC10" s="144"/>
      <c r="AD10" s="144"/>
      <c r="AE10" s="144"/>
      <c r="AF10" s="145"/>
      <c r="AG10" s="146"/>
      <c r="AH10" s="147"/>
      <c r="AI10" s="148"/>
      <c r="AJ10" s="4"/>
      <c r="AK10" s="271"/>
      <c r="AZ10" s="143"/>
      <c r="BA10" s="144"/>
      <c r="BB10" s="144"/>
      <c r="BC10" s="144"/>
      <c r="BD10" s="145"/>
      <c r="BE10" s="149"/>
    </row>
    <row r="11" spans="1:57" ht="12">
      <c r="B11" s="291"/>
      <c r="C11" s="292" t="s">
        <v>41</v>
      </c>
      <c r="D11" s="292"/>
      <c r="E11" s="292"/>
      <c r="F11" s="292"/>
      <c r="G11" s="293">
        <v>100.5</v>
      </c>
      <c r="H11" s="294"/>
      <c r="AB11" s="143" t="s">
        <v>113</v>
      </c>
      <c r="AC11" s="144"/>
      <c r="AD11" s="144"/>
      <c r="AE11" s="144"/>
      <c r="AF11" s="155">
        <f>+G11*(G12/AJ16)</f>
        <v>71.617618009583211</v>
      </c>
      <c r="AG11" s="148"/>
      <c r="AH11" s="144" t="s">
        <v>114</v>
      </c>
      <c r="AI11" s="145"/>
      <c r="AJ11" s="150">
        <v>7.9126910299003335</v>
      </c>
      <c r="AK11" s="271"/>
      <c r="AZ11" s="143" t="s">
        <v>113</v>
      </c>
      <c r="BA11" s="144"/>
      <c r="BB11" s="144"/>
      <c r="BC11" s="144"/>
      <c r="BD11" s="155">
        <f>(AF11*AF13-G11*G19)</f>
        <v>66.927618009583213</v>
      </c>
      <c r="BE11" s="151"/>
    </row>
    <row r="12" spans="1:57" ht="12">
      <c r="B12" s="291"/>
      <c r="C12" s="292" t="s">
        <v>42</v>
      </c>
      <c r="D12" s="292"/>
      <c r="E12" s="292"/>
      <c r="F12" s="292"/>
      <c r="G12" s="296">
        <v>0.34697866466618793</v>
      </c>
      <c r="H12" s="294"/>
      <c r="AB12" s="143" t="s">
        <v>42</v>
      </c>
      <c r="AC12" s="144"/>
      <c r="AD12" s="144"/>
      <c r="AE12" s="144"/>
      <c r="AF12" s="152">
        <f>+AD54/8760/AF11</f>
        <v>0.48714604828798364</v>
      </c>
      <c r="AG12" s="148"/>
      <c r="AH12" s="138" t="s">
        <v>115</v>
      </c>
      <c r="AI12" s="139"/>
      <c r="AJ12" s="138">
        <v>2006</v>
      </c>
      <c r="AK12" s="271"/>
      <c r="AZ12" s="143"/>
      <c r="BA12" s="144"/>
      <c r="BB12" s="144"/>
      <c r="BC12" s="144"/>
      <c r="BD12" s="152"/>
      <c r="BE12" s="153"/>
    </row>
    <row r="13" spans="1:57" ht="12">
      <c r="B13" s="291"/>
      <c r="C13" s="292" t="s">
        <v>43</v>
      </c>
      <c r="D13" s="292"/>
      <c r="E13" s="292"/>
      <c r="F13" s="292"/>
      <c r="G13" s="293">
        <v>2006</v>
      </c>
      <c r="H13" s="294"/>
      <c r="AB13" s="143" t="s">
        <v>116</v>
      </c>
      <c r="AC13" s="144"/>
      <c r="AD13" s="144"/>
      <c r="AE13" s="144"/>
      <c r="AF13" s="154">
        <v>1</v>
      </c>
      <c r="AG13" s="148"/>
      <c r="AH13" s="138" t="s">
        <v>117</v>
      </c>
      <c r="AI13" s="139"/>
      <c r="AJ13" s="150">
        <v>2.2243013100436677</v>
      </c>
      <c r="AK13" s="271"/>
      <c r="AZ13" s="143" t="s">
        <v>116</v>
      </c>
      <c r="BA13" s="144"/>
      <c r="BB13" s="144"/>
      <c r="BC13" s="144"/>
      <c r="BD13" s="154">
        <v>1</v>
      </c>
      <c r="BE13" s="153"/>
    </row>
    <row r="14" spans="1:57" ht="12">
      <c r="B14" s="291"/>
      <c r="C14" s="292" t="s">
        <v>44</v>
      </c>
      <c r="D14" s="292"/>
      <c r="E14" s="292"/>
      <c r="F14" s="292"/>
      <c r="G14" s="293">
        <v>25</v>
      </c>
      <c r="H14" s="294"/>
      <c r="AB14" s="143" t="s">
        <v>118</v>
      </c>
      <c r="AC14" s="144"/>
      <c r="AD14" s="144"/>
      <c r="AE14" s="144"/>
      <c r="AF14" s="155">
        <v>7266.0213306432961</v>
      </c>
      <c r="AG14" s="148"/>
      <c r="AH14" s="138"/>
      <c r="AI14" s="139"/>
      <c r="AJ14" s="150"/>
      <c r="AK14" s="271"/>
      <c r="AZ14" s="143" t="s">
        <v>119</v>
      </c>
      <c r="BA14" s="144"/>
      <c r="BB14" s="144"/>
      <c r="BC14" s="144"/>
      <c r="BD14" s="156">
        <v>454</v>
      </c>
      <c r="BE14" s="153"/>
    </row>
    <row r="15" spans="1:57" ht="12">
      <c r="A15" s="157" t="s">
        <v>153</v>
      </c>
      <c r="B15" s="291"/>
      <c r="C15" s="292" t="s">
        <v>121</v>
      </c>
      <c r="D15" s="292"/>
      <c r="E15" s="292"/>
      <c r="F15" s="292"/>
      <c r="G15" s="297">
        <v>187.53573564552991</v>
      </c>
      <c r="H15" s="294"/>
      <c r="AB15" s="143" t="s">
        <v>119</v>
      </c>
      <c r="AC15" s="144"/>
      <c r="AD15" s="144"/>
      <c r="AE15" s="144"/>
      <c r="AF15" s="156">
        <v>651.09966777408636</v>
      </c>
      <c r="AG15" s="148"/>
      <c r="AH15" s="138" t="s">
        <v>160</v>
      </c>
      <c r="AI15" s="139"/>
      <c r="AJ15" s="150">
        <v>2.302423580786026</v>
      </c>
      <c r="AK15" s="271"/>
      <c r="AZ15" s="143" t="s">
        <v>122</v>
      </c>
      <c r="BA15" s="144"/>
      <c r="BB15" s="144"/>
      <c r="BC15" s="144"/>
      <c r="BD15" s="158">
        <v>8.3299999999999999E-2</v>
      </c>
      <c r="BE15" s="153"/>
    </row>
    <row r="16" spans="1:57" ht="12">
      <c r="A16" s="157" t="s">
        <v>153</v>
      </c>
      <c r="B16" s="291"/>
      <c r="C16" s="292" t="s">
        <v>123</v>
      </c>
      <c r="D16" s="292"/>
      <c r="E16" s="292"/>
      <c r="F16" s="292"/>
      <c r="G16" s="297">
        <v>12.630108405506199</v>
      </c>
      <c r="H16" s="294"/>
      <c r="AB16" s="143" t="s">
        <v>122</v>
      </c>
      <c r="AC16" s="144"/>
      <c r="AD16" s="144"/>
      <c r="AE16" s="144"/>
      <c r="AF16" s="158">
        <v>8.6199999999999999E-2</v>
      </c>
      <c r="AG16" s="148"/>
      <c r="AH16" s="138" t="s">
        <v>124</v>
      </c>
      <c r="AI16" s="145"/>
      <c r="AJ16" s="159">
        <v>0.48691029900332239</v>
      </c>
      <c r="AK16" s="271"/>
      <c r="AZ16" s="143" t="s">
        <v>114</v>
      </c>
      <c r="BA16" s="145"/>
      <c r="BB16" s="150">
        <v>5.75</v>
      </c>
      <c r="BC16" s="4"/>
      <c r="BD16" s="4"/>
      <c r="BE16" s="151"/>
    </row>
    <row r="17" spans="1:60" ht="12">
      <c r="A17" s="157" t="s">
        <v>153</v>
      </c>
      <c r="B17" s="291"/>
      <c r="C17" s="292" t="s">
        <v>125</v>
      </c>
      <c r="D17" s="292"/>
      <c r="E17" s="292"/>
      <c r="F17" s="292"/>
      <c r="G17" s="297">
        <v>3.0220510108288803</v>
      </c>
      <c r="H17" s="294"/>
      <c r="AB17" s="3"/>
      <c r="AG17" s="148"/>
      <c r="AH17" s="4"/>
      <c r="AI17" s="148"/>
      <c r="AJ17" s="144"/>
      <c r="AK17" s="151"/>
      <c r="AZ17" s="137" t="s">
        <v>115</v>
      </c>
      <c r="BA17" s="139"/>
      <c r="BB17" s="138">
        <v>2006</v>
      </c>
      <c r="BC17" s="4"/>
      <c r="BD17" s="4"/>
      <c r="BE17" s="149"/>
    </row>
    <row r="18" spans="1:60" ht="12">
      <c r="B18" s="291"/>
      <c r="C18" s="292" t="s">
        <v>126</v>
      </c>
      <c r="D18" s="292"/>
      <c r="E18" s="292"/>
      <c r="F18" s="292"/>
      <c r="G18" s="296">
        <v>7.125514275E-2</v>
      </c>
      <c r="H18" s="29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2"/>
      <c r="AZ18" s="160"/>
      <c r="BA18" s="161"/>
      <c r="BB18" s="161"/>
      <c r="BC18" s="161"/>
      <c r="BD18" s="161"/>
      <c r="BE18" s="163"/>
    </row>
    <row r="19" spans="1:60">
      <c r="B19" s="298"/>
      <c r="C19" s="299" t="s">
        <v>116</v>
      </c>
      <c r="D19" s="299"/>
      <c r="E19" s="299"/>
      <c r="F19" s="299"/>
      <c r="G19" s="300">
        <f>14/300</f>
        <v>4.6666666666666669E-2</v>
      </c>
      <c r="H19" s="301"/>
      <c r="I19" s="157" t="s">
        <v>127</v>
      </c>
    </row>
    <row r="20" spans="1:60">
      <c r="B20" s="264"/>
      <c r="C20" s="264"/>
      <c r="D20" s="264"/>
      <c r="E20" s="264"/>
      <c r="F20" s="264"/>
      <c r="G20" s="264"/>
      <c r="H20" s="264"/>
    </row>
    <row r="23" spans="1:60">
      <c r="B23" s="284"/>
      <c r="C23" s="302" t="s">
        <v>128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3"/>
      <c r="AB23" s="284" t="s">
        <v>110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6"/>
      <c r="AZ23" s="284" t="s">
        <v>111</v>
      </c>
      <c r="BA23" s="285"/>
      <c r="BB23" s="285"/>
      <c r="BC23" s="285"/>
      <c r="BD23" s="285"/>
      <c r="BE23" s="285"/>
      <c r="BF23" s="285"/>
      <c r="BG23" s="285"/>
      <c r="BH23" s="286"/>
    </row>
    <row r="24" spans="1:60">
      <c r="B24" s="3"/>
      <c r="C24" s="4"/>
      <c r="D24" s="4"/>
      <c r="E24" s="4"/>
      <c r="F24" s="4"/>
      <c r="G24" s="304"/>
      <c r="H24" s="4"/>
      <c r="I24" s="304"/>
      <c r="J24" s="4"/>
      <c r="K24" s="304"/>
      <c r="L24" s="4"/>
      <c r="M24" s="4"/>
      <c r="N24" s="4"/>
      <c r="O24" s="304"/>
      <c r="P24" s="4"/>
      <c r="Q24" s="304"/>
      <c r="R24" s="4"/>
      <c r="S24" s="304"/>
      <c r="T24" s="4"/>
      <c r="U24" s="304"/>
      <c r="V24" s="4"/>
      <c r="W24" s="304"/>
      <c r="X24" s="4"/>
      <c r="Y24" s="304"/>
      <c r="Z24" s="271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71"/>
      <c r="AZ24" s="3"/>
      <c r="BA24" s="4"/>
      <c r="BB24" s="4"/>
      <c r="BC24" s="4"/>
      <c r="BD24" s="4"/>
      <c r="BE24" s="4"/>
      <c r="BF24" s="4"/>
      <c r="BG24" s="4"/>
      <c r="BH24" s="271"/>
    </row>
    <row r="25" spans="1:60" ht="60">
      <c r="B25" s="3"/>
      <c r="C25" s="4"/>
      <c r="D25" s="4"/>
      <c r="E25" s="304"/>
      <c r="F25" s="4"/>
      <c r="G25" s="305" t="s">
        <v>129</v>
      </c>
      <c r="H25" s="4"/>
      <c r="I25" s="305" t="s">
        <v>130</v>
      </c>
      <c r="J25" s="4"/>
      <c r="K25" s="305" t="s">
        <v>131</v>
      </c>
      <c r="L25" s="4"/>
      <c r="M25" s="305" t="s">
        <v>125</v>
      </c>
      <c r="N25" s="4"/>
      <c r="O25" s="305" t="s">
        <v>132</v>
      </c>
      <c r="P25" s="4"/>
      <c r="Q25" s="305" t="s">
        <v>133</v>
      </c>
      <c r="R25" s="4"/>
      <c r="S25" s="305" t="s">
        <v>30</v>
      </c>
      <c r="T25" s="4"/>
      <c r="U25" s="305" t="s">
        <v>134</v>
      </c>
      <c r="V25" s="4"/>
      <c r="W25" s="305" t="s">
        <v>135</v>
      </c>
      <c r="X25" s="270"/>
      <c r="Y25" s="305" t="s">
        <v>135</v>
      </c>
      <c r="Z25" s="271"/>
      <c r="AB25" s="164"/>
      <c r="AC25" s="139"/>
      <c r="AD25" s="306" t="s">
        <v>129</v>
      </c>
      <c r="AE25" s="4"/>
      <c r="AF25" s="165" t="s">
        <v>136</v>
      </c>
      <c r="AG25" s="166"/>
      <c r="AH25" s="165" t="s">
        <v>137</v>
      </c>
      <c r="AI25" s="4"/>
      <c r="AJ25" s="165" t="s">
        <v>138</v>
      </c>
      <c r="AK25" s="4"/>
      <c r="AL25" s="165" t="s">
        <v>139</v>
      </c>
      <c r="AM25" s="4"/>
      <c r="AN25" s="165" t="s">
        <v>140</v>
      </c>
      <c r="AO25" s="4"/>
      <c r="AP25" s="165" t="s">
        <v>140</v>
      </c>
      <c r="AQ25" s="4"/>
      <c r="AR25" s="165" t="s">
        <v>160</v>
      </c>
      <c r="AS25" s="165"/>
      <c r="AT25" s="165" t="s">
        <v>141</v>
      </c>
      <c r="AU25" s="4"/>
      <c r="AV25" s="165" t="s">
        <v>142</v>
      </c>
      <c r="AW25" s="4"/>
      <c r="AX25" s="307" t="s">
        <v>143</v>
      </c>
      <c r="AZ25" s="164"/>
      <c r="BA25" s="139"/>
      <c r="BB25" s="165" t="s">
        <v>136</v>
      </c>
      <c r="BC25" s="4"/>
      <c r="BD25" s="165" t="s">
        <v>137</v>
      </c>
      <c r="BE25" s="4"/>
      <c r="BF25" s="165" t="s">
        <v>139</v>
      </c>
      <c r="BG25" s="4"/>
      <c r="BH25" s="167"/>
    </row>
    <row r="26" spans="1:60" ht="22.5">
      <c r="B26" s="3"/>
      <c r="C26" s="308" t="s">
        <v>144</v>
      </c>
      <c r="D26" s="4"/>
      <c r="E26" s="305" t="s">
        <v>145</v>
      </c>
      <c r="F26" s="4"/>
      <c r="G26" s="304" t="s">
        <v>146</v>
      </c>
      <c r="H26" s="4"/>
      <c r="I26" s="304" t="s">
        <v>147</v>
      </c>
      <c r="J26" s="4"/>
      <c r="K26" s="304" t="str">
        <f>"($/MWH)"</f>
        <v>($/MWH)</v>
      </c>
      <c r="L26" s="4"/>
      <c r="M26" s="304" t="str">
        <f>"($/MWH)"</f>
        <v>($/MWH)</v>
      </c>
      <c r="N26" s="4"/>
      <c r="O26" s="304" t="str">
        <f>"($/MWH)"</f>
        <v>($/MWH)</v>
      </c>
      <c r="P26" s="4"/>
      <c r="Q26" s="304" t="str">
        <f>"($/MWH)"</f>
        <v>($/MWH)</v>
      </c>
      <c r="R26" s="4"/>
      <c r="S26" s="304" t="str">
        <f>"($000)"</f>
        <v>($000)</v>
      </c>
      <c r="T26" s="4"/>
      <c r="U26" s="304" t="str">
        <f>"($000)"</f>
        <v>($000)</v>
      </c>
      <c r="V26" s="4"/>
      <c r="W26" s="304" t="str">
        <f>"($000)"</f>
        <v>($000)</v>
      </c>
      <c r="X26" s="270"/>
      <c r="Y26" s="304" t="s">
        <v>148</v>
      </c>
      <c r="Z26" s="271"/>
      <c r="AB26" s="168" t="s">
        <v>90</v>
      </c>
      <c r="AC26" s="139"/>
      <c r="AD26" s="4" t="s">
        <v>146</v>
      </c>
      <c r="AE26" s="4"/>
      <c r="AF26" s="166" t="s">
        <v>147</v>
      </c>
      <c r="AG26" s="166"/>
      <c r="AH26" s="166" t="s">
        <v>147</v>
      </c>
      <c r="AI26" s="4"/>
      <c r="AJ26" s="166" t="s">
        <v>149</v>
      </c>
      <c r="AK26" s="4"/>
      <c r="AL26" s="166" t="s">
        <v>150</v>
      </c>
      <c r="AM26" s="4"/>
      <c r="AN26" s="166" t="s">
        <v>151</v>
      </c>
      <c r="AO26" s="4"/>
      <c r="AP26" s="166" t="s">
        <v>149</v>
      </c>
      <c r="AQ26" s="4"/>
      <c r="AR26" s="166" t="s">
        <v>149</v>
      </c>
      <c r="AS26" s="166"/>
      <c r="AT26" s="166" t="s">
        <v>150</v>
      </c>
      <c r="AU26" s="4"/>
      <c r="AV26" s="166" t="s">
        <v>150</v>
      </c>
      <c r="AW26" s="4"/>
      <c r="AX26" s="169" t="s">
        <v>150</v>
      </c>
      <c r="AZ26" s="168" t="s">
        <v>90</v>
      </c>
      <c r="BA26" s="139"/>
      <c r="BB26" s="166" t="s">
        <v>147</v>
      </c>
      <c r="BC26" s="4"/>
      <c r="BD26" s="166" t="s">
        <v>147</v>
      </c>
      <c r="BE26" s="4"/>
      <c r="BF26" s="166" t="s">
        <v>150</v>
      </c>
      <c r="BG26" s="4"/>
      <c r="BH26" s="169"/>
    </row>
    <row r="27" spans="1:60" ht="12">
      <c r="B27" s="3"/>
      <c r="C27" s="309" t="s">
        <v>48</v>
      </c>
      <c r="D27" s="4"/>
      <c r="E27" s="309" t="s">
        <v>48</v>
      </c>
      <c r="F27" s="4"/>
      <c r="G27" s="309" t="s">
        <v>48</v>
      </c>
      <c r="H27" s="4"/>
      <c r="I27" s="309" t="s">
        <v>48</v>
      </c>
      <c r="J27" s="4"/>
      <c r="K27" s="309" t="s">
        <v>48</v>
      </c>
      <c r="L27" s="4"/>
      <c r="M27" s="309" t="s">
        <v>48</v>
      </c>
      <c r="N27" s="4"/>
      <c r="O27" s="309" t="s">
        <v>48</v>
      </c>
      <c r="P27" s="4"/>
      <c r="Q27" s="309" t="s">
        <v>48</v>
      </c>
      <c r="R27" s="4"/>
      <c r="S27" s="309" t="s">
        <v>48</v>
      </c>
      <c r="T27" s="4"/>
      <c r="U27" s="309" t="s">
        <v>48</v>
      </c>
      <c r="V27" s="4"/>
      <c r="W27" s="309" t="s">
        <v>48</v>
      </c>
      <c r="X27" s="4"/>
      <c r="Y27" s="309" t="s">
        <v>48</v>
      </c>
      <c r="Z27" s="271"/>
      <c r="AB27" s="170" t="s">
        <v>48</v>
      </c>
      <c r="AC27" s="139"/>
      <c r="AD27" s="171" t="s">
        <v>48</v>
      </c>
      <c r="AE27" s="4"/>
      <c r="AF27" s="171" t="s">
        <v>48</v>
      </c>
      <c r="AG27" s="4"/>
      <c r="AH27" s="171" t="s">
        <v>48</v>
      </c>
      <c r="AI27" s="4"/>
      <c r="AJ27" s="171" t="s">
        <v>48</v>
      </c>
      <c r="AK27" s="4"/>
      <c r="AL27" s="171" t="s">
        <v>48</v>
      </c>
      <c r="AM27" s="4"/>
      <c r="AN27" s="171" t="s">
        <v>48</v>
      </c>
      <c r="AO27" s="310"/>
      <c r="AP27" s="171" t="s">
        <v>48</v>
      </c>
      <c r="AQ27" s="310"/>
      <c r="AR27" s="171" t="s">
        <v>48</v>
      </c>
      <c r="AS27" s="171"/>
      <c r="AT27" s="171"/>
      <c r="AU27" s="310"/>
      <c r="AV27" s="171" t="s">
        <v>48</v>
      </c>
      <c r="AW27" s="4"/>
      <c r="AX27" s="172" t="s">
        <v>48</v>
      </c>
      <c r="AZ27" s="170" t="s">
        <v>48</v>
      </c>
      <c r="BA27" s="139"/>
      <c r="BB27" s="171" t="s">
        <v>48</v>
      </c>
      <c r="BC27" s="4"/>
      <c r="BD27" s="171" t="s">
        <v>48</v>
      </c>
      <c r="BE27" s="4"/>
      <c r="BF27" s="171" t="s">
        <v>48</v>
      </c>
      <c r="BG27" s="4"/>
      <c r="BH27" s="172"/>
    </row>
    <row r="28" spans="1:60" ht="12">
      <c r="B28" s="3"/>
      <c r="C28" s="7">
        <f>+G13</f>
        <v>2006</v>
      </c>
      <c r="D28" s="7"/>
      <c r="E28" s="311">
        <v>3.1E-2</v>
      </c>
      <c r="F28" s="7"/>
      <c r="G28" s="23">
        <f>G29</f>
        <v>305473.07679881854</v>
      </c>
      <c r="H28" s="7"/>
      <c r="I28" s="312">
        <f>$G$15</f>
        <v>187.53573564552991</v>
      </c>
      <c r="J28" s="312"/>
      <c r="K28" s="312">
        <f>$G$16</f>
        <v>12.630108405506199</v>
      </c>
      <c r="L28" s="313"/>
      <c r="M28" s="312">
        <f>$G$17</f>
        <v>3.0220510108288803</v>
      </c>
      <c r="N28" s="7"/>
      <c r="O28" s="314">
        <v>4.9466537342386037</v>
      </c>
      <c r="P28" s="7"/>
      <c r="Q28" s="30">
        <v>-30.620467365028201</v>
      </c>
      <c r="R28" s="7"/>
      <c r="S28" s="23">
        <f>(I28*$G$11*1000+(K28+M28+O28+Q28)*G28)/1000</f>
        <v>15785.995884872487</v>
      </c>
      <c r="T28" s="7"/>
      <c r="U28" s="23">
        <f t="shared" ref="U28:U52" si="0">AX28</f>
        <v>19141.802578211958</v>
      </c>
      <c r="V28" s="7"/>
      <c r="W28" s="23">
        <f t="shared" ref="W28:W52" si="1">S28-U28</f>
        <v>-3355.8066933394712</v>
      </c>
      <c r="X28" s="7"/>
      <c r="Y28" s="315">
        <f>+W28*1000/G28</f>
        <v>-10.985605437004098</v>
      </c>
      <c r="Z28" s="271"/>
      <c r="AB28" s="168">
        <f>$C$28</f>
        <v>2006</v>
      </c>
      <c r="AC28" s="138"/>
      <c r="AD28" s="173">
        <f t="shared" ref="AD28:AD52" si="2">G28</f>
        <v>305473.07679881854</v>
      </c>
      <c r="AE28" s="4"/>
      <c r="AF28" s="174">
        <f>$AF$15*$AF$16</f>
        <v>56.124791362126246</v>
      </c>
      <c r="AG28" s="316"/>
      <c r="AH28" s="174">
        <f>$AJ$11</f>
        <v>7.9126910299003335</v>
      </c>
      <c r="AI28" s="316"/>
      <c r="AJ28" s="174">
        <f>$AJ$13</f>
        <v>2.2243013100436677</v>
      </c>
      <c r="AK28" s="317"/>
      <c r="AL28" s="175">
        <f>((AF28+AH28)*$AF$11*1000+AJ28*AD28)/1000</f>
        <v>5265.6761171542521</v>
      </c>
      <c r="AM28" s="4"/>
      <c r="AN28" s="176">
        <f>INDEX('(2.2)_Forward_Price_Curve'!$G:$G,MATCH($AB28,'(2.2)_Forward_Price_Curve'!$C:$C,0),1)</f>
        <v>7.2485597127461476</v>
      </c>
      <c r="AO28" s="329"/>
      <c r="AP28" s="176">
        <f>AN28*$AF$14/1000</f>
        <v>52.668189489255148</v>
      </c>
      <c r="AQ28" s="316"/>
      <c r="AR28" s="174">
        <f>$AJ$15</f>
        <v>2.302423580786026</v>
      </c>
      <c r="AS28" s="174"/>
      <c r="AT28" s="175">
        <f t="shared" ref="AT28:AT52" si="3">AL28-BF28</f>
        <v>2349.7602701891287</v>
      </c>
      <c r="AU28" s="317"/>
      <c r="AV28" s="175">
        <f t="shared" ref="AV28:AV52" si="4">(AP28+AR28)*AD28/1000</f>
        <v>16792.042308022828</v>
      </c>
      <c r="AW28" s="318"/>
      <c r="AX28" s="177">
        <f>AT28+AV28</f>
        <v>19141.802578211958</v>
      </c>
      <c r="AZ28" s="168">
        <f>$C$28</f>
        <v>2006</v>
      </c>
      <c r="BA28" s="138"/>
      <c r="BB28" s="174">
        <f>$BD$14*$BD$15</f>
        <v>37.818199999999997</v>
      </c>
      <c r="BC28" s="4"/>
      <c r="BD28" s="174">
        <f>$BB$16</f>
        <v>5.75</v>
      </c>
      <c r="BE28" s="316"/>
      <c r="BF28" s="175">
        <f>(BB28+BD28)*$BD$11</f>
        <v>2915.9158469651234</v>
      </c>
      <c r="BG28" s="316"/>
      <c r="BH28" s="178"/>
    </row>
    <row r="29" spans="1:60" ht="12">
      <c r="B29" s="3"/>
      <c r="C29" s="7">
        <f>+IF(C28&gt;$G$13+$G$14,XX,C28+1)</f>
        <v>2007</v>
      </c>
      <c r="D29" s="7"/>
      <c r="E29" s="311">
        <v>1.9E-2</v>
      </c>
      <c r="F29" s="7"/>
      <c r="G29" s="23">
        <v>305473.07679881854</v>
      </c>
      <c r="H29" s="7"/>
      <c r="I29" s="30">
        <f>I28*(1+$E29)</f>
        <v>191.09891462279495</v>
      </c>
      <c r="J29" s="7"/>
      <c r="K29" s="30">
        <f>K28*(1+$E29)</f>
        <v>12.870080465210815</v>
      </c>
      <c r="L29" s="7"/>
      <c r="M29" s="30">
        <f>M28*(1+$E29)</f>
        <v>3.0794699800346286</v>
      </c>
      <c r="N29" s="7"/>
      <c r="O29" s="314">
        <v>5.0999999999999996</v>
      </c>
      <c r="P29" s="7"/>
      <c r="Q29" s="30">
        <v>-31.232876712328764</v>
      </c>
      <c r="R29" s="7"/>
      <c r="S29" s="23">
        <f t="shared" ref="S29:S52" si="5">(I29*$G$11*1000+(K29+M29+O29+Q29)*G29)/1000</f>
        <v>16094.708912738723</v>
      </c>
      <c r="T29" s="7"/>
      <c r="U29" s="23">
        <f t="shared" si="0"/>
        <v>20932.347502540681</v>
      </c>
      <c r="V29" s="7"/>
      <c r="W29" s="23">
        <f t="shared" si="1"/>
        <v>-4837.638589801958</v>
      </c>
      <c r="X29" s="7"/>
      <c r="Y29" s="315">
        <f t="shared" ref="Y29:Y52" si="6">+W29*1000/G29</f>
        <v>-15.836546514991163</v>
      </c>
      <c r="Z29" s="271"/>
      <c r="AB29" s="168">
        <f>+IF(AB28&gt;$G$13+$G$14,XX,AB28+1)</f>
        <v>2007</v>
      </c>
      <c r="AC29" s="138"/>
      <c r="AD29" s="173">
        <f t="shared" si="2"/>
        <v>305473.07679881854</v>
      </c>
      <c r="AE29" s="4"/>
      <c r="AF29" s="176">
        <f>AF28*(1+$E29)</f>
        <v>57.191162398006639</v>
      </c>
      <c r="AG29" s="4"/>
      <c r="AH29" s="176">
        <f>AH28*(1+$E29)</f>
        <v>8.0630321594684382</v>
      </c>
      <c r="AI29" s="4"/>
      <c r="AJ29" s="176">
        <f>AJ28*(1+$E29)</f>
        <v>2.2665630349344972</v>
      </c>
      <c r="AK29" s="4"/>
      <c r="AL29" s="175">
        <f t="shared" ref="AL29:AL52" si="7">((AF29+AH29)*$AF$11*1000+AJ29*AD29)/1000</f>
        <v>5365.7239633801828</v>
      </c>
      <c r="AM29" s="4"/>
      <c r="AN29" s="176">
        <f>INDEX('(2.2)_Forward_Price_Curve'!$G:$G,MATCH($AB29,'(2.2)_Forward_Price_Curve'!$C:$C,0),1)</f>
        <v>8.0291312655031408</v>
      </c>
      <c r="AO29" s="4"/>
      <c r="AP29" s="176">
        <f t="shared" ref="AP29:AP52" si="8">AN29*$AF$14/1000</f>
        <v>58.339839041680825</v>
      </c>
      <c r="AQ29" s="4"/>
      <c r="AR29" s="176">
        <f>AR28*(1+$E29)</f>
        <v>2.3461696288209604</v>
      </c>
      <c r="AS29" s="176"/>
      <c r="AT29" s="175">
        <f t="shared" si="3"/>
        <v>2394.4057153227227</v>
      </c>
      <c r="AU29" s="4"/>
      <c r="AV29" s="175">
        <f t="shared" si="4"/>
        <v>18537.941787217958</v>
      </c>
      <c r="AW29" s="318"/>
      <c r="AX29" s="177">
        <f t="shared" ref="AX29:AX52" si="9">AT29+AV29</f>
        <v>20932.347502540681</v>
      </c>
      <c r="AZ29" s="168">
        <f>+IF(AZ28&gt;$G$13+$G$14,XX,AZ28+1)</f>
        <v>2007</v>
      </c>
      <c r="BA29" s="138"/>
      <c r="BB29" s="176">
        <f>BB28*(1+$E29)</f>
        <v>38.536745799999991</v>
      </c>
      <c r="BC29" s="4"/>
      <c r="BD29" s="176">
        <f>BD28*(1+$E29)</f>
        <v>5.8592499999999994</v>
      </c>
      <c r="BE29" s="4"/>
      <c r="BF29" s="175">
        <f t="shared" ref="BF29:BF51" si="10">(BB29+BD29)*$BD$11</f>
        <v>2971.3182480574601</v>
      </c>
      <c r="BG29" s="4"/>
      <c r="BH29" s="179"/>
    </row>
    <row r="30" spans="1:60" ht="12">
      <c r="B30" s="3"/>
      <c r="C30" s="7">
        <f>+IF(C29&gt;$G$13+$G$14,XX,C29+1)</f>
        <v>2008</v>
      </c>
      <c r="D30" s="7"/>
      <c r="E30" s="311">
        <v>1.7000000000000001E-2</v>
      </c>
      <c r="F30" s="7"/>
      <c r="G30" s="23">
        <v>306096.90139893163</v>
      </c>
      <c r="H30" s="7"/>
      <c r="I30" s="30">
        <f t="shared" ref="I30:I52" si="11">I29*(1+$E30)</f>
        <v>194.34759617138243</v>
      </c>
      <c r="J30" s="7"/>
      <c r="K30" s="30">
        <f t="shared" ref="K30:K52" si="12">K29*(1+$E30)</f>
        <v>13.088871833119399</v>
      </c>
      <c r="L30" s="7"/>
      <c r="M30" s="30">
        <f t="shared" ref="M30:M52" si="13">M29*(1+$E30)</f>
        <v>3.1318209696952168</v>
      </c>
      <c r="N30" s="7"/>
      <c r="O30" s="314">
        <v>5.1866999999999992</v>
      </c>
      <c r="P30" s="7"/>
      <c r="Q30" s="30">
        <v>-31.857534246575337</v>
      </c>
      <c r="R30" s="7"/>
      <c r="S30" s="23">
        <f t="shared" si="5"/>
        <v>16333.177500108217</v>
      </c>
      <c r="T30" s="7"/>
      <c r="U30" s="23">
        <f t="shared" si="0"/>
        <v>20894.644842978014</v>
      </c>
      <c r="V30" s="7"/>
      <c r="W30" s="23">
        <f t="shared" si="1"/>
        <v>-4561.467342869797</v>
      </c>
      <c r="X30" s="7"/>
      <c r="Y30" s="315">
        <f t="shared" si="6"/>
        <v>-14.902036975947375</v>
      </c>
      <c r="Z30" s="271"/>
      <c r="AB30" s="168">
        <f>+IF(AB29&gt;$G$13+$G$14,XX,AB29+1)</f>
        <v>2008</v>
      </c>
      <c r="AC30" s="138"/>
      <c r="AD30" s="173">
        <f t="shared" si="2"/>
        <v>306096.90139893163</v>
      </c>
      <c r="AE30" s="4"/>
      <c r="AF30" s="176">
        <f t="shared" ref="AF30:AF52" si="14">AF29*(1+$E30)</f>
        <v>58.163412158772744</v>
      </c>
      <c r="AG30" s="4"/>
      <c r="AH30" s="176">
        <f t="shared" ref="AH30:AH52" si="15">AH29*(1+$E30)</f>
        <v>8.2001037061794015</v>
      </c>
      <c r="AI30" s="4"/>
      <c r="AJ30" s="176">
        <f t="shared" ref="AJ30:AJ52" si="16">AJ29*(1+$E30)</f>
        <v>2.3050946065283835</v>
      </c>
      <c r="AK30" s="4"/>
      <c r="AL30" s="175">
        <f t="shared" si="7"/>
        <v>5458.3792454787863</v>
      </c>
      <c r="AM30" s="4"/>
      <c r="AN30" s="176">
        <f>INDEX('(2.2)_Forward_Price_Curve'!$G:$G,MATCH($AB30,'(2.2)_Forward_Price_Curve'!$C:$C,0),1)</f>
        <v>7.9707205782722266</v>
      </c>
      <c r="AO30" s="4"/>
      <c r="AP30" s="176">
        <f t="shared" si="8"/>
        <v>57.915425742323464</v>
      </c>
      <c r="AQ30" s="4"/>
      <c r="AR30" s="176">
        <f t="shared" ref="AR30:AR52" si="17">AR29*(1+$E30)</f>
        <v>2.3860545125109165</v>
      </c>
      <c r="AS30" s="176"/>
      <c r="AT30" s="175">
        <f t="shared" si="3"/>
        <v>2436.5485872043496</v>
      </c>
      <c r="AU30" s="4"/>
      <c r="AV30" s="175">
        <f t="shared" si="4"/>
        <v>18458.096255773664</v>
      </c>
      <c r="AW30" s="318"/>
      <c r="AX30" s="177">
        <f t="shared" si="9"/>
        <v>20894.644842978014</v>
      </c>
      <c r="AZ30" s="168">
        <f>+IF(AZ29&gt;$G$13+$G$14,XX,AZ29+1)</f>
        <v>2008</v>
      </c>
      <c r="BA30" s="138"/>
      <c r="BB30" s="176">
        <f t="shared" ref="BB30:BB52" si="18">BB29*(1+$E30)</f>
        <v>39.191870478599988</v>
      </c>
      <c r="BC30" s="4"/>
      <c r="BD30" s="176">
        <f t="shared" ref="BD30:BD52" si="19">BD29*(1+$E30)</f>
        <v>5.9588572499999986</v>
      </c>
      <c r="BE30" s="4"/>
      <c r="BF30" s="175">
        <f t="shared" si="10"/>
        <v>3021.8306582744367</v>
      </c>
      <c r="BG30" s="4"/>
      <c r="BH30" s="179"/>
    </row>
    <row r="31" spans="1:60" ht="12">
      <c r="B31" s="3"/>
      <c r="C31" s="7">
        <f>+IF(C30&gt;$G$13+$G$14,XX,C30+1)</f>
        <v>2009</v>
      </c>
      <c r="D31" s="7"/>
      <c r="E31" s="311">
        <v>1.7000000000000001E-2</v>
      </c>
      <c r="F31" s="7"/>
      <c r="G31" s="23">
        <v>305473.07679881854</v>
      </c>
      <c r="H31" s="7"/>
      <c r="I31" s="30">
        <f t="shared" si="11"/>
        <v>197.65150530629592</v>
      </c>
      <c r="J31" s="7"/>
      <c r="K31" s="30">
        <f t="shared" si="12"/>
        <v>13.311382654282427</v>
      </c>
      <c r="L31" s="7"/>
      <c r="M31" s="30">
        <f t="shared" si="13"/>
        <v>3.185061926180035</v>
      </c>
      <c r="N31" s="7"/>
      <c r="O31" s="314">
        <v>5.2748738999999985</v>
      </c>
      <c r="P31" s="7"/>
      <c r="Q31" s="30">
        <v>-32.494684931506839</v>
      </c>
      <c r="R31" s="7"/>
      <c r="S31" s="23">
        <f t="shared" si="5"/>
        <v>16588.27653984099</v>
      </c>
      <c r="T31" s="7"/>
      <c r="U31" s="23">
        <f t="shared" si="0"/>
        <v>20476.7978363478</v>
      </c>
      <c r="V31" s="7"/>
      <c r="W31" s="23">
        <f t="shared" si="1"/>
        <v>-3888.5212965068094</v>
      </c>
      <c r="X31" s="7"/>
      <c r="Y31" s="315">
        <f t="shared" si="6"/>
        <v>-12.729505779220439</v>
      </c>
      <c r="Z31" s="271"/>
      <c r="AB31" s="168">
        <f>+IF(AB30&gt;$G$13+$G$14,XX,AB30+1)</f>
        <v>2009</v>
      </c>
      <c r="AC31" s="138"/>
      <c r="AD31" s="173">
        <f t="shared" si="2"/>
        <v>305473.07679881854</v>
      </c>
      <c r="AE31" s="4"/>
      <c r="AF31" s="176">
        <f t="shared" si="14"/>
        <v>59.152190165471872</v>
      </c>
      <c r="AG31" s="4"/>
      <c r="AH31" s="176">
        <f t="shared" si="15"/>
        <v>8.3395054691844503</v>
      </c>
      <c r="AI31" s="4"/>
      <c r="AJ31" s="176">
        <f t="shared" si="16"/>
        <v>2.3442812148393659</v>
      </c>
      <c r="AK31" s="4"/>
      <c r="AL31" s="175">
        <f t="shared" si="7"/>
        <v>5549.7092723605238</v>
      </c>
      <c r="AM31" s="4"/>
      <c r="AN31" s="176">
        <f>INDEX('(2.2)_Forward_Price_Curve'!$G:$G,MATCH($AB31,'(2.2)_Forward_Price_Curve'!$C:$C,0),1)</f>
        <v>7.7758276535043622</v>
      </c>
      <c r="AO31" s="4"/>
      <c r="AP31" s="176">
        <f t="shared" si="8"/>
        <v>56.499329593768707</v>
      </c>
      <c r="AQ31" s="4"/>
      <c r="AR31" s="176">
        <f t="shared" si="17"/>
        <v>2.4266174392236017</v>
      </c>
      <c r="AS31" s="176"/>
      <c r="AT31" s="175">
        <f t="shared" si="3"/>
        <v>2476.5074928954223</v>
      </c>
      <c r="AU31" s="4"/>
      <c r="AV31" s="175">
        <f t="shared" si="4"/>
        <v>18000.290343452376</v>
      </c>
      <c r="AW31" s="318"/>
      <c r="AX31" s="177">
        <f t="shared" si="9"/>
        <v>20476.7978363478</v>
      </c>
      <c r="AZ31" s="168">
        <f>+IF(AZ30&gt;$G$13+$G$14,XX,AZ30+1)</f>
        <v>2009</v>
      </c>
      <c r="BA31" s="138"/>
      <c r="BB31" s="176">
        <f t="shared" si="18"/>
        <v>39.858132276736185</v>
      </c>
      <c r="BC31" s="4"/>
      <c r="BD31" s="176">
        <f t="shared" si="19"/>
        <v>6.0601578232499982</v>
      </c>
      <c r="BE31" s="4"/>
      <c r="BF31" s="175">
        <f t="shared" si="10"/>
        <v>3073.2017794651015</v>
      </c>
      <c r="BG31" s="4"/>
      <c r="BH31" s="179"/>
    </row>
    <row r="32" spans="1:60" ht="12">
      <c r="B32" s="3"/>
      <c r="C32" s="7">
        <f>+IF(C31&gt;$G$13+$G$14,XX,C31+1)</f>
        <v>2010</v>
      </c>
      <c r="D32" s="7"/>
      <c r="E32" s="311">
        <v>1.9E-2</v>
      </c>
      <c r="F32" s="7"/>
      <c r="G32" s="23">
        <v>305473.07679881854</v>
      </c>
      <c r="H32" s="7"/>
      <c r="I32" s="30">
        <f t="shared" si="11"/>
        <v>201.40688390711551</v>
      </c>
      <c r="J32" s="7"/>
      <c r="K32" s="30">
        <f t="shared" si="12"/>
        <v>13.564298924713793</v>
      </c>
      <c r="L32" s="7"/>
      <c r="M32" s="30">
        <f t="shared" si="13"/>
        <v>3.2455781027774555</v>
      </c>
      <c r="N32" s="7"/>
      <c r="O32" s="314">
        <v>5.3750965040999983</v>
      </c>
      <c r="P32" s="7"/>
      <c r="Q32" s="30">
        <v>-33.144578630136984</v>
      </c>
      <c r="R32" s="7"/>
      <c r="S32" s="23">
        <f t="shared" si="5"/>
        <v>16893.527542712323</v>
      </c>
      <c r="T32" s="7"/>
      <c r="U32" s="23">
        <f t="shared" si="0"/>
        <v>19875.654862083324</v>
      </c>
      <c r="V32" s="7"/>
      <c r="W32" s="23">
        <f t="shared" si="1"/>
        <v>-2982.1273193710003</v>
      </c>
      <c r="X32" s="7"/>
      <c r="Y32" s="315">
        <f t="shared" si="6"/>
        <v>-9.7623245577710893</v>
      </c>
      <c r="Z32" s="271"/>
      <c r="AB32" s="168">
        <f>+IF(AB31&gt;$G$13+$G$14,XX,AB31+1)</f>
        <v>2010</v>
      </c>
      <c r="AC32" s="138"/>
      <c r="AD32" s="173">
        <f t="shared" si="2"/>
        <v>305473.07679881854</v>
      </c>
      <c r="AE32" s="4"/>
      <c r="AF32" s="176">
        <f t="shared" si="14"/>
        <v>60.276081778615833</v>
      </c>
      <c r="AG32" s="4"/>
      <c r="AH32" s="176">
        <f t="shared" si="15"/>
        <v>8.4979560730989547</v>
      </c>
      <c r="AI32" s="4"/>
      <c r="AJ32" s="176">
        <f t="shared" si="16"/>
        <v>2.3888225579213138</v>
      </c>
      <c r="AK32" s="4"/>
      <c r="AL32" s="175">
        <f t="shared" si="7"/>
        <v>5655.1537485353738</v>
      </c>
      <c r="AM32" s="4"/>
      <c r="AN32" s="176">
        <f>INDEX('(2.2)_Forward_Price_Curve'!$G:$G,MATCH($AB32,'(2.2)_Forward_Price_Curve'!$C:$C,0),1)</f>
        <v>7.4774457529777205</v>
      </c>
      <c r="AO32" s="4"/>
      <c r="AP32" s="176">
        <f t="shared" si="8"/>
        <v>54.331280339864243</v>
      </c>
      <c r="AQ32" s="4"/>
      <c r="AR32" s="176">
        <f t="shared" si="17"/>
        <v>2.4727231705688499</v>
      </c>
      <c r="AS32" s="176"/>
      <c r="AT32" s="175">
        <f t="shared" si="3"/>
        <v>2523.5611352604351</v>
      </c>
      <c r="AU32" s="4"/>
      <c r="AV32" s="175">
        <f t="shared" si="4"/>
        <v>17352.093726822888</v>
      </c>
      <c r="AW32" s="318"/>
      <c r="AX32" s="177">
        <f t="shared" si="9"/>
        <v>19875.654862083324</v>
      </c>
      <c r="AZ32" s="168">
        <f>+IF(AZ31&gt;$G$13+$G$14,XX,AZ31+1)</f>
        <v>2010</v>
      </c>
      <c r="BA32" s="138"/>
      <c r="BB32" s="176">
        <f t="shared" si="18"/>
        <v>40.61543678999417</v>
      </c>
      <c r="BC32" s="4"/>
      <c r="BD32" s="176">
        <f t="shared" si="19"/>
        <v>6.1753008218917476</v>
      </c>
      <c r="BE32" s="4"/>
      <c r="BF32" s="175">
        <f t="shared" si="10"/>
        <v>3131.5926132749387</v>
      </c>
      <c r="BG32" s="4"/>
      <c r="BH32" s="179"/>
    </row>
    <row r="33" spans="2:60" ht="12">
      <c r="B33" s="3"/>
      <c r="C33" s="7">
        <f>+IF(C32&gt;$G$13+$G$14,XX,C32+1)</f>
        <v>2011</v>
      </c>
      <c r="D33" s="7"/>
      <c r="E33" s="311">
        <v>1.9E-2</v>
      </c>
      <c r="F33" s="7"/>
      <c r="G33" s="23">
        <v>305473.07679881854</v>
      </c>
      <c r="H33" s="7"/>
      <c r="I33" s="30">
        <f t="shared" si="11"/>
        <v>205.23361470135069</v>
      </c>
      <c r="J33" s="7"/>
      <c r="K33" s="30">
        <f t="shared" si="12"/>
        <v>13.822020604283354</v>
      </c>
      <c r="L33" s="7"/>
      <c r="M33" s="30">
        <f t="shared" si="13"/>
        <v>3.3072440867302269</v>
      </c>
      <c r="N33" s="7"/>
      <c r="O33" s="314">
        <v>5.4772233376778976</v>
      </c>
      <c r="P33" s="7"/>
      <c r="Q33" s="30">
        <v>-33.807470202739722</v>
      </c>
      <c r="R33" s="7"/>
      <c r="S33" s="23">
        <f t="shared" si="5"/>
        <v>17204.379789610506</v>
      </c>
      <c r="T33" s="7"/>
      <c r="U33" s="23">
        <f t="shared" si="0"/>
        <v>19060.551893977183</v>
      </c>
      <c r="V33" s="7"/>
      <c r="W33" s="23">
        <f t="shared" si="1"/>
        <v>-1856.1721043666766</v>
      </c>
      <c r="X33" s="7"/>
      <c r="Y33" s="315">
        <f t="shared" si="6"/>
        <v>-6.076385270408406</v>
      </c>
      <c r="Z33" s="271"/>
      <c r="AB33" s="168">
        <f>+IF(AB32&gt;$G$13+$G$14,XX,AB32+1)</f>
        <v>2011</v>
      </c>
      <c r="AC33" s="138"/>
      <c r="AD33" s="173">
        <f t="shared" si="2"/>
        <v>305473.07679881854</v>
      </c>
      <c r="AE33" s="4"/>
      <c r="AF33" s="176">
        <f t="shared" si="14"/>
        <v>61.421327332409525</v>
      </c>
      <c r="AG33" s="4"/>
      <c r="AH33" s="176">
        <f t="shared" si="15"/>
        <v>8.6594172384878334</v>
      </c>
      <c r="AI33" s="4"/>
      <c r="AJ33" s="176">
        <f t="shared" si="16"/>
        <v>2.4342101865218186</v>
      </c>
      <c r="AK33" s="4"/>
      <c r="AL33" s="175">
        <f t="shared" si="7"/>
        <v>5762.6016697575469</v>
      </c>
      <c r="AM33" s="4"/>
      <c r="AN33" s="176">
        <f>INDEX('(2.2)_Forward_Price_Curve'!$G:$G,MATCH($AB33,'(2.2)_Forward_Price_Curve'!$C:$C,0),1)</f>
        <v>7.0821436233211914</v>
      </c>
      <c r="AO33" s="4"/>
      <c r="AP33" s="176">
        <f t="shared" si="8"/>
        <v>51.459006633731178</v>
      </c>
      <c r="AQ33" s="4"/>
      <c r="AR33" s="176">
        <f t="shared" si="17"/>
        <v>2.5197049108096579</v>
      </c>
      <c r="AS33" s="176"/>
      <c r="AT33" s="175">
        <f t="shared" si="3"/>
        <v>2571.5087968303851</v>
      </c>
      <c r="AU33" s="4"/>
      <c r="AV33" s="175">
        <f t="shared" si="4"/>
        <v>16489.043097146798</v>
      </c>
      <c r="AW33" s="318"/>
      <c r="AX33" s="177">
        <f t="shared" si="9"/>
        <v>19060.551893977183</v>
      </c>
      <c r="AZ33" s="168">
        <f>+IF(AZ32&gt;$G$13+$G$14,XX,AZ32+1)</f>
        <v>2011</v>
      </c>
      <c r="BA33" s="138"/>
      <c r="BB33" s="176">
        <f t="shared" si="18"/>
        <v>41.387130089004053</v>
      </c>
      <c r="BC33" s="4"/>
      <c r="BD33" s="176">
        <f t="shared" si="19"/>
        <v>6.29263153750769</v>
      </c>
      <c r="BE33" s="4"/>
      <c r="BF33" s="175">
        <f t="shared" si="10"/>
        <v>3191.0928729271618</v>
      </c>
      <c r="BG33" s="4"/>
      <c r="BH33" s="179"/>
    </row>
    <row r="34" spans="2:60" ht="12">
      <c r="B34" s="3"/>
      <c r="C34" s="7">
        <f>+IF(C33&gt;$G$13+$G$14,XX,C33+1)</f>
        <v>2012</v>
      </c>
      <c r="D34" s="7"/>
      <c r="E34" s="311">
        <v>0.02</v>
      </c>
      <c r="F34" s="7"/>
      <c r="G34" s="23">
        <v>306096.90139893163</v>
      </c>
      <c r="H34" s="7"/>
      <c r="I34" s="30">
        <f t="shared" si="11"/>
        <v>209.3382869953777</v>
      </c>
      <c r="J34" s="7"/>
      <c r="K34" s="30">
        <f t="shared" si="12"/>
        <v>14.098461016369022</v>
      </c>
      <c r="L34" s="7"/>
      <c r="M34" s="30">
        <f t="shared" si="13"/>
        <v>3.3733889684648313</v>
      </c>
      <c r="N34" s="7"/>
      <c r="O34" s="314">
        <v>5.5867678044314557</v>
      </c>
      <c r="P34" s="7"/>
      <c r="Q34" s="30">
        <v>-34.48361960679452</v>
      </c>
      <c r="R34" s="7"/>
      <c r="S34" s="23">
        <f t="shared" si="5"/>
        <v>17541.340188212605</v>
      </c>
      <c r="T34" s="7"/>
      <c r="U34" s="23">
        <f t="shared" si="0"/>
        <v>18318.194854876459</v>
      </c>
      <c r="V34" s="7"/>
      <c r="W34" s="23">
        <f t="shared" si="1"/>
        <v>-776.854666663854</v>
      </c>
      <c r="X34" s="7"/>
      <c r="Y34" s="315">
        <f t="shared" si="6"/>
        <v>-2.5379370490633968</v>
      </c>
      <c r="Z34" s="271"/>
      <c r="AB34" s="168">
        <f>+IF(AB33&gt;$G$13+$G$14,XX,AB33+1)</f>
        <v>2012</v>
      </c>
      <c r="AC34" s="138"/>
      <c r="AD34" s="173">
        <f t="shared" si="2"/>
        <v>306096.90139893163</v>
      </c>
      <c r="AE34" s="4"/>
      <c r="AF34" s="176">
        <f t="shared" si="14"/>
        <v>62.64975387905772</v>
      </c>
      <c r="AG34" s="4"/>
      <c r="AH34" s="176">
        <f t="shared" si="15"/>
        <v>8.8326055832575907</v>
      </c>
      <c r="AI34" s="4"/>
      <c r="AJ34" s="176">
        <f t="shared" si="16"/>
        <v>2.4828943902522549</v>
      </c>
      <c r="AK34" s="4"/>
      <c r="AL34" s="175">
        <f t="shared" si="7"/>
        <v>5879.4025937528195</v>
      </c>
      <c r="AM34" s="4"/>
      <c r="AN34" s="176">
        <f>INDEX('(2.2)_Forward_Price_Curve'!$G:$G,MATCH($AB34,'(2.2)_Forward_Price_Curve'!$C:$C,0),1)</f>
        <v>6.7024699037828679</v>
      </c>
      <c r="AO34" s="4"/>
      <c r="AP34" s="176">
        <f t="shared" si="8"/>
        <v>48.700289288881038</v>
      </c>
      <c r="AQ34" s="4"/>
      <c r="AR34" s="176">
        <f t="shared" si="17"/>
        <v>2.5700990090258511</v>
      </c>
      <c r="AS34" s="176"/>
      <c r="AT34" s="175">
        <f t="shared" si="3"/>
        <v>2624.4878633671146</v>
      </c>
      <c r="AU34" s="4"/>
      <c r="AV34" s="175">
        <f t="shared" si="4"/>
        <v>15693.706991509345</v>
      </c>
      <c r="AW34" s="318"/>
      <c r="AX34" s="177">
        <f t="shared" si="9"/>
        <v>18318.194854876459</v>
      </c>
      <c r="AZ34" s="168">
        <f>+IF(AZ33&gt;$G$13+$G$14,XX,AZ33+1)</f>
        <v>2012</v>
      </c>
      <c r="BA34" s="138"/>
      <c r="BB34" s="176">
        <f t="shared" si="18"/>
        <v>42.214872690784134</v>
      </c>
      <c r="BC34" s="4"/>
      <c r="BD34" s="176">
        <f t="shared" si="19"/>
        <v>6.4184841682578435</v>
      </c>
      <c r="BE34" s="4"/>
      <c r="BF34" s="175">
        <f t="shared" si="10"/>
        <v>3254.9147303857048</v>
      </c>
      <c r="BG34" s="4"/>
      <c r="BH34" s="179"/>
    </row>
    <row r="35" spans="2:60" ht="12">
      <c r="B35" s="3"/>
      <c r="C35" s="7">
        <f>+IF(C34&gt;$G$13+$G$14,XX,C34+1)</f>
        <v>2013</v>
      </c>
      <c r="D35" s="7"/>
      <c r="E35" s="311">
        <v>1.9E-2</v>
      </c>
      <c r="F35" s="7"/>
      <c r="G35" s="23">
        <v>305473.07679881854</v>
      </c>
      <c r="H35" s="7"/>
      <c r="I35" s="30">
        <f t="shared" si="11"/>
        <v>213.31571444828987</v>
      </c>
      <c r="J35" s="7"/>
      <c r="K35" s="30">
        <f t="shared" si="12"/>
        <v>14.366331775680033</v>
      </c>
      <c r="L35" s="7"/>
      <c r="M35" s="30">
        <f t="shared" si="13"/>
        <v>3.4374833588656628</v>
      </c>
      <c r="N35" s="7"/>
      <c r="O35" s="314">
        <v>5.6929163927156532</v>
      </c>
      <c r="P35" s="7"/>
      <c r="Q35" s="30">
        <v>-35.173291998930409</v>
      </c>
      <c r="R35" s="7"/>
      <c r="S35" s="23">
        <f t="shared" si="5"/>
        <v>17871.354448344919</v>
      </c>
      <c r="T35" s="7"/>
      <c r="U35" s="23">
        <f t="shared" si="0"/>
        <v>18342.811616613639</v>
      </c>
      <c r="V35" s="7"/>
      <c r="W35" s="23">
        <f t="shared" si="1"/>
        <v>-471.45716826872012</v>
      </c>
      <c r="X35" s="7"/>
      <c r="Y35" s="315">
        <f t="shared" si="6"/>
        <v>-1.5433673343959444</v>
      </c>
      <c r="Z35" s="271"/>
      <c r="AB35" s="168">
        <f>+IF(AB34&gt;$G$13+$G$14,XX,AB34+1)</f>
        <v>2013</v>
      </c>
      <c r="AC35" s="138"/>
      <c r="AD35" s="173">
        <f t="shared" si="2"/>
        <v>305473.07679881854</v>
      </c>
      <c r="AE35" s="4"/>
      <c r="AF35" s="176">
        <f t="shared" si="14"/>
        <v>63.840099202759809</v>
      </c>
      <c r="AG35" s="4"/>
      <c r="AH35" s="176">
        <f t="shared" si="15"/>
        <v>9.0004250893394833</v>
      </c>
      <c r="AI35" s="4"/>
      <c r="AJ35" s="176">
        <f t="shared" si="16"/>
        <v>2.5300693836670476</v>
      </c>
      <c r="AK35" s="4"/>
      <c r="AL35" s="175">
        <f t="shared" si="7"/>
        <v>5989.5329235125964</v>
      </c>
      <c r="AM35" s="4"/>
      <c r="AN35" s="176">
        <f>INDEX('(2.2)_Forward_Price_Curve'!$G:$G,MATCH($AB35,'(2.2)_Forward_Price_Curve'!$C:$C,0),1)</f>
        <v>6.6994948806584134</v>
      </c>
      <c r="AO35" s="4"/>
      <c r="AP35" s="176">
        <f t="shared" si="8"/>
        <v>48.678672707399592</v>
      </c>
      <c r="AQ35" s="4"/>
      <c r="AR35" s="176">
        <f t="shared" si="17"/>
        <v>2.6189308901973418</v>
      </c>
      <c r="AS35" s="176"/>
      <c r="AT35" s="175">
        <f t="shared" si="3"/>
        <v>2672.7748132495635</v>
      </c>
      <c r="AU35" s="4"/>
      <c r="AV35" s="175">
        <f t="shared" si="4"/>
        <v>15670.036803364077</v>
      </c>
      <c r="AW35" s="318"/>
      <c r="AX35" s="177">
        <f t="shared" si="9"/>
        <v>18342.811616613639</v>
      </c>
      <c r="AZ35" s="168">
        <f>+IF(AZ34&gt;$G$13+$G$14,XX,AZ34+1)</f>
        <v>2013</v>
      </c>
      <c r="BA35" s="138"/>
      <c r="BB35" s="176">
        <f t="shared" si="18"/>
        <v>43.016955271909026</v>
      </c>
      <c r="BC35" s="4"/>
      <c r="BD35" s="176">
        <f t="shared" si="19"/>
        <v>6.5404353674547417</v>
      </c>
      <c r="BE35" s="4"/>
      <c r="BF35" s="175">
        <f t="shared" si="10"/>
        <v>3316.7581102630329</v>
      </c>
      <c r="BG35" s="4"/>
      <c r="BH35" s="179"/>
    </row>
    <row r="36" spans="2:60" ht="12">
      <c r="B36" s="3"/>
      <c r="C36" s="7">
        <f>+IF(C35&gt;$G$13+$G$14,XX,C35+1)</f>
        <v>2014</v>
      </c>
      <c r="D36" s="7"/>
      <c r="E36" s="311">
        <v>1.7999999999999999E-2</v>
      </c>
      <c r="F36" s="7"/>
      <c r="G36" s="23">
        <v>305473.07679881854</v>
      </c>
      <c r="H36" s="7"/>
      <c r="I36" s="30">
        <f t="shared" si="11"/>
        <v>217.15539730835908</v>
      </c>
      <c r="J36" s="7"/>
      <c r="K36" s="30">
        <f t="shared" si="12"/>
        <v>14.624925747642274</v>
      </c>
      <c r="L36" s="7"/>
      <c r="M36" s="30">
        <f t="shared" si="13"/>
        <v>3.4993580593252447</v>
      </c>
      <c r="N36" s="7"/>
      <c r="O36" s="314">
        <v>5.7953888877845348</v>
      </c>
      <c r="P36" s="7"/>
      <c r="Q36" s="30">
        <v>-35.876757838909015</v>
      </c>
      <c r="R36" s="7"/>
      <c r="S36" s="23">
        <f t="shared" si="5"/>
        <v>18171.549840959015</v>
      </c>
      <c r="T36" s="7"/>
      <c r="U36" s="23">
        <f t="shared" si="0"/>
        <v>18881.450804220665</v>
      </c>
      <c r="V36" s="7"/>
      <c r="W36" s="23">
        <f t="shared" si="1"/>
        <v>-709.90096326165076</v>
      </c>
      <c r="X36" s="7"/>
      <c r="Y36" s="315">
        <f t="shared" si="6"/>
        <v>-2.3239395455108611</v>
      </c>
      <c r="Z36" s="271"/>
      <c r="AB36" s="168">
        <f>+IF(AB35&gt;$G$13+$G$14,XX,AB35+1)</f>
        <v>2014</v>
      </c>
      <c r="AC36" s="138"/>
      <c r="AD36" s="173">
        <f t="shared" si="2"/>
        <v>305473.07679881854</v>
      </c>
      <c r="AE36" s="4"/>
      <c r="AF36" s="176">
        <f t="shared" si="14"/>
        <v>64.989220988409485</v>
      </c>
      <c r="AG36" s="4"/>
      <c r="AH36" s="176">
        <f t="shared" si="15"/>
        <v>9.1624327409475939</v>
      </c>
      <c r="AI36" s="4"/>
      <c r="AJ36" s="176">
        <f t="shared" si="16"/>
        <v>2.5756106325730546</v>
      </c>
      <c r="AK36" s="4"/>
      <c r="AL36" s="175">
        <f t="shared" si="7"/>
        <v>6097.3445161358241</v>
      </c>
      <c r="AM36" s="4"/>
      <c r="AN36" s="176">
        <f>INDEX('(2.2)_Forward_Price_Curve'!$G:$G,MATCH($AB36,'(2.2)_Forward_Price_Curve'!$C:$C,0),1)</f>
        <v>6.9140085811973453</v>
      </c>
      <c r="AO36" s="4"/>
      <c r="AP36" s="176">
        <f t="shared" si="8"/>
        <v>50.2373338312307</v>
      </c>
      <c r="AQ36" s="4"/>
      <c r="AR36" s="176">
        <f t="shared" si="17"/>
        <v>2.6660716462208942</v>
      </c>
      <c r="AS36" s="176"/>
      <c r="AT36" s="175">
        <f t="shared" si="3"/>
        <v>2720.8847598880566</v>
      </c>
      <c r="AU36" s="4"/>
      <c r="AV36" s="175">
        <f t="shared" si="4"/>
        <v>16160.566044332609</v>
      </c>
      <c r="AW36" s="318"/>
      <c r="AX36" s="177">
        <f t="shared" si="9"/>
        <v>18881.450804220665</v>
      </c>
      <c r="AZ36" s="168">
        <f>+IF(AZ35&gt;$G$13+$G$14,XX,AZ35+1)</f>
        <v>2014</v>
      </c>
      <c r="BA36" s="138"/>
      <c r="BB36" s="176">
        <f t="shared" si="18"/>
        <v>43.791260466803386</v>
      </c>
      <c r="BC36" s="4"/>
      <c r="BD36" s="176">
        <f t="shared" si="19"/>
        <v>6.6581632040689271</v>
      </c>
      <c r="BE36" s="4"/>
      <c r="BF36" s="175">
        <f t="shared" si="10"/>
        <v>3376.4597562477675</v>
      </c>
      <c r="BG36" s="4"/>
      <c r="BH36" s="179"/>
    </row>
    <row r="37" spans="2:60" ht="12">
      <c r="B37" s="3"/>
      <c r="C37" s="7">
        <f>+IF(C36&gt;$G$13+$G$14,XX,C36+1)</f>
        <v>2015</v>
      </c>
      <c r="D37" s="7"/>
      <c r="E37" s="311">
        <v>1.7999999999999999E-2</v>
      </c>
      <c r="F37" s="7"/>
      <c r="G37" s="23">
        <v>305473.07679881854</v>
      </c>
      <c r="H37" s="7"/>
      <c r="I37" s="30">
        <f t="shared" si="11"/>
        <v>221.06419445990954</v>
      </c>
      <c r="J37" s="7"/>
      <c r="K37" s="30">
        <f t="shared" si="12"/>
        <v>14.888174411099836</v>
      </c>
      <c r="L37" s="7"/>
      <c r="M37" s="30">
        <f t="shared" si="13"/>
        <v>3.5623465043930991</v>
      </c>
      <c r="N37" s="7"/>
      <c r="O37" s="314">
        <v>5.8997058877646564</v>
      </c>
      <c r="P37" s="7"/>
      <c r="Q37" s="30">
        <v>-36.594292995687191</v>
      </c>
      <c r="R37" s="7"/>
      <c r="S37" s="23">
        <f t="shared" si="5"/>
        <v>18476.718970891045</v>
      </c>
      <c r="T37" s="7"/>
      <c r="U37" s="23">
        <f t="shared" si="0"/>
        <v>19838.226285512537</v>
      </c>
      <c r="V37" s="7"/>
      <c r="W37" s="23">
        <f t="shared" si="1"/>
        <v>-1361.5073146214927</v>
      </c>
      <c r="X37" s="7"/>
      <c r="Y37" s="315">
        <f t="shared" si="6"/>
        <v>-4.4570452129179543</v>
      </c>
      <c r="Z37" s="271"/>
      <c r="AB37" s="168">
        <f>+IF(AB36&gt;$G$13+$G$14,XX,AB36+1)</f>
        <v>2015</v>
      </c>
      <c r="AC37" s="138"/>
      <c r="AD37" s="173">
        <f t="shared" si="2"/>
        <v>305473.07679881854</v>
      </c>
      <c r="AE37" s="4"/>
      <c r="AF37" s="176">
        <f t="shared" si="14"/>
        <v>66.159026966200855</v>
      </c>
      <c r="AG37" s="4"/>
      <c r="AH37" s="176">
        <f t="shared" si="15"/>
        <v>9.3273565302846499</v>
      </c>
      <c r="AI37" s="4"/>
      <c r="AJ37" s="176">
        <f t="shared" si="16"/>
        <v>2.6219716239593698</v>
      </c>
      <c r="AK37" s="4"/>
      <c r="AL37" s="175">
        <f t="shared" si="7"/>
        <v>6207.0967174262696</v>
      </c>
      <c r="AM37" s="4"/>
      <c r="AN37" s="176">
        <f>INDEX('(2.2)_Forward_Price_Curve'!$G:$G,MATCH($AB37,'(2.2)_Forward_Price_Curve'!$C:$C,0),1)</f>
        <v>7.3164011858738007</v>
      </c>
      <c r="AO37" s="4"/>
      <c r="AP37" s="176">
        <f t="shared" si="8"/>
        <v>53.161127080102943</v>
      </c>
      <c r="AQ37" s="4"/>
      <c r="AR37" s="176">
        <f t="shared" si="17"/>
        <v>2.7140609358528702</v>
      </c>
      <c r="AS37" s="176"/>
      <c r="AT37" s="175">
        <f t="shared" si="3"/>
        <v>2769.8606855660423</v>
      </c>
      <c r="AU37" s="4"/>
      <c r="AV37" s="175">
        <f t="shared" si="4"/>
        <v>17068.365599946494</v>
      </c>
      <c r="AW37" s="318"/>
      <c r="AX37" s="177">
        <f t="shared" si="9"/>
        <v>19838.226285512537</v>
      </c>
      <c r="AZ37" s="168">
        <f>+IF(AZ36&gt;$G$13+$G$14,XX,AZ36+1)</f>
        <v>2015</v>
      </c>
      <c r="BA37" s="138"/>
      <c r="BB37" s="176">
        <f t="shared" si="18"/>
        <v>44.579503155205849</v>
      </c>
      <c r="BC37" s="4"/>
      <c r="BD37" s="176">
        <f t="shared" si="19"/>
        <v>6.7780101417421683</v>
      </c>
      <c r="BE37" s="4"/>
      <c r="BF37" s="175">
        <f t="shared" si="10"/>
        <v>3437.2360318602273</v>
      </c>
      <c r="BG37" s="4"/>
      <c r="BH37" s="179"/>
    </row>
    <row r="38" spans="2:60" ht="12">
      <c r="B38" s="3"/>
      <c r="C38" s="7">
        <f>+IF(C37&gt;$G$13+$G$14,XX,C37+1)</f>
        <v>2016</v>
      </c>
      <c r="D38" s="7"/>
      <c r="E38" s="311">
        <v>1.7999999999999999E-2</v>
      </c>
      <c r="F38" s="7"/>
      <c r="G38" s="23">
        <v>306096.90139893163</v>
      </c>
      <c r="H38" s="7"/>
      <c r="I38" s="30">
        <f t="shared" si="11"/>
        <v>225.04334996018792</v>
      </c>
      <c r="J38" s="7"/>
      <c r="K38" s="30">
        <f t="shared" si="12"/>
        <v>15.156161550499634</v>
      </c>
      <c r="L38" s="7"/>
      <c r="M38" s="30">
        <f t="shared" si="13"/>
        <v>3.6264687414721748</v>
      </c>
      <c r="N38" s="7"/>
      <c r="O38" s="314">
        <v>6.0059005937444203</v>
      </c>
      <c r="P38" s="7"/>
      <c r="Q38" s="30">
        <v>0</v>
      </c>
      <c r="R38" s="7"/>
      <c r="S38" s="23">
        <f t="shared" si="5"/>
        <v>30204.549165348344</v>
      </c>
      <c r="T38" s="7"/>
      <c r="U38" s="23">
        <f t="shared" si="0"/>
        <v>21284.657849604559</v>
      </c>
      <c r="V38" s="7"/>
      <c r="W38" s="23">
        <f t="shared" si="1"/>
        <v>8919.8913157437855</v>
      </c>
      <c r="X38" s="7"/>
      <c r="Y38" s="315">
        <f t="shared" si="6"/>
        <v>29.140743584720646</v>
      </c>
      <c r="Z38" s="271"/>
      <c r="AB38" s="168">
        <f>+IF(AB37&gt;$G$13+$G$14,XX,AB37+1)</f>
        <v>2016</v>
      </c>
      <c r="AC38" s="138"/>
      <c r="AD38" s="173">
        <f t="shared" si="2"/>
        <v>306096.90139893163</v>
      </c>
      <c r="AE38" s="4"/>
      <c r="AF38" s="176">
        <f t="shared" si="14"/>
        <v>67.349889451592475</v>
      </c>
      <c r="AG38" s="4"/>
      <c r="AH38" s="176">
        <f t="shared" si="15"/>
        <v>9.4952489478297739</v>
      </c>
      <c r="AI38" s="4"/>
      <c r="AJ38" s="176">
        <f t="shared" si="16"/>
        <v>2.6691671131906385</v>
      </c>
      <c r="AK38" s="4"/>
      <c r="AL38" s="175">
        <f t="shared" si="7"/>
        <v>6320.4895504469632</v>
      </c>
      <c r="AM38" s="4"/>
      <c r="AN38" s="176">
        <f>INDEX('(2.2)_Forward_Price_Curve'!$G:$G,MATCH($AB38,'(2.2)_Forward_Price_Curve'!$C:$C,0),1)</f>
        <v>7.9211828417083421</v>
      </c>
      <c r="AO38" s="4"/>
      <c r="AP38" s="176">
        <f t="shared" si="8"/>
        <v>57.555483491778489</v>
      </c>
      <c r="AQ38" s="4"/>
      <c r="AR38" s="176">
        <f t="shared" si="17"/>
        <v>2.7629140326982218</v>
      </c>
      <c r="AS38" s="176"/>
      <c r="AT38" s="175">
        <f t="shared" si="3"/>
        <v>2821.3832700132511</v>
      </c>
      <c r="AU38" s="4"/>
      <c r="AV38" s="175">
        <f t="shared" si="4"/>
        <v>18463.274579591307</v>
      </c>
      <c r="AW38" s="318"/>
      <c r="AX38" s="177">
        <f t="shared" si="9"/>
        <v>21284.657849604559</v>
      </c>
      <c r="AZ38" s="168">
        <f>+IF(AZ37&gt;$G$13+$G$14,XX,AZ37+1)</f>
        <v>2016</v>
      </c>
      <c r="BA38" s="138"/>
      <c r="BB38" s="176">
        <f t="shared" si="18"/>
        <v>45.381934211999557</v>
      </c>
      <c r="BC38" s="4"/>
      <c r="BD38" s="176">
        <f t="shared" si="19"/>
        <v>6.9000143242935277</v>
      </c>
      <c r="BE38" s="4"/>
      <c r="BF38" s="175">
        <f t="shared" si="10"/>
        <v>3499.1062804337121</v>
      </c>
      <c r="BG38" s="4"/>
      <c r="BH38" s="179"/>
    </row>
    <row r="39" spans="2:60" ht="12">
      <c r="B39" s="3"/>
      <c r="C39" s="7">
        <f>+IF(C38&gt;$G$13+$G$14,XX,C38+1)</f>
        <v>2017</v>
      </c>
      <c r="D39" s="7"/>
      <c r="E39" s="311">
        <v>1.7999999999999999E-2</v>
      </c>
      <c r="F39" s="7"/>
      <c r="G39" s="23">
        <v>305473.07679881854</v>
      </c>
      <c r="H39" s="7"/>
      <c r="I39" s="30">
        <f t="shared" si="11"/>
        <v>229.09413025947131</v>
      </c>
      <c r="J39" s="7"/>
      <c r="K39" s="30">
        <f t="shared" si="12"/>
        <v>15.428972458408628</v>
      </c>
      <c r="L39" s="7"/>
      <c r="M39" s="30">
        <f t="shared" si="13"/>
        <v>3.6917451788186741</v>
      </c>
      <c r="N39" s="7"/>
      <c r="O39" s="314">
        <v>6.1140068044318197</v>
      </c>
      <c r="P39" s="7"/>
      <c r="Q39" s="30">
        <v>0</v>
      </c>
      <c r="R39" s="7"/>
      <c r="S39" s="23">
        <f t="shared" si="5"/>
        <v>30732.489008440829</v>
      </c>
      <c r="T39" s="7"/>
      <c r="U39" s="23">
        <f t="shared" si="0"/>
        <v>22699.814172911068</v>
      </c>
      <c r="V39" s="7"/>
      <c r="W39" s="23">
        <f t="shared" si="1"/>
        <v>8032.6748355297605</v>
      </c>
      <c r="X39" s="7"/>
      <c r="Y39" s="315">
        <f t="shared" si="6"/>
        <v>26.295852059067052</v>
      </c>
      <c r="Z39" s="271"/>
      <c r="AB39" s="168">
        <f>+IF(AB38&gt;$G$13+$G$14,XX,AB38+1)</f>
        <v>2017</v>
      </c>
      <c r="AC39" s="138"/>
      <c r="AD39" s="173">
        <f t="shared" si="2"/>
        <v>305473.07679881854</v>
      </c>
      <c r="AE39" s="4"/>
      <c r="AF39" s="176">
        <f t="shared" si="14"/>
        <v>68.562187461721138</v>
      </c>
      <c r="AG39" s="4"/>
      <c r="AH39" s="176">
        <f t="shared" si="15"/>
        <v>9.6661634288907106</v>
      </c>
      <c r="AI39" s="4"/>
      <c r="AJ39" s="176">
        <f t="shared" si="16"/>
        <v>2.7172121212280702</v>
      </c>
      <c r="AK39" s="4"/>
      <c r="AL39" s="175">
        <f t="shared" si="7"/>
        <v>6432.5632985900611</v>
      </c>
      <c r="AM39" s="4"/>
      <c r="AN39" s="176">
        <f>INDEX('(2.2)_Forward_Price_Curve'!$G:$G,MATCH($AB39,'(2.2)_Forward_Price_Curve'!$C:$C,0),1)</f>
        <v>8.5467545643478058</v>
      </c>
      <c r="AO39" s="4"/>
      <c r="AP39" s="176">
        <f t="shared" si="8"/>
        <v>62.100900972324112</v>
      </c>
      <c r="AQ39" s="4"/>
      <c r="AR39" s="176">
        <f t="shared" si="17"/>
        <v>2.8126464852867898</v>
      </c>
      <c r="AS39" s="176"/>
      <c r="AT39" s="175">
        <f t="shared" si="3"/>
        <v>2870.4731051085428</v>
      </c>
      <c r="AU39" s="4"/>
      <c r="AV39" s="175">
        <f t="shared" si="4"/>
        <v>19829.341067802525</v>
      </c>
      <c r="AW39" s="318"/>
      <c r="AX39" s="177">
        <f t="shared" si="9"/>
        <v>22699.814172911068</v>
      </c>
      <c r="AZ39" s="168">
        <f>+IF(AZ38&gt;$G$13+$G$14,XX,AZ38+1)</f>
        <v>2017</v>
      </c>
      <c r="BA39" s="138"/>
      <c r="BB39" s="176">
        <f t="shared" si="18"/>
        <v>46.19880902781555</v>
      </c>
      <c r="BC39" s="4"/>
      <c r="BD39" s="176">
        <f t="shared" si="19"/>
        <v>7.0242145821308108</v>
      </c>
      <c r="BE39" s="4"/>
      <c r="BF39" s="175">
        <f t="shared" si="10"/>
        <v>3562.0901934815183</v>
      </c>
      <c r="BG39" s="4"/>
      <c r="BH39" s="179"/>
    </row>
    <row r="40" spans="2:60" ht="12">
      <c r="B40" s="3"/>
      <c r="C40" s="7">
        <f>+IF(C39&gt;$G$13+$G$14,XX,C39+1)</f>
        <v>2018</v>
      </c>
      <c r="D40" s="7"/>
      <c r="E40" s="311">
        <v>1.7999999999999999E-2</v>
      </c>
      <c r="F40" s="7"/>
      <c r="G40" s="23">
        <v>305473.07679881854</v>
      </c>
      <c r="H40" s="7"/>
      <c r="I40" s="30">
        <f t="shared" si="11"/>
        <v>233.21782460414181</v>
      </c>
      <c r="J40" s="7"/>
      <c r="K40" s="30">
        <f t="shared" si="12"/>
        <v>15.706693962659983</v>
      </c>
      <c r="L40" s="7"/>
      <c r="M40" s="30">
        <f t="shared" si="13"/>
        <v>3.7581965920374105</v>
      </c>
      <c r="N40" s="7"/>
      <c r="O40" s="314">
        <v>6.2240589269115922</v>
      </c>
      <c r="P40" s="7"/>
      <c r="Q40" s="30">
        <v>0</v>
      </c>
      <c r="R40" s="7"/>
      <c r="S40" s="23">
        <f t="shared" si="5"/>
        <v>31285.673810592762</v>
      </c>
      <c r="T40" s="7"/>
      <c r="U40" s="23">
        <f t="shared" si="0"/>
        <v>24010.784566859322</v>
      </c>
      <c r="V40" s="7"/>
      <c r="W40" s="23">
        <f t="shared" si="1"/>
        <v>7274.8892437334398</v>
      </c>
      <c r="X40" s="7"/>
      <c r="Y40" s="315">
        <f t="shared" si="6"/>
        <v>23.815156870680973</v>
      </c>
      <c r="Z40" s="271"/>
      <c r="AB40" s="168">
        <f>+IF(AB39&gt;$G$13+$G$14,XX,AB39+1)</f>
        <v>2018</v>
      </c>
      <c r="AC40" s="138"/>
      <c r="AD40" s="173">
        <f t="shared" si="2"/>
        <v>305473.07679881854</v>
      </c>
      <c r="AE40" s="4"/>
      <c r="AF40" s="176">
        <f t="shared" si="14"/>
        <v>69.796306836032116</v>
      </c>
      <c r="AG40" s="4"/>
      <c r="AH40" s="176">
        <f t="shared" si="15"/>
        <v>9.8401543706107439</v>
      </c>
      <c r="AI40" s="4"/>
      <c r="AJ40" s="176">
        <f t="shared" si="16"/>
        <v>2.7661219394101755</v>
      </c>
      <c r="AK40" s="4"/>
      <c r="AL40" s="175">
        <f t="shared" si="7"/>
        <v>6548.3494379646818</v>
      </c>
      <c r="AM40" s="4"/>
      <c r="AN40" s="176">
        <f>INDEX('(2.2)_Forward_Price_Curve'!$G:$G,MATCH($AB40,'(2.2)_Forward_Price_Curve'!$C:$C,0),1)</f>
        <v>9.1071488375904099</v>
      </c>
      <c r="AO40" s="4"/>
      <c r="AP40" s="176">
        <f t="shared" si="8"/>
        <v>66.172737715275218</v>
      </c>
      <c r="AQ40" s="4"/>
      <c r="AR40" s="176">
        <f t="shared" si="17"/>
        <v>2.8632741220219522</v>
      </c>
      <c r="AS40" s="176"/>
      <c r="AT40" s="175">
        <f t="shared" si="3"/>
        <v>2922.1416210004959</v>
      </c>
      <c r="AU40" s="4"/>
      <c r="AV40" s="175">
        <f t="shared" si="4"/>
        <v>21088.642945858825</v>
      </c>
      <c r="AW40" s="318"/>
      <c r="AX40" s="177">
        <f t="shared" si="9"/>
        <v>24010.784566859322</v>
      </c>
      <c r="AZ40" s="168">
        <f>+IF(AZ39&gt;$G$13+$G$14,XX,AZ39+1)</f>
        <v>2018</v>
      </c>
      <c r="BA40" s="138"/>
      <c r="BB40" s="176">
        <f t="shared" si="18"/>
        <v>47.030387590316231</v>
      </c>
      <c r="BC40" s="4"/>
      <c r="BD40" s="176">
        <f t="shared" si="19"/>
        <v>7.1506504446091652</v>
      </c>
      <c r="BE40" s="4"/>
      <c r="BF40" s="175">
        <f t="shared" si="10"/>
        <v>3626.2078169641859</v>
      </c>
      <c r="BG40" s="4"/>
      <c r="BH40" s="179"/>
    </row>
    <row r="41" spans="2:60" ht="12">
      <c r="B41" s="3"/>
      <c r="C41" s="7">
        <f>+IF(C40&gt;$G$13+$G$14,XX,C40+1)</f>
        <v>2019</v>
      </c>
      <c r="D41" s="7"/>
      <c r="E41" s="311">
        <v>1.7999999999999999E-2</v>
      </c>
      <c r="F41" s="7"/>
      <c r="G41" s="23">
        <v>305473.07679881854</v>
      </c>
      <c r="H41" s="7"/>
      <c r="I41" s="30">
        <f t="shared" si="11"/>
        <v>237.41574544701638</v>
      </c>
      <c r="J41" s="7"/>
      <c r="K41" s="30">
        <f t="shared" si="12"/>
        <v>15.989414453987862</v>
      </c>
      <c r="L41" s="7"/>
      <c r="M41" s="30">
        <f t="shared" si="13"/>
        <v>3.825844130694084</v>
      </c>
      <c r="N41" s="7"/>
      <c r="O41" s="314">
        <v>6.3360919875960011</v>
      </c>
      <c r="P41" s="7"/>
      <c r="Q41" s="30">
        <v>0</v>
      </c>
      <c r="R41" s="7"/>
      <c r="S41" s="23">
        <f t="shared" si="5"/>
        <v>31848.815939183438</v>
      </c>
      <c r="T41" s="7"/>
      <c r="U41" s="23">
        <f t="shared" si="0"/>
        <v>25459.282147063477</v>
      </c>
      <c r="V41" s="7"/>
      <c r="W41" s="23">
        <f t="shared" si="1"/>
        <v>6389.5337921199607</v>
      </c>
      <c r="X41" s="7"/>
      <c r="Y41" s="315">
        <f t="shared" si="6"/>
        <v>20.916847596123969</v>
      </c>
      <c r="Z41" s="271"/>
      <c r="AB41" s="168">
        <f>+IF(AB40&gt;$G$13+$G$14,XX,AB40+1)</f>
        <v>2019</v>
      </c>
      <c r="AC41" s="138"/>
      <c r="AD41" s="173">
        <f t="shared" si="2"/>
        <v>305473.07679881854</v>
      </c>
      <c r="AE41" s="4"/>
      <c r="AF41" s="176">
        <f t="shared" si="14"/>
        <v>71.052640359080698</v>
      </c>
      <c r="AG41" s="4"/>
      <c r="AH41" s="176">
        <f t="shared" si="15"/>
        <v>10.017277149281737</v>
      </c>
      <c r="AI41" s="4"/>
      <c r="AJ41" s="176">
        <f t="shared" si="16"/>
        <v>2.8159121343195586</v>
      </c>
      <c r="AK41" s="4"/>
      <c r="AL41" s="175">
        <f t="shared" si="7"/>
        <v>6666.2197278480471</v>
      </c>
      <c r="AM41" s="4"/>
      <c r="AN41" s="176">
        <f>INDEX('(2.2)_Forward_Price_Curve'!$G:$G,MATCH($AB41,'(2.2)_Forward_Price_Curve'!$C:$C,0),1)</f>
        <v>9.7289597532905745</v>
      </c>
      <c r="AO41" s="4"/>
      <c r="AP41" s="176">
        <f t="shared" si="8"/>
        <v>70.69082909237946</v>
      </c>
      <c r="AQ41" s="4"/>
      <c r="AR41" s="176">
        <f t="shared" si="17"/>
        <v>2.9148130562183474</v>
      </c>
      <c r="AS41" s="176"/>
      <c r="AT41" s="175">
        <f t="shared" si="3"/>
        <v>2974.7401701785057</v>
      </c>
      <c r="AU41" s="4"/>
      <c r="AV41" s="175">
        <f t="shared" si="4"/>
        <v>22484.541976884972</v>
      </c>
      <c r="AW41" s="318"/>
      <c r="AX41" s="177">
        <f t="shared" si="9"/>
        <v>25459.282147063477</v>
      </c>
      <c r="AZ41" s="168">
        <f>+IF(AZ40&gt;$G$13+$G$14,XX,AZ40+1)</f>
        <v>2019</v>
      </c>
      <c r="BA41" s="138"/>
      <c r="BB41" s="176">
        <f t="shared" si="18"/>
        <v>47.876934566941927</v>
      </c>
      <c r="BC41" s="4"/>
      <c r="BD41" s="176">
        <f t="shared" si="19"/>
        <v>7.2793621526121299</v>
      </c>
      <c r="BE41" s="4"/>
      <c r="BF41" s="175">
        <f t="shared" si="10"/>
        <v>3691.4795576695415</v>
      </c>
      <c r="BG41" s="4"/>
      <c r="BH41" s="179"/>
    </row>
    <row r="42" spans="2:60" ht="12">
      <c r="B42" s="3"/>
      <c r="C42" s="7">
        <f>+IF(C41&gt;$G$13+$G$14,XX,C41+1)</f>
        <v>2020</v>
      </c>
      <c r="D42" s="7"/>
      <c r="E42" s="311">
        <v>1.7999999999999999E-2</v>
      </c>
      <c r="F42" s="7"/>
      <c r="G42" s="23">
        <v>306096.90139893163</v>
      </c>
      <c r="H42" s="7"/>
      <c r="I42" s="30">
        <f t="shared" si="11"/>
        <v>241.68922886506269</v>
      </c>
      <c r="J42" s="7"/>
      <c r="K42" s="30">
        <f t="shared" si="12"/>
        <v>16.277223914159645</v>
      </c>
      <c r="L42" s="7"/>
      <c r="M42" s="30">
        <f t="shared" si="13"/>
        <v>3.8947093250465774</v>
      </c>
      <c r="N42" s="7"/>
      <c r="O42" s="314">
        <v>6.4501416433727297</v>
      </c>
      <c r="P42" s="7"/>
      <c r="Q42" s="30">
        <v>0</v>
      </c>
      <c r="R42" s="7"/>
      <c r="S42" s="23">
        <f t="shared" si="5"/>
        <v>32438.702131306545</v>
      </c>
      <c r="T42" s="7"/>
      <c r="U42" s="23">
        <f t="shared" si="0"/>
        <v>26418.082736280172</v>
      </c>
      <c r="V42" s="7"/>
      <c r="W42" s="23">
        <f t="shared" si="1"/>
        <v>6020.6193950263732</v>
      </c>
      <c r="X42" s="7"/>
      <c r="Y42" s="315">
        <f t="shared" si="6"/>
        <v>19.668998175122944</v>
      </c>
      <c r="Z42" s="271"/>
      <c r="AB42" s="168">
        <f>+IF(AB41&gt;$G$13+$G$14,XX,AB41+1)</f>
        <v>2020</v>
      </c>
      <c r="AC42" s="138"/>
      <c r="AD42" s="173">
        <f t="shared" si="2"/>
        <v>306096.90139893163</v>
      </c>
      <c r="AE42" s="4"/>
      <c r="AF42" s="176">
        <f t="shared" si="14"/>
        <v>72.331587885544153</v>
      </c>
      <c r="AG42" s="4"/>
      <c r="AH42" s="176">
        <f t="shared" si="15"/>
        <v>10.197588137968809</v>
      </c>
      <c r="AI42" s="4"/>
      <c r="AJ42" s="176">
        <f t="shared" si="16"/>
        <v>2.8665985527373108</v>
      </c>
      <c r="AK42" s="4"/>
      <c r="AL42" s="175">
        <f t="shared" si="7"/>
        <v>6787.9999376451578</v>
      </c>
      <c r="AM42" s="4"/>
      <c r="AN42" s="176">
        <f>INDEX('(2.2)_Forward_Price_Curve'!$G:$G,MATCH($AB42,'(2.2)_Forward_Price_Curve'!$C:$C,0),1)</f>
        <v>10.107309478601163</v>
      </c>
      <c r="AO42" s="4"/>
      <c r="AP42" s="176">
        <f t="shared" si="8"/>
        <v>73.43992626692922</v>
      </c>
      <c r="AQ42" s="4"/>
      <c r="AR42" s="176">
        <f t="shared" si="17"/>
        <v>2.9672796912302779</v>
      </c>
      <c r="AS42" s="176"/>
      <c r="AT42" s="175">
        <f t="shared" si="3"/>
        <v>3030.0737479375648</v>
      </c>
      <c r="AU42" s="4"/>
      <c r="AV42" s="175">
        <f t="shared" si="4"/>
        <v>23388.008988342608</v>
      </c>
      <c r="AW42" s="318"/>
      <c r="AX42" s="177">
        <f t="shared" si="9"/>
        <v>26418.082736280172</v>
      </c>
      <c r="AZ42" s="168">
        <f>+IF(AZ41&gt;$G$13+$G$14,XX,AZ41+1)</f>
        <v>2020</v>
      </c>
      <c r="BA42" s="138"/>
      <c r="BB42" s="176">
        <f t="shared" si="18"/>
        <v>48.73871938914688</v>
      </c>
      <c r="BC42" s="4"/>
      <c r="BD42" s="176">
        <f t="shared" si="19"/>
        <v>7.4103906713591483</v>
      </c>
      <c r="BE42" s="4"/>
      <c r="BF42" s="175">
        <f t="shared" si="10"/>
        <v>3757.926189707593</v>
      </c>
      <c r="BG42" s="4"/>
      <c r="BH42" s="179"/>
    </row>
    <row r="43" spans="2:60" ht="12">
      <c r="B43" s="3"/>
      <c r="C43" s="7">
        <f>+IF(C42&gt;$G$13+$G$14,XX,C42+1)</f>
        <v>2021</v>
      </c>
      <c r="D43" s="7"/>
      <c r="E43" s="311">
        <v>1.7999999999999999E-2</v>
      </c>
      <c r="F43" s="7"/>
      <c r="G43" s="23">
        <v>305473.07679881854</v>
      </c>
      <c r="H43" s="7"/>
      <c r="I43" s="30">
        <f t="shared" si="11"/>
        <v>246.03963498463381</v>
      </c>
      <c r="J43" s="7"/>
      <c r="K43" s="30">
        <f t="shared" si="12"/>
        <v>16.570213944614519</v>
      </c>
      <c r="L43" s="7"/>
      <c r="M43" s="30">
        <f t="shared" si="13"/>
        <v>3.964814092897416</v>
      </c>
      <c r="N43" s="7"/>
      <c r="O43" s="314">
        <v>6.5662441929534392</v>
      </c>
      <c r="P43" s="7"/>
      <c r="Q43" s="30">
        <v>0</v>
      </c>
      <c r="R43" s="7"/>
      <c r="S43" s="23">
        <f t="shared" si="5"/>
        <v>33005.692329358339</v>
      </c>
      <c r="T43" s="7"/>
      <c r="U43" s="23">
        <f t="shared" si="0"/>
        <v>26836.571811053185</v>
      </c>
      <c r="V43" s="7"/>
      <c r="W43" s="23">
        <f t="shared" si="1"/>
        <v>6169.1205183051534</v>
      </c>
      <c r="X43" s="7"/>
      <c r="Y43" s="315">
        <f t="shared" si="6"/>
        <v>20.195300296032549</v>
      </c>
      <c r="Z43" s="271"/>
      <c r="AB43" s="168">
        <f>+IF(AB42&gt;$G$13+$G$14,XX,AB42+1)</f>
        <v>2021</v>
      </c>
      <c r="AC43" s="138"/>
      <c r="AD43" s="173">
        <f t="shared" si="2"/>
        <v>305473.07679881854</v>
      </c>
      <c r="AE43" s="4"/>
      <c r="AF43" s="176">
        <f t="shared" si="14"/>
        <v>73.633556467483942</v>
      </c>
      <c r="AG43" s="4"/>
      <c r="AH43" s="176">
        <f t="shared" si="15"/>
        <v>10.381144724452248</v>
      </c>
      <c r="AI43" s="4"/>
      <c r="AJ43" s="176">
        <f t="shared" si="16"/>
        <v>2.9181973266865824</v>
      </c>
      <c r="AK43" s="4"/>
      <c r="AL43" s="175">
        <f t="shared" si="7"/>
        <v>6908.3634932423975</v>
      </c>
      <c r="AM43" s="4"/>
      <c r="AN43" s="176">
        <f>INDEX('(2.2)_Forward_Price_Curve'!$G:$G,MATCH($AB43,'(2.2)_Forward_Price_Curve'!$C:$C,0),1)</f>
        <v>10.286225465001079</v>
      </c>
      <c r="AO43" s="4"/>
      <c r="AP43" s="176">
        <f t="shared" si="8"/>
        <v>74.739933640504091</v>
      </c>
      <c r="AQ43" s="4"/>
      <c r="AR43" s="176">
        <f t="shared" si="17"/>
        <v>3.0206907256724231</v>
      </c>
      <c r="AS43" s="176"/>
      <c r="AT43" s="175">
        <f t="shared" si="3"/>
        <v>3082.7946321200675</v>
      </c>
      <c r="AU43" s="4"/>
      <c r="AV43" s="175">
        <f t="shared" si="4"/>
        <v>23753.777178933116</v>
      </c>
      <c r="AW43" s="318"/>
      <c r="AX43" s="177">
        <f t="shared" si="9"/>
        <v>26836.571811053185</v>
      </c>
      <c r="AZ43" s="168">
        <f>+IF(AZ42&gt;$G$13+$G$14,XX,AZ42+1)</f>
        <v>2021</v>
      </c>
      <c r="BA43" s="138"/>
      <c r="BB43" s="176">
        <f t="shared" si="18"/>
        <v>49.616016338151525</v>
      </c>
      <c r="BC43" s="4"/>
      <c r="BD43" s="176">
        <f t="shared" si="19"/>
        <v>7.5437777034436131</v>
      </c>
      <c r="BE43" s="4"/>
      <c r="BF43" s="175">
        <f t="shared" si="10"/>
        <v>3825.56886112233</v>
      </c>
      <c r="BG43" s="4"/>
      <c r="BH43" s="179"/>
    </row>
    <row r="44" spans="2:60" ht="12">
      <c r="B44" s="3"/>
      <c r="C44" s="7">
        <f>+IF(C43&gt;$G$13+$G$14,XX,C43+1)</f>
        <v>2022</v>
      </c>
      <c r="D44" s="7"/>
      <c r="E44" s="311">
        <v>1.9E-2</v>
      </c>
      <c r="F44" s="7"/>
      <c r="G44" s="23">
        <v>305473.07679881854</v>
      </c>
      <c r="H44" s="7"/>
      <c r="I44" s="30">
        <f t="shared" si="11"/>
        <v>250.71438804934184</v>
      </c>
      <c r="J44" s="7"/>
      <c r="K44" s="30">
        <f t="shared" si="12"/>
        <v>16.885048009562194</v>
      </c>
      <c r="L44" s="7"/>
      <c r="M44" s="30">
        <f t="shared" si="13"/>
        <v>4.0401455606624666</v>
      </c>
      <c r="N44" s="7"/>
      <c r="O44" s="314">
        <v>6.6910028326195539</v>
      </c>
      <c r="P44" s="7"/>
      <c r="Q44" s="30">
        <v>0</v>
      </c>
      <c r="R44" s="7"/>
      <c r="S44" s="23">
        <f t="shared" si="5"/>
        <v>33632.800483616142</v>
      </c>
      <c r="T44" s="7"/>
      <c r="U44" s="23">
        <f t="shared" si="0"/>
        <v>27346.970893071841</v>
      </c>
      <c r="V44" s="7"/>
      <c r="W44" s="23">
        <f t="shared" si="1"/>
        <v>6285.829590544301</v>
      </c>
      <c r="X44" s="7"/>
      <c r="Y44" s="315">
        <f t="shared" si="6"/>
        <v>20.57736038938739</v>
      </c>
      <c r="Z44" s="271"/>
      <c r="AB44" s="168">
        <f>+IF(AB43&gt;$G$13+$G$14,XX,AB43+1)</f>
        <v>2022</v>
      </c>
      <c r="AC44" s="138"/>
      <c r="AD44" s="173">
        <f t="shared" si="2"/>
        <v>305473.07679881854</v>
      </c>
      <c r="AE44" s="4"/>
      <c r="AF44" s="176">
        <f t="shared" si="14"/>
        <v>75.032594040366135</v>
      </c>
      <c r="AG44" s="4"/>
      <c r="AH44" s="176">
        <f t="shared" si="15"/>
        <v>10.57838647421684</v>
      </c>
      <c r="AI44" s="4"/>
      <c r="AJ44" s="176">
        <f t="shared" si="16"/>
        <v>2.973643075893627</v>
      </c>
      <c r="AK44" s="4"/>
      <c r="AL44" s="175">
        <f t="shared" si="7"/>
        <v>7039.6223996140034</v>
      </c>
      <c r="AM44" s="4"/>
      <c r="AN44" s="176">
        <f>INDEX('(2.2)_Forward_Price_Curve'!$G:$G,MATCH($AB44,'(2.2)_Forward_Price_Curve'!$C:$C,0),1)</f>
        <v>10.481890917487915</v>
      </c>
      <c r="AO44" s="4"/>
      <c r="AP44" s="176">
        <f t="shared" si="8"/>
        <v>76.16164299194341</v>
      </c>
      <c r="AQ44" s="4"/>
      <c r="AR44" s="176">
        <f t="shared" si="17"/>
        <v>3.078083849460199</v>
      </c>
      <c r="AS44" s="176"/>
      <c r="AT44" s="175">
        <f t="shared" si="3"/>
        <v>3141.3677301303496</v>
      </c>
      <c r="AU44" s="4"/>
      <c r="AV44" s="175">
        <f t="shared" si="4"/>
        <v>24205.60316294149</v>
      </c>
      <c r="AW44" s="318"/>
      <c r="AX44" s="177">
        <f t="shared" si="9"/>
        <v>27346.970893071841</v>
      </c>
      <c r="AZ44" s="168">
        <f>+IF(AZ43&gt;$G$13+$G$14,XX,AZ43+1)</f>
        <v>2022</v>
      </c>
      <c r="BA44" s="138"/>
      <c r="BB44" s="176">
        <f t="shared" si="18"/>
        <v>50.558720648576397</v>
      </c>
      <c r="BC44" s="4"/>
      <c r="BD44" s="176">
        <f t="shared" si="19"/>
        <v>7.6871094798090409</v>
      </c>
      <c r="BE44" s="4"/>
      <c r="BF44" s="175">
        <f t="shared" si="10"/>
        <v>3898.2546694836537</v>
      </c>
      <c r="BG44" s="4"/>
      <c r="BH44" s="179"/>
    </row>
    <row r="45" spans="2:60" ht="12">
      <c r="B45" s="3"/>
      <c r="C45" s="7">
        <f>+IF(C44&gt;$G$13+$G$14,XX,C44+1)</f>
        <v>2023</v>
      </c>
      <c r="D45" s="7"/>
      <c r="E45" s="311">
        <v>1.9E-2</v>
      </c>
      <c r="F45" s="7"/>
      <c r="G45" s="23">
        <v>305473.07679881854</v>
      </c>
      <c r="H45" s="7"/>
      <c r="I45" s="30">
        <f t="shared" si="11"/>
        <v>255.47796142227929</v>
      </c>
      <c r="J45" s="7"/>
      <c r="K45" s="30">
        <f t="shared" si="12"/>
        <v>17.205863921743873</v>
      </c>
      <c r="L45" s="7"/>
      <c r="M45" s="30">
        <f t="shared" si="13"/>
        <v>4.1169083263150528</v>
      </c>
      <c r="N45" s="7"/>
      <c r="O45" s="314">
        <v>6.8181318864393248</v>
      </c>
      <c r="P45" s="7"/>
      <c r="Q45" s="30">
        <v>0</v>
      </c>
      <c r="R45" s="7"/>
      <c r="S45" s="23">
        <f t="shared" si="5"/>
        <v>34271.823692804843</v>
      </c>
      <c r="T45" s="7"/>
      <c r="U45" s="23">
        <f t="shared" si="0"/>
        <v>27863.21801957201</v>
      </c>
      <c r="V45" s="7"/>
      <c r="W45" s="23">
        <f t="shared" si="1"/>
        <v>6408.6056732328325</v>
      </c>
      <c r="X45" s="7"/>
      <c r="Y45" s="315">
        <f t="shared" si="6"/>
        <v>20.979281514401595</v>
      </c>
      <c r="Z45" s="271"/>
      <c r="AB45" s="168">
        <f>+IF(AB44&gt;$G$13+$G$14,XX,AB44+1)</f>
        <v>2023</v>
      </c>
      <c r="AC45" s="138"/>
      <c r="AD45" s="173">
        <f t="shared" si="2"/>
        <v>305473.07679881854</v>
      </c>
      <c r="AE45" s="4"/>
      <c r="AF45" s="176">
        <f t="shared" si="14"/>
        <v>76.45821332713308</v>
      </c>
      <c r="AG45" s="4"/>
      <c r="AH45" s="176">
        <f t="shared" si="15"/>
        <v>10.77937581722696</v>
      </c>
      <c r="AI45" s="4"/>
      <c r="AJ45" s="176">
        <f t="shared" si="16"/>
        <v>3.0301422943356058</v>
      </c>
      <c r="AK45" s="4"/>
      <c r="AL45" s="175">
        <f t="shared" si="7"/>
        <v>7173.3752252066688</v>
      </c>
      <c r="AM45" s="4"/>
      <c r="AN45" s="176">
        <f>INDEX('(2.2)_Forward_Price_Curve'!$G:$G,MATCH($AB45,'(2.2)_Forward_Price_Curve'!$C:$C,0),1)</f>
        <v>10.679539654517416</v>
      </c>
      <c r="AO45" s="4"/>
      <c r="AP45" s="176">
        <f t="shared" si="8"/>
        <v>77.597762931174486</v>
      </c>
      <c r="AQ45" s="4"/>
      <c r="AR45" s="176">
        <f t="shared" si="17"/>
        <v>3.1365674425999424</v>
      </c>
      <c r="AS45" s="176"/>
      <c r="AT45" s="175">
        <f t="shared" si="3"/>
        <v>3201.053717002826</v>
      </c>
      <c r="AU45" s="4"/>
      <c r="AV45" s="175">
        <f t="shared" si="4"/>
        <v>24662.164302569185</v>
      </c>
      <c r="AW45" s="318"/>
      <c r="AX45" s="177">
        <f t="shared" si="9"/>
        <v>27863.21801957201</v>
      </c>
      <c r="AZ45" s="168">
        <f>+IF(AZ44&gt;$G$13+$G$14,XX,AZ44+1)</f>
        <v>2023</v>
      </c>
      <c r="BA45" s="138"/>
      <c r="BB45" s="176">
        <f t="shared" si="18"/>
        <v>51.519336340899343</v>
      </c>
      <c r="BC45" s="4"/>
      <c r="BD45" s="176">
        <f t="shared" si="19"/>
        <v>7.8331645599254118</v>
      </c>
      <c r="BE45" s="4"/>
      <c r="BF45" s="175">
        <f t="shared" si="10"/>
        <v>3972.3215082038428</v>
      </c>
      <c r="BG45" s="4"/>
      <c r="BH45" s="179"/>
    </row>
    <row r="46" spans="2:60" ht="12">
      <c r="B46" s="3"/>
      <c r="C46" s="7">
        <f>+IF(C45&gt;$G$13+$G$14,XX,C45+1)</f>
        <v>2024</v>
      </c>
      <c r="D46" s="7"/>
      <c r="E46" s="311">
        <v>1.9E-2</v>
      </c>
      <c r="F46" s="7"/>
      <c r="G46" s="23">
        <v>306096.90139893163</v>
      </c>
      <c r="H46" s="7"/>
      <c r="I46" s="30">
        <f t="shared" si="11"/>
        <v>260.33204268930257</v>
      </c>
      <c r="J46" s="7"/>
      <c r="K46" s="30">
        <f t="shared" si="12"/>
        <v>17.532775336257004</v>
      </c>
      <c r="L46" s="7"/>
      <c r="M46" s="30">
        <f t="shared" si="13"/>
        <v>4.1951295845150387</v>
      </c>
      <c r="N46" s="7"/>
      <c r="O46" s="314">
        <v>6.9476763922816716</v>
      </c>
      <c r="P46" s="7"/>
      <c r="Q46" s="30">
        <v>0</v>
      </c>
      <c r="R46" s="7"/>
      <c r="S46" s="23">
        <f t="shared" si="5"/>
        <v>34940.876876013754</v>
      </c>
      <c r="T46" s="7"/>
      <c r="U46" s="23">
        <f t="shared" si="0"/>
        <v>28448.398190384909</v>
      </c>
      <c r="V46" s="7"/>
      <c r="W46" s="23">
        <f t="shared" si="1"/>
        <v>6492.4786856288447</v>
      </c>
      <c r="X46" s="7"/>
      <c r="Y46" s="315">
        <f t="shared" si="6"/>
        <v>21.210533840613081</v>
      </c>
      <c r="Z46" s="271"/>
      <c r="AB46" s="168">
        <f>+IF(AB45&gt;$G$13+$G$14,XX,AB45+1)</f>
        <v>2024</v>
      </c>
      <c r="AC46" s="138"/>
      <c r="AD46" s="173">
        <f t="shared" si="2"/>
        <v>306096.90139893163</v>
      </c>
      <c r="AE46" s="4"/>
      <c r="AF46" s="176">
        <f t="shared" si="14"/>
        <v>77.910919380348602</v>
      </c>
      <c r="AG46" s="4"/>
      <c r="AH46" s="176">
        <f t="shared" si="15"/>
        <v>10.98418395775427</v>
      </c>
      <c r="AI46" s="4"/>
      <c r="AJ46" s="176">
        <f t="shared" si="16"/>
        <v>3.0877149979279821</v>
      </c>
      <c r="AK46" s="4"/>
      <c r="AL46" s="175">
        <f t="shared" si="7"/>
        <v>7311.5955470594408</v>
      </c>
      <c r="AM46" s="4"/>
      <c r="AN46" s="176">
        <f>INDEX('(2.2)_Forward_Price_Curve'!$G:$G,MATCH($AB46,'(2.2)_Forward_Price_Curve'!$C:$C,0),1)</f>
        <v>10.883589278444866</v>
      </c>
      <c r="AO46" s="4"/>
      <c r="AP46" s="176">
        <f t="shared" si="8"/>
        <v>79.080391851141073</v>
      </c>
      <c r="AQ46" s="4"/>
      <c r="AR46" s="176">
        <f t="shared" si="17"/>
        <v>3.196162224009341</v>
      </c>
      <c r="AS46" s="176"/>
      <c r="AT46" s="175">
        <f t="shared" si="3"/>
        <v>3263.7999301997252</v>
      </c>
      <c r="AU46" s="4"/>
      <c r="AV46" s="175">
        <f t="shared" si="4"/>
        <v>25184.598260185183</v>
      </c>
      <c r="AW46" s="318"/>
      <c r="AX46" s="177">
        <f t="shared" si="9"/>
        <v>28448.398190384909</v>
      </c>
      <c r="AZ46" s="168">
        <f>+IF(AZ45&gt;$G$13+$G$14,XX,AZ45+1)</f>
        <v>2024</v>
      </c>
      <c r="BA46" s="138"/>
      <c r="BB46" s="176">
        <f t="shared" si="18"/>
        <v>52.498203731376428</v>
      </c>
      <c r="BC46" s="4"/>
      <c r="BD46" s="176">
        <f t="shared" si="19"/>
        <v>7.9819946865639944</v>
      </c>
      <c r="BE46" s="4"/>
      <c r="BF46" s="175">
        <f t="shared" si="10"/>
        <v>4047.7956168597157</v>
      </c>
      <c r="BG46" s="4"/>
      <c r="BH46" s="179"/>
    </row>
    <row r="47" spans="2:60" ht="12">
      <c r="B47" s="3"/>
      <c r="C47" s="7">
        <f>+IF(C46&gt;$G$13+$G$14,XX,C46+1)</f>
        <v>2025</v>
      </c>
      <c r="D47" s="7"/>
      <c r="E47" s="311">
        <v>1.9E-2</v>
      </c>
      <c r="F47" s="7"/>
      <c r="G47" s="23">
        <v>305473.07679881854</v>
      </c>
      <c r="H47" s="7"/>
      <c r="I47" s="30">
        <f t="shared" si="11"/>
        <v>265.27835150039931</v>
      </c>
      <c r="J47" s="7"/>
      <c r="K47" s="30">
        <f t="shared" si="12"/>
        <v>17.865898067645887</v>
      </c>
      <c r="L47" s="7"/>
      <c r="M47" s="30">
        <f t="shared" si="13"/>
        <v>4.2748370466208243</v>
      </c>
      <c r="N47" s="7"/>
      <c r="O47" s="314">
        <v>7.0796822437350224</v>
      </c>
      <c r="P47" s="7"/>
      <c r="Q47" s="30">
        <v>0</v>
      </c>
      <c r="R47" s="7"/>
      <c r="S47" s="23">
        <f t="shared" si="5"/>
        <v>35586.525121484527</v>
      </c>
      <c r="T47" s="7"/>
      <c r="U47" s="23">
        <f t="shared" si="0"/>
        <v>28934.095709922949</v>
      </c>
      <c r="V47" s="7"/>
      <c r="W47" s="23">
        <f t="shared" si="1"/>
        <v>6652.4294115615776</v>
      </c>
      <c r="X47" s="7"/>
      <c r="Y47" s="315">
        <f t="shared" si="6"/>
        <v>21.777465566770061</v>
      </c>
      <c r="Z47" s="271"/>
      <c r="AB47" s="168">
        <f>+IF(AB46&gt;$G$13+$G$14,XX,AB46+1)</f>
        <v>2025</v>
      </c>
      <c r="AC47" s="138"/>
      <c r="AD47" s="173">
        <f t="shared" si="2"/>
        <v>305473.07679881854</v>
      </c>
      <c r="AE47" s="4"/>
      <c r="AF47" s="176">
        <f t="shared" si="14"/>
        <v>79.391226848575215</v>
      </c>
      <c r="AG47" s="4"/>
      <c r="AH47" s="176">
        <f t="shared" si="15"/>
        <v>11.1928834529516</v>
      </c>
      <c r="AI47" s="4"/>
      <c r="AJ47" s="176">
        <f t="shared" si="16"/>
        <v>3.1463815828886132</v>
      </c>
      <c r="AK47" s="4"/>
      <c r="AL47" s="175">
        <f t="shared" si="7"/>
        <v>7448.5530722208196</v>
      </c>
      <c r="AM47" s="4"/>
      <c r="AN47" s="176">
        <f>INDEX('(2.2)_Forward_Price_Curve'!$G:$G,MATCH($AB47,'(2.2)_Forward_Price_Curve'!$C:$C,0),1)</f>
        <v>11.090126110825569</v>
      </c>
      <c r="AO47" s="4"/>
      <c r="AP47" s="176">
        <f t="shared" si="8"/>
        <v>80.581092880782762</v>
      </c>
      <c r="AQ47" s="4"/>
      <c r="AR47" s="176">
        <f t="shared" si="17"/>
        <v>3.2568893062655184</v>
      </c>
      <c r="AS47" s="176"/>
      <c r="AT47" s="175">
        <f t="shared" si="3"/>
        <v>3323.8493386407699</v>
      </c>
      <c r="AU47" s="4"/>
      <c r="AV47" s="175">
        <f t="shared" si="4"/>
        <v>25610.246371282181</v>
      </c>
      <c r="AW47" s="318"/>
      <c r="AX47" s="177">
        <f t="shared" si="9"/>
        <v>28934.095709922949</v>
      </c>
      <c r="AZ47" s="168">
        <f>+IF(AZ46&gt;$G$13+$G$14,XX,AZ46+1)</f>
        <v>2025</v>
      </c>
      <c r="BA47" s="138"/>
      <c r="BB47" s="176">
        <f t="shared" si="18"/>
        <v>53.495669602272578</v>
      </c>
      <c r="BC47" s="4"/>
      <c r="BD47" s="176">
        <f t="shared" si="19"/>
        <v>8.1336525856087096</v>
      </c>
      <c r="BE47" s="4"/>
      <c r="BF47" s="175">
        <f t="shared" si="10"/>
        <v>4124.7037335800496</v>
      </c>
      <c r="BG47" s="4"/>
      <c r="BH47" s="179"/>
    </row>
    <row r="48" spans="2:60" ht="12">
      <c r="B48" s="3"/>
      <c r="C48" s="7">
        <f>+IF(C47&gt;$G$13+$G$14,XX,C47+1)</f>
        <v>2026</v>
      </c>
      <c r="D48" s="7"/>
      <c r="E48" s="311">
        <v>1.9E-2</v>
      </c>
      <c r="F48" s="7"/>
      <c r="G48" s="23">
        <f>G47</f>
        <v>305473.07679881854</v>
      </c>
      <c r="H48" s="7"/>
      <c r="I48" s="30">
        <f t="shared" si="11"/>
        <v>270.31864017890689</v>
      </c>
      <c r="J48" s="7"/>
      <c r="K48" s="30">
        <f t="shared" si="12"/>
        <v>18.205350130931159</v>
      </c>
      <c r="L48" s="7"/>
      <c r="M48" s="30">
        <f t="shared" si="13"/>
        <v>4.3560589505066192</v>
      </c>
      <c r="N48" s="7"/>
      <c r="O48" s="314">
        <v>7.2141962063659868</v>
      </c>
      <c r="P48" s="7"/>
      <c r="Q48" s="30">
        <v>0</v>
      </c>
      <c r="R48" s="7"/>
      <c r="S48" s="23">
        <f t="shared" si="5"/>
        <v>36262.669098792729</v>
      </c>
      <c r="T48" s="7"/>
      <c r="U48" s="23">
        <f t="shared" si="0"/>
        <v>29480.020038215684</v>
      </c>
      <c r="V48" s="7"/>
      <c r="W48" s="23">
        <f t="shared" si="1"/>
        <v>6782.649060577045</v>
      </c>
      <c r="X48" s="7"/>
      <c r="Y48" s="315">
        <f t="shared" si="6"/>
        <v>22.203754031796489</v>
      </c>
      <c r="Z48" s="271"/>
      <c r="AB48" s="168">
        <f>+IF(AB47&gt;$G$13+$G$14,XX,AB47+1)</f>
        <v>2026</v>
      </c>
      <c r="AC48" s="138"/>
      <c r="AD48" s="173">
        <f t="shared" si="2"/>
        <v>305473.07679881854</v>
      </c>
      <c r="AE48" s="4"/>
      <c r="AF48" s="176">
        <f t="shared" si="14"/>
        <v>80.89966015869814</v>
      </c>
      <c r="AG48" s="4"/>
      <c r="AH48" s="176">
        <f t="shared" si="15"/>
        <v>11.40554823855768</v>
      </c>
      <c r="AI48" s="4"/>
      <c r="AJ48" s="176">
        <f t="shared" si="16"/>
        <v>3.2061628329634968</v>
      </c>
      <c r="AK48" s="4"/>
      <c r="AL48" s="175">
        <f t="shared" si="7"/>
        <v>7590.0755805930166</v>
      </c>
      <c r="AM48" s="4"/>
      <c r="AN48" s="176">
        <f>INDEX('(2.2)_Forward_Price_Curve'!$G:$G,MATCH($AB48,'(2.2)_Forward_Price_Curve'!$C:$C,0),1)</f>
        <v>11.299115883408938</v>
      </c>
      <c r="AO48" s="4"/>
      <c r="AP48" s="176">
        <f t="shared" si="8"/>
        <v>82.099617026259821</v>
      </c>
      <c r="AQ48" s="4"/>
      <c r="AR48" s="176">
        <f t="shared" si="17"/>
        <v>3.3187702030845632</v>
      </c>
      <c r="AS48" s="176"/>
      <c r="AT48" s="175">
        <f t="shared" si="3"/>
        <v>3387.0024760749457</v>
      </c>
      <c r="AU48" s="4"/>
      <c r="AV48" s="175">
        <f t="shared" si="4"/>
        <v>26093.01756214074</v>
      </c>
      <c r="AW48" s="318"/>
      <c r="AX48" s="177">
        <f t="shared" si="9"/>
        <v>29480.020038215684</v>
      </c>
      <c r="AZ48" s="168">
        <f>+IF(AZ47&gt;$G$13+$G$14,XX,AZ47+1)</f>
        <v>2026</v>
      </c>
      <c r="BA48" s="138"/>
      <c r="BB48" s="176">
        <f t="shared" si="18"/>
        <v>54.51208732471575</v>
      </c>
      <c r="BC48" s="4"/>
      <c r="BD48" s="176">
        <f t="shared" si="19"/>
        <v>8.2881919847352741</v>
      </c>
      <c r="BE48" s="4"/>
      <c r="BF48" s="175">
        <f t="shared" si="10"/>
        <v>4203.073104518071</v>
      </c>
      <c r="BG48" s="4"/>
      <c r="BH48" s="179"/>
    </row>
    <row r="49" spans="2:60" ht="12">
      <c r="B49" s="3"/>
      <c r="C49" s="7">
        <f>+IF(C48&gt;$G$13+$G$14,XX,C48+1)</f>
        <v>2027</v>
      </c>
      <c r="D49" s="7"/>
      <c r="E49" s="311">
        <v>1.9E-2</v>
      </c>
      <c r="F49" s="7"/>
      <c r="G49" s="23">
        <f>G48</f>
        <v>305473.07679881854</v>
      </c>
      <c r="H49" s="7"/>
      <c r="I49" s="30">
        <f t="shared" si="11"/>
        <v>275.45469434230608</v>
      </c>
      <c r="J49" s="7"/>
      <c r="K49" s="30">
        <f t="shared" si="12"/>
        <v>18.551251783418849</v>
      </c>
      <c r="L49" s="7"/>
      <c r="M49" s="30">
        <f t="shared" si="13"/>
        <v>4.4388240705662447</v>
      </c>
      <c r="N49" s="7"/>
      <c r="O49" s="314">
        <v>7.35126593428694</v>
      </c>
      <c r="P49" s="7"/>
      <c r="Q49" s="30">
        <v>0</v>
      </c>
      <c r="R49" s="7"/>
      <c r="S49" s="23">
        <f t="shared" si="5"/>
        <v>36951.659811669779</v>
      </c>
      <c r="T49" s="7"/>
      <c r="U49" s="23">
        <f t="shared" si="0"/>
        <v>30037.526871552014</v>
      </c>
      <c r="V49" s="7"/>
      <c r="W49" s="23">
        <f t="shared" si="1"/>
        <v>6914.1329401177645</v>
      </c>
      <c r="X49" s="7"/>
      <c r="Y49" s="315">
        <f t="shared" si="6"/>
        <v>22.634181095675878</v>
      </c>
      <c r="Z49" s="271"/>
      <c r="AB49" s="168">
        <f>+IF(AB48&gt;$G$13+$G$14,XX,AB48+1)</f>
        <v>2027</v>
      </c>
      <c r="AC49" s="138"/>
      <c r="AD49" s="173">
        <f t="shared" si="2"/>
        <v>305473.07679881854</v>
      </c>
      <c r="AE49" s="4"/>
      <c r="AF49" s="176">
        <f t="shared" si="14"/>
        <v>82.4367537017134</v>
      </c>
      <c r="AG49" s="4"/>
      <c r="AH49" s="176">
        <f t="shared" si="15"/>
        <v>11.622253655090274</v>
      </c>
      <c r="AI49" s="4"/>
      <c r="AJ49" s="176">
        <f t="shared" si="16"/>
        <v>3.267079926789803</v>
      </c>
      <c r="AK49" s="4"/>
      <c r="AL49" s="175">
        <f t="shared" si="7"/>
        <v>7734.2870166242828</v>
      </c>
      <c r="AM49" s="4"/>
      <c r="AN49" s="176">
        <f>INDEX('(2.2)_Forward_Price_Curve'!$G:$G,MATCH($AB49,'(2.2)_Forward_Price_Curve'!$C:$C,0),1)</f>
        <v>11.51262158558478</v>
      </c>
      <c r="AO49" s="4"/>
      <c r="AP49" s="176">
        <f t="shared" si="8"/>
        <v>83.650954012483467</v>
      </c>
      <c r="AQ49" s="4"/>
      <c r="AR49" s="176">
        <f t="shared" si="17"/>
        <v>3.3818268369431697</v>
      </c>
      <c r="AS49" s="176"/>
      <c r="AT49" s="175">
        <f t="shared" si="3"/>
        <v>3451.3555231203691</v>
      </c>
      <c r="AU49" s="4"/>
      <c r="AV49" s="175">
        <f t="shared" si="4"/>
        <v>26586.171348431646</v>
      </c>
      <c r="AW49" s="318"/>
      <c r="AX49" s="177">
        <f t="shared" si="9"/>
        <v>30037.526871552014</v>
      </c>
      <c r="AZ49" s="168">
        <f>+IF(AZ48&gt;$G$13+$G$14,XX,AZ48+1)</f>
        <v>2027</v>
      </c>
      <c r="BA49" s="138"/>
      <c r="BB49" s="176">
        <f t="shared" si="18"/>
        <v>55.547816983885347</v>
      </c>
      <c r="BC49" s="4"/>
      <c r="BD49" s="176">
        <f t="shared" si="19"/>
        <v>8.4456676324452431</v>
      </c>
      <c r="BE49" s="4"/>
      <c r="BF49" s="175">
        <f t="shared" si="10"/>
        <v>4282.9314935039138</v>
      </c>
      <c r="BG49" s="4"/>
      <c r="BH49" s="179"/>
    </row>
    <row r="50" spans="2:60" ht="12">
      <c r="B50" s="3"/>
      <c r="C50" s="7">
        <f>+IF(C49&gt;$G$13+$G$14,XX,C49+1)</f>
        <v>2028</v>
      </c>
      <c r="D50" s="7"/>
      <c r="E50" s="311">
        <v>1.9E-2</v>
      </c>
      <c r="F50" s="7"/>
      <c r="G50" s="23">
        <f>G46</f>
        <v>306096.90139893163</v>
      </c>
      <c r="H50" s="7"/>
      <c r="I50" s="30">
        <f t="shared" si="11"/>
        <v>280.68833353480989</v>
      </c>
      <c r="J50" s="7"/>
      <c r="K50" s="30">
        <f t="shared" si="12"/>
        <v>18.903725567303805</v>
      </c>
      <c r="L50" s="7"/>
      <c r="M50" s="30">
        <f t="shared" si="13"/>
        <v>4.5231617279070031</v>
      </c>
      <c r="N50" s="7"/>
      <c r="O50" s="314">
        <v>7.4909399870383915</v>
      </c>
      <c r="P50" s="7"/>
      <c r="Q50" s="30">
        <v>0</v>
      </c>
      <c r="R50" s="7"/>
      <c r="S50" s="23">
        <f t="shared" si="5"/>
        <v>37673.028649332227</v>
      </c>
      <c r="T50" s="7"/>
      <c r="U50" s="23">
        <f t="shared" si="0"/>
        <v>30669.810382518092</v>
      </c>
      <c r="V50" s="7"/>
      <c r="W50" s="23">
        <f t="shared" si="1"/>
        <v>7003.2182668141359</v>
      </c>
      <c r="X50" s="7"/>
      <c r="Y50" s="315">
        <f t="shared" si="6"/>
        <v>22.87908905581159</v>
      </c>
      <c r="Z50" s="271"/>
      <c r="AB50" s="168">
        <f>+IF(AB49&gt;$G$13+$G$14,XX,AB49+1)</f>
        <v>2028</v>
      </c>
      <c r="AC50" s="138"/>
      <c r="AD50" s="173">
        <f t="shared" si="2"/>
        <v>306096.90139893163</v>
      </c>
      <c r="AE50" s="4"/>
      <c r="AF50" s="176">
        <f t="shared" si="14"/>
        <v>84.003052022045949</v>
      </c>
      <c r="AG50" s="4"/>
      <c r="AH50" s="176">
        <f t="shared" si="15"/>
        <v>11.843076474536989</v>
      </c>
      <c r="AI50" s="4"/>
      <c r="AJ50" s="176">
        <f t="shared" si="16"/>
        <v>3.3291544453988089</v>
      </c>
      <c r="AK50" s="4"/>
      <c r="AL50" s="175">
        <f t="shared" si="7"/>
        <v>7883.3152783807591</v>
      </c>
      <c r="AM50" s="4"/>
      <c r="AN50" s="176">
        <f>INDEX('(2.2)_Forward_Price_Curve'!$G:$G,MATCH($AB50,'(2.2)_Forward_Price_Curve'!$C:$C,0),1)</f>
        <v>11.7332358254813</v>
      </c>
      <c r="AO50" s="4"/>
      <c r="AP50" s="176">
        <f t="shared" si="8"/>
        <v>85.253941785415222</v>
      </c>
      <c r="AQ50" s="4"/>
      <c r="AR50" s="176">
        <f t="shared" si="17"/>
        <v>3.4460815468450896</v>
      </c>
      <c r="AS50" s="176"/>
      <c r="AT50" s="175">
        <f t="shared" si="3"/>
        <v>3519.008086500271</v>
      </c>
      <c r="AU50" s="4"/>
      <c r="AV50" s="175">
        <f t="shared" si="4"/>
        <v>27150.80229601782</v>
      </c>
      <c r="AW50" s="318"/>
      <c r="AX50" s="177">
        <f t="shared" si="9"/>
        <v>30669.810382518092</v>
      </c>
      <c r="AZ50" s="168">
        <f>+IF(AZ49&gt;$G$13+$G$14,XX,AZ49+1)</f>
        <v>2028</v>
      </c>
      <c r="BA50" s="138"/>
      <c r="BB50" s="176">
        <f t="shared" si="18"/>
        <v>56.603225506579165</v>
      </c>
      <c r="BC50" s="4"/>
      <c r="BD50" s="176">
        <f t="shared" si="19"/>
        <v>8.6061353174617015</v>
      </c>
      <c r="BE50" s="4"/>
      <c r="BF50" s="175">
        <f t="shared" si="10"/>
        <v>4364.3071918804881</v>
      </c>
      <c r="BG50" s="4"/>
      <c r="BH50" s="179"/>
    </row>
    <row r="51" spans="2:60" ht="12">
      <c r="B51" s="3"/>
      <c r="C51" s="7">
        <f>+IF(C50&gt;$G$13+$G$14,XX,C50+1)</f>
        <v>2029</v>
      </c>
      <c r="D51" s="7"/>
      <c r="E51" s="311">
        <v>1.9E-2</v>
      </c>
      <c r="F51" s="7"/>
      <c r="G51" s="23">
        <f>G49</f>
        <v>305473.07679881854</v>
      </c>
      <c r="H51" s="7"/>
      <c r="I51" s="30">
        <f t="shared" si="11"/>
        <v>286.02141187197122</v>
      </c>
      <c r="J51" s="7"/>
      <c r="K51" s="30">
        <f t="shared" si="12"/>
        <v>19.262896353082574</v>
      </c>
      <c r="L51" s="7"/>
      <c r="M51" s="30">
        <f t="shared" si="13"/>
        <v>4.6091018007372355</v>
      </c>
      <c r="N51" s="7"/>
      <c r="O51" s="314">
        <v>7.63326784679212</v>
      </c>
      <c r="P51" s="7"/>
      <c r="Q51" s="30">
        <v>0</v>
      </c>
      <c r="R51" s="7"/>
      <c r="S51" s="23">
        <f t="shared" si="5"/>
        <v>38369.162433705242</v>
      </c>
      <c r="T51" s="7"/>
      <c r="U51" s="23">
        <f t="shared" si="0"/>
        <v>31186.869766144886</v>
      </c>
      <c r="V51" s="7"/>
      <c r="W51" s="23">
        <f t="shared" si="1"/>
        <v>7182.2926675603558</v>
      </c>
      <c r="X51" s="7"/>
      <c r="Y51" s="315">
        <f t="shared" si="6"/>
        <v>23.512031707758457</v>
      </c>
      <c r="Z51" s="271"/>
      <c r="AB51" s="168">
        <f>+IF(AB50&gt;$G$13+$G$14,XX,AB50+1)</f>
        <v>2029</v>
      </c>
      <c r="AC51" s="138"/>
      <c r="AD51" s="173">
        <f t="shared" si="2"/>
        <v>305473.07679881854</v>
      </c>
      <c r="AE51" s="4"/>
      <c r="AF51" s="176">
        <f t="shared" si="14"/>
        <v>85.599110010464813</v>
      </c>
      <c r="AG51" s="4"/>
      <c r="AH51" s="176">
        <f t="shared" si="15"/>
        <v>12.06809492755319</v>
      </c>
      <c r="AI51" s="4"/>
      <c r="AJ51" s="176">
        <f t="shared" si="16"/>
        <v>3.392408379861386</v>
      </c>
      <c r="AK51" s="4"/>
      <c r="AL51" s="175">
        <f t="shared" si="7"/>
        <v>8030.9820008690049</v>
      </c>
      <c r="AM51" s="4"/>
      <c r="AN51" s="176">
        <f>INDEX('(2.2)_Forward_Price_Curve'!$G:$G,MATCH($AB51,'(2.2)_Forward_Price_Curve'!$C:$C,0),1)</f>
        <v>11.952938687642925</v>
      </c>
      <c r="AO51" s="4"/>
      <c r="AP51" s="176">
        <f t="shared" si="8"/>
        <v>86.850307468284981</v>
      </c>
      <c r="AQ51" s="4"/>
      <c r="AR51" s="176">
        <f t="shared" si="17"/>
        <v>3.5115570962351459</v>
      </c>
      <c r="AS51" s="176"/>
      <c r="AT51" s="175">
        <f t="shared" si="3"/>
        <v>3583.7529723427879</v>
      </c>
      <c r="AU51" s="4"/>
      <c r="AV51" s="175">
        <f t="shared" si="4"/>
        <v>27603.116793802099</v>
      </c>
      <c r="AW51" s="318"/>
      <c r="AX51" s="177">
        <f t="shared" si="9"/>
        <v>31186.869766144886</v>
      </c>
      <c r="AZ51" s="168">
        <f>+IF(AZ50&gt;$G$13+$G$14,XX,AZ50+1)</f>
        <v>2029</v>
      </c>
      <c r="BA51" s="138"/>
      <c r="BB51" s="176">
        <f t="shared" si="18"/>
        <v>57.678686791204164</v>
      </c>
      <c r="BC51" s="4"/>
      <c r="BD51" s="176">
        <f t="shared" si="19"/>
        <v>8.7696518884934722</v>
      </c>
      <c r="BE51" s="4"/>
      <c r="BF51" s="175">
        <f t="shared" si="10"/>
        <v>4447.229028526217</v>
      </c>
      <c r="BG51" s="4"/>
      <c r="BH51" s="179"/>
    </row>
    <row r="52" spans="2:60" ht="12">
      <c r="B52" s="3"/>
      <c r="C52" s="7">
        <f>+IF(C51&gt;$G$13+$G$14,XX,C51+1)</f>
        <v>2030</v>
      </c>
      <c r="D52" s="7"/>
      <c r="E52" s="311">
        <v>0.02</v>
      </c>
      <c r="F52" s="7"/>
      <c r="G52" s="23">
        <f>G51</f>
        <v>305473.07679881854</v>
      </c>
      <c r="H52" s="7"/>
      <c r="I52" s="30">
        <f t="shared" si="11"/>
        <v>291.74184010941065</v>
      </c>
      <c r="J52" s="7"/>
      <c r="K52" s="30">
        <f t="shared" si="12"/>
        <v>19.648154280144226</v>
      </c>
      <c r="L52" s="7"/>
      <c r="M52" s="30">
        <f t="shared" si="13"/>
        <v>4.7012838367519807</v>
      </c>
      <c r="N52" s="7"/>
      <c r="O52" s="314">
        <v>7.7859332037279625</v>
      </c>
      <c r="P52" s="7"/>
      <c r="Q52" s="30">
        <v>0</v>
      </c>
      <c r="R52" s="7"/>
      <c r="S52" s="23">
        <f t="shared" si="5"/>
        <v>39136.54568237935</v>
      </c>
      <c r="T52" s="7"/>
      <c r="U52" s="23">
        <f t="shared" si="0"/>
        <v>31812.336182861065</v>
      </c>
      <c r="V52" s="7"/>
      <c r="W52" s="23">
        <f t="shared" si="1"/>
        <v>7324.2094995182852</v>
      </c>
      <c r="X52" s="7"/>
      <c r="Y52" s="315">
        <f t="shared" si="6"/>
        <v>23.976612198599536</v>
      </c>
      <c r="Z52" s="271"/>
      <c r="AB52" s="168">
        <f>+IF(AB51&gt;$G$13+$G$14,XX,AB51+1)</f>
        <v>2030</v>
      </c>
      <c r="AC52" s="138"/>
      <c r="AD52" s="173">
        <f t="shared" si="2"/>
        <v>305473.07679881854</v>
      </c>
      <c r="AE52" s="4"/>
      <c r="AF52" s="176">
        <f t="shared" si="14"/>
        <v>87.311092210674104</v>
      </c>
      <c r="AG52" s="4"/>
      <c r="AH52" s="176">
        <f t="shared" si="15"/>
        <v>12.309456826104254</v>
      </c>
      <c r="AI52" s="4"/>
      <c r="AJ52" s="176">
        <f t="shared" si="16"/>
        <v>3.4602565474586138</v>
      </c>
      <c r="AK52" s="4"/>
      <c r="AL52" s="175">
        <f t="shared" si="7"/>
        <v>8191.6016408863852</v>
      </c>
      <c r="AM52" s="4"/>
      <c r="AN52" s="176">
        <f>INDEX('(2.2)_Forward_Price_Curve'!$G:$G,MATCH($AB52,'(2.2)_Forward_Price_Curve'!$C:$C,0),1)</f>
        <v>12.192776449380618</v>
      </c>
      <c r="AO52" s="4"/>
      <c r="AP52" s="176">
        <f t="shared" si="8"/>
        <v>88.592973760964796</v>
      </c>
      <c r="AQ52" s="4"/>
      <c r="AR52" s="176">
        <f t="shared" si="17"/>
        <v>3.5817882381598487</v>
      </c>
      <c r="AS52" s="176"/>
      <c r="AT52" s="175">
        <f t="shared" si="3"/>
        <v>3655.4280317896446</v>
      </c>
      <c r="AU52" s="4"/>
      <c r="AV52" s="175">
        <f t="shared" si="4"/>
        <v>28156.90815107142</v>
      </c>
      <c r="AW52" s="318"/>
      <c r="AX52" s="177">
        <f t="shared" si="9"/>
        <v>31812.336182861065</v>
      </c>
      <c r="AZ52" s="168">
        <f>+IF(AZ51&gt;$G$13+$G$14,XX,AZ51+1)</f>
        <v>2030</v>
      </c>
      <c r="BA52" s="138"/>
      <c r="BB52" s="176">
        <f t="shared" si="18"/>
        <v>58.832260527028247</v>
      </c>
      <c r="BC52" s="4"/>
      <c r="BD52" s="176">
        <f t="shared" si="19"/>
        <v>8.9450449262633427</v>
      </c>
      <c r="BE52" s="4"/>
      <c r="BF52" s="175">
        <f>(BB52+BD52)*$BD$11</f>
        <v>4536.1736090967406</v>
      </c>
      <c r="BG52" s="4"/>
      <c r="BH52" s="179"/>
    </row>
    <row r="53" spans="2:60">
      <c r="B53" s="3"/>
      <c r="C53" s="4"/>
      <c r="D53" s="4"/>
      <c r="E53" s="192"/>
      <c r="F53" s="4"/>
      <c r="G53" s="309"/>
      <c r="H53" s="4"/>
      <c r="I53" s="309"/>
      <c r="J53" s="4"/>
      <c r="K53" s="309"/>
      <c r="L53" s="4"/>
      <c r="M53" s="309"/>
      <c r="N53" s="4"/>
      <c r="O53" s="309"/>
      <c r="P53" s="4"/>
      <c r="Q53" s="309"/>
      <c r="R53" s="4"/>
      <c r="S53" s="309"/>
      <c r="T53" s="4"/>
      <c r="U53" s="309"/>
      <c r="V53" s="4"/>
      <c r="W53" s="309"/>
      <c r="X53" s="4"/>
      <c r="Y53" s="319"/>
      <c r="Z53" s="271"/>
      <c r="AB53" s="3"/>
      <c r="AC53" s="4"/>
      <c r="AD53" s="4"/>
      <c r="AE53" s="4"/>
      <c r="AF53" s="320"/>
      <c r="AG53" s="4"/>
      <c r="AH53" s="320"/>
      <c r="AI53" s="4"/>
      <c r="AJ53" s="320"/>
      <c r="AK53" s="4"/>
      <c r="AL53" s="318"/>
      <c r="AM53" s="4"/>
      <c r="AN53" s="320"/>
      <c r="AO53" s="4"/>
      <c r="AP53" s="320"/>
      <c r="AQ53" s="4"/>
      <c r="AR53" s="320"/>
      <c r="AS53" s="320"/>
      <c r="AT53" s="320"/>
      <c r="AU53" s="4"/>
      <c r="AV53" s="318"/>
      <c r="AW53" s="318"/>
      <c r="AX53" s="321"/>
      <c r="AZ53" s="3"/>
      <c r="BA53" s="4"/>
      <c r="BB53" s="320"/>
      <c r="BC53" s="4"/>
      <c r="BD53" s="4"/>
      <c r="BE53" s="4"/>
      <c r="BF53" s="318"/>
      <c r="BG53" s="4"/>
      <c r="BH53" s="271"/>
    </row>
    <row r="54" spans="2:60" ht="12">
      <c r="B54" s="3"/>
      <c r="C54" s="322" t="str">
        <f>G14&amp;"-year Nominal Levelized at "&amp;TEXT($G$18,"#.00%")</f>
        <v>25-year Nominal Levelized at 7.13%</v>
      </c>
      <c r="E54" s="192"/>
      <c r="F54" s="4"/>
      <c r="G54" s="23">
        <f>+-PMT($G$18,$G$14,NPV($G$18,G28:G52))</f>
        <v>305620.97890622105</v>
      </c>
      <c r="H54" s="7"/>
      <c r="I54" s="30">
        <f>+-PMT($G$18,$G$14,NPV($G$18,I28:I52))</f>
        <v>220.97337495353008</v>
      </c>
      <c r="J54" s="30"/>
      <c r="K54" s="30">
        <f>+-PMT($G$18,$G$14,NPV($G$18,K28:K52))</f>
        <v>14.882057922383913</v>
      </c>
      <c r="L54" s="7"/>
      <c r="M54" s="30">
        <f>+-PMT($G$18,$G$14,NPV($G$18,M28:M52))</f>
        <v>3.5608829903587615</v>
      </c>
      <c r="N54" s="7"/>
      <c r="O54" s="30">
        <f>+-PMT($G$18,$G$14,NPV($G$18,O28:O52))</f>
        <v>5.8925630068970793</v>
      </c>
      <c r="P54" s="7"/>
      <c r="Q54" s="30">
        <f>+-PMT($G$18,$G$14,NPV($G$18,Q28:Q52))</f>
        <v>-20.092493005558495</v>
      </c>
      <c r="R54" s="7"/>
      <c r="S54" s="23">
        <f>+-PMT($G$18,$G$14,NPV($G$18,S28:S52))</f>
        <v>23505.013714272351</v>
      </c>
      <c r="T54" s="7"/>
      <c r="U54" s="23">
        <f>+-PMT($G$18,$G$14,NPV($G$18,U28:U52))</f>
        <v>22409.681464178528</v>
      </c>
      <c r="V54" s="4"/>
      <c r="W54" s="23">
        <f>+-PMT($G$18,$G$14,NPV($G$18,W28:W52))</f>
        <v>1095.3322500938236</v>
      </c>
      <c r="X54" s="4"/>
      <c r="Y54" s="315">
        <f>+W54/G54*1000</f>
        <v>3.5839563567065311</v>
      </c>
      <c r="Z54" s="271"/>
      <c r="AB54" s="3"/>
      <c r="AC54" s="4"/>
      <c r="AD54" s="173">
        <f>+-PMT($G$18,$G$14,NPV($G$18,AD28:AD52))</f>
        <v>305620.97890622105</v>
      </c>
      <c r="AE54" s="4"/>
      <c r="AF54" s="176">
        <f>+-PMT($G$18,$G$14,NPV($G$18,AF28:AF52))</f>
        <v>66.131846941926483</v>
      </c>
      <c r="AG54" s="4"/>
      <c r="AH54" s="176">
        <f>+-PMT($G$18,$G$14,NPV($G$18,AH28:AH52))</f>
        <v>9.3235245849170365</v>
      </c>
      <c r="AI54" s="4"/>
      <c r="AJ54" s="176">
        <f>+-PMT($G$18,$G$14,NPV($G$18,AJ28:AJ52))</f>
        <v>2.6208944428753376</v>
      </c>
      <c r="AK54" s="4"/>
      <c r="AL54" s="175">
        <f>+-PMT($G$18,$G$14,NPV($G$18,AL28:AL52))</f>
        <v>6204.9364487534567</v>
      </c>
      <c r="AM54" s="4"/>
      <c r="AN54" s="176">
        <f>+-PMT($G$18,$G$14,NPV($G$18,AN28:AN52))</f>
        <v>8.4711178089262802</v>
      </c>
      <c r="AO54" s="4"/>
      <c r="AP54" s="176">
        <f>+-PMT($G$18,$G$14,NPV($G$18,AP28:AP52))</f>
        <v>61.551322694050654</v>
      </c>
      <c r="AQ54" s="4"/>
      <c r="AR54" s="176">
        <f>+-PMT($G$18,$G$14,NPV($G$18,AR28:AR52))</f>
        <v>2.7129459218404013</v>
      </c>
      <c r="AS54" s="176"/>
      <c r="AT54" s="175">
        <f>+-PMT($G$18,$G$14,NPV($G$18,AT28:AT52))</f>
        <v>2769.1125319600128</v>
      </c>
      <c r="AU54" s="4"/>
      <c r="AV54" s="175">
        <f>+-PMT($G$18,$G$14,NPV($G$18,AV28:AV52))</f>
        <v>19640.568932218514</v>
      </c>
      <c r="AW54" s="318"/>
      <c r="AX54" s="177">
        <f>+-PMT($G$18,$G$14,NPV($G$18,AX28:AX52))</f>
        <v>22409.681464178528</v>
      </c>
      <c r="AZ54" s="3"/>
      <c r="BA54" s="4"/>
      <c r="BB54" s="176">
        <f>+-PMT($G$18,$G$14,NPV($G$18,BB28:BB52))</f>
        <v>44.561188617742708</v>
      </c>
      <c r="BC54" s="4"/>
      <c r="BD54" s="176">
        <f>+-PMT($G$18,$G$14,NPV($G$18,BD28:BD52))</f>
        <v>6.7752255409305695</v>
      </c>
      <c r="BE54" s="4"/>
      <c r="BF54" s="175">
        <f>+-PMT($G$18,$G$14,NPV($G$18,BF28:BF52))</f>
        <v>3435.823916793443</v>
      </c>
      <c r="BG54" s="4"/>
      <c r="BH54" s="179"/>
    </row>
    <row r="55" spans="2:60">
      <c r="B55" s="3"/>
      <c r="C55" s="4"/>
      <c r="D55" s="4"/>
      <c r="E55" s="19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23"/>
      <c r="X55" s="4"/>
      <c r="Y55" s="324"/>
      <c r="Z55" s="271"/>
      <c r="AB55" s="3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318"/>
      <c r="AU55" s="4"/>
      <c r="AV55" s="4"/>
      <c r="AW55" s="4"/>
      <c r="AX55" s="271"/>
      <c r="AZ55" s="3"/>
      <c r="BA55" s="4"/>
      <c r="BB55" s="4"/>
      <c r="BC55" s="4"/>
      <c r="BD55" s="4"/>
      <c r="BE55" s="4"/>
      <c r="BF55" s="4"/>
      <c r="BG55" s="4"/>
      <c r="BH55" s="271"/>
    </row>
    <row r="56" spans="2:60">
      <c r="B56" s="275"/>
      <c r="C56" s="325"/>
      <c r="D56" s="325"/>
      <c r="E56" s="326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278"/>
      <c r="AB56" s="27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278"/>
      <c r="AZ56" s="275"/>
      <c r="BA56" s="325"/>
      <c r="BB56" s="325"/>
      <c r="BC56" s="325"/>
      <c r="BD56" s="325"/>
      <c r="BE56" s="325"/>
      <c r="BF56" s="325"/>
      <c r="BG56" s="325"/>
      <c r="BH56" s="278"/>
    </row>
    <row r="57" spans="2:60">
      <c r="E57" s="327"/>
    </row>
    <row r="58" spans="2:60">
      <c r="E58" s="327"/>
      <c r="G58" s="328"/>
      <c r="I58" s="328"/>
      <c r="K58" s="328"/>
      <c r="O58" s="328"/>
      <c r="Q58" s="328"/>
      <c r="S58" s="328"/>
      <c r="U58" s="328"/>
      <c r="W58" s="328"/>
    </row>
    <row r="59" spans="2:60">
      <c r="E59" s="327"/>
    </row>
    <row r="60" spans="2:60">
      <c r="E60" s="327"/>
    </row>
    <row r="61" spans="2:60">
      <c r="E61" s="327"/>
    </row>
    <row r="62" spans="2:60">
      <c r="E62" s="327"/>
    </row>
    <row r="63" spans="2:60">
      <c r="E63" s="327"/>
    </row>
    <row r="64" spans="2:60">
      <c r="E64" s="327"/>
    </row>
    <row r="65" spans="5:5">
      <c r="E65" s="327"/>
    </row>
    <row r="66" spans="5:5">
      <c r="E66" s="327"/>
    </row>
    <row r="67" spans="5:5">
      <c r="E67" s="327"/>
    </row>
    <row r="68" spans="5:5">
      <c r="E68" s="327"/>
    </row>
    <row r="69" spans="5:5">
      <c r="E69" s="327"/>
    </row>
    <row r="70" spans="5:5">
      <c r="E70" s="327"/>
    </row>
    <row r="71" spans="5:5">
      <c r="E71" s="327"/>
    </row>
    <row r="72" spans="5:5">
      <c r="E72" s="327"/>
    </row>
    <row r="73" spans="5:5">
      <c r="E73" s="327"/>
    </row>
    <row r="74" spans="5:5">
      <c r="E74" s="327"/>
    </row>
    <row r="75" spans="5:5">
      <c r="E75" s="327"/>
    </row>
    <row r="76" spans="5:5">
      <c r="E76" s="327"/>
    </row>
    <row r="77" spans="5:5">
      <c r="E77" s="327"/>
    </row>
    <row r="78" spans="5:5">
      <c r="E78" s="327"/>
    </row>
    <row r="79" spans="5:5">
      <c r="E79" s="327"/>
    </row>
    <row r="80" spans="5:5">
      <c r="E80" s="327"/>
    </row>
  </sheetData>
  <pageMargins left="0.25" right="0.25" top="0.25" bottom="0.75" header="0.3" footer="0.3"/>
  <pageSetup paperSize="5" scale="4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80"/>
  <sheetViews>
    <sheetView topLeftCell="A7" workbookViewId="0">
      <selection activeCell="M36" sqref="M36"/>
    </sheetView>
  </sheetViews>
  <sheetFormatPr defaultRowHeight="11.25"/>
  <cols>
    <col min="1" max="1" width="8.1640625" style="157" customWidth="1"/>
    <col min="2" max="2" width="4.1640625" style="157" customWidth="1"/>
    <col min="3" max="3" width="11" style="157" customWidth="1"/>
    <col min="4" max="4" width="4.83203125" style="157" customWidth="1"/>
    <col min="5" max="5" width="10.83203125" style="157" customWidth="1"/>
    <col min="6" max="6" width="4.33203125" style="157" customWidth="1"/>
    <col min="7" max="7" width="17.33203125" style="157" customWidth="1"/>
    <col min="8" max="8" width="2.83203125" style="157" customWidth="1"/>
    <col min="9" max="9" width="13.5" style="157" customWidth="1"/>
    <col min="10" max="10" width="2.83203125" style="157" customWidth="1"/>
    <col min="11" max="11" width="13.5" style="157" customWidth="1"/>
    <col min="12" max="12" width="2.83203125" style="157" customWidth="1"/>
    <col min="13" max="13" width="15.33203125" style="157" customWidth="1"/>
    <col min="14" max="14" width="2.83203125" style="157" customWidth="1"/>
    <col min="15" max="15" width="13.1640625" style="157" customWidth="1"/>
    <col min="16" max="16" width="2.83203125" style="157" customWidth="1"/>
    <col min="17" max="17" width="13.83203125" style="157" customWidth="1"/>
    <col min="18" max="18" width="3.1640625" style="157" customWidth="1"/>
    <col min="19" max="19" width="13.1640625" style="157" customWidth="1"/>
    <col min="20" max="20" width="2.83203125" style="157" customWidth="1"/>
    <col min="21" max="21" width="15.1640625" style="157" customWidth="1"/>
    <col min="22" max="22" width="2.83203125" style="157" customWidth="1"/>
    <col min="23" max="23" width="14.1640625" style="157" customWidth="1"/>
    <col min="24" max="24" width="2.83203125" style="157" customWidth="1"/>
    <col min="25" max="25" width="14.6640625" style="157" customWidth="1"/>
    <col min="26" max="26" width="2.83203125" style="157" customWidth="1"/>
    <col min="27" max="27" width="2.6640625" style="157" customWidth="1"/>
    <col min="28" max="28" width="7.83203125" style="157" customWidth="1"/>
    <col min="29" max="29" width="3" style="157" customWidth="1"/>
    <col min="30" max="30" width="13" style="157" bestFit="1" customWidth="1"/>
    <col min="31" max="31" width="3.1640625" style="157" customWidth="1"/>
    <col min="32" max="32" width="12.1640625" style="157" customWidth="1"/>
    <col min="33" max="33" width="2.33203125" style="157" customWidth="1"/>
    <col min="34" max="34" width="14.5" style="157" customWidth="1"/>
    <col min="35" max="35" width="3" style="157" customWidth="1"/>
    <col min="36" max="36" width="13.1640625" style="157" customWidth="1"/>
    <col min="37" max="37" width="2.33203125" style="157" customWidth="1"/>
    <col min="38" max="38" width="13.6640625" style="157" customWidth="1"/>
    <col min="39" max="39" width="1.5" style="157" customWidth="1"/>
    <col min="40" max="40" width="9.33203125" style="157"/>
    <col min="41" max="41" width="1.33203125" style="157" customWidth="1"/>
    <col min="42" max="42" width="11.33203125" style="157" customWidth="1"/>
    <col min="43" max="43" width="2.5" style="157" customWidth="1"/>
    <col min="44" max="44" width="12.6640625" style="157" customWidth="1"/>
    <col min="45" max="45" width="4" style="157" customWidth="1"/>
    <col min="46" max="46" width="10.1640625" style="157" customWidth="1"/>
    <col min="47" max="47" width="3.33203125" style="157" customWidth="1"/>
    <col min="48" max="48" width="12" style="157" customWidth="1"/>
    <col min="49" max="49" width="1.5" style="157" customWidth="1"/>
    <col min="50" max="50" width="11.33203125" style="157" customWidth="1"/>
    <col min="51" max="51" width="1.83203125" style="157" customWidth="1"/>
    <col min="52" max="52" width="9.33203125" style="157"/>
    <col min="53" max="53" width="2.83203125" style="157" customWidth="1"/>
    <col min="54" max="54" width="9.33203125" style="157"/>
    <col min="55" max="55" width="4" style="157" customWidth="1"/>
    <col min="56" max="56" width="9.33203125" style="157"/>
    <col min="57" max="57" width="2.83203125" style="157" customWidth="1"/>
    <col min="58" max="58" width="10.5" style="157" bestFit="1" customWidth="1"/>
    <col min="59" max="59" width="2.33203125" style="157" customWidth="1"/>
    <col min="60" max="16384" width="9.33203125" style="157"/>
  </cols>
  <sheetData>
    <row r="1" spans="1:57" s="264" customFormat="1">
      <c r="A1" s="264" t="str">
        <f>+'Workpaper Index'!C3</f>
        <v>PACIFICORP</v>
      </c>
    </row>
    <row r="2" spans="1:57" s="264" customFormat="1">
      <c r="A2" s="264" t="str">
        <f>+'Workpaper Index'!$C$4</f>
        <v xml:space="preserve">WASHINGTON AUGUST 23, 2019 RENEWABLES REPORT </v>
      </c>
    </row>
    <row r="3" spans="1:57" s="264" customFormat="1">
      <c r="A3" s="264" t="str">
        <f>+'Workpaper Index'!C5</f>
        <v>EVALUATION OF RENEWABLE RESOURCE COST</v>
      </c>
    </row>
    <row r="4" spans="1:57" s="264" customFormat="1"/>
    <row r="5" spans="1:57" s="264" customFormat="1">
      <c r="A5" s="264" t="s">
        <v>234</v>
      </c>
    </row>
    <row r="8" spans="1:57">
      <c r="B8" s="280"/>
      <c r="C8" s="281" t="s">
        <v>109</v>
      </c>
      <c r="D8" s="281"/>
      <c r="E8" s="281"/>
      <c r="F8" s="282"/>
      <c r="G8" s="281"/>
      <c r="H8" s="283"/>
      <c r="AB8" s="284" t="s">
        <v>110</v>
      </c>
      <c r="AC8" s="285"/>
      <c r="AD8" s="285"/>
      <c r="AE8" s="285"/>
      <c r="AF8" s="285"/>
      <c r="AG8" s="285"/>
      <c r="AH8" s="285"/>
      <c r="AI8" s="285"/>
      <c r="AJ8" s="285"/>
      <c r="AK8" s="286"/>
      <c r="AZ8" s="284" t="s">
        <v>111</v>
      </c>
      <c r="BA8" s="285"/>
      <c r="BB8" s="285"/>
      <c r="BC8" s="285"/>
      <c r="BD8" s="285"/>
      <c r="BE8" s="286"/>
    </row>
    <row r="9" spans="1:57" ht="12">
      <c r="B9" s="287"/>
      <c r="C9" s="288"/>
      <c r="D9" s="288"/>
      <c r="E9" s="288"/>
      <c r="F9" s="288"/>
      <c r="G9" s="288"/>
      <c r="H9" s="289"/>
      <c r="J9" s="290"/>
      <c r="AB9" s="137"/>
      <c r="AC9" s="138"/>
      <c r="AD9" s="138"/>
      <c r="AE9" s="138"/>
      <c r="AF9" s="139"/>
      <c r="AG9" s="138"/>
      <c r="AH9" s="138"/>
      <c r="AI9" s="138"/>
      <c r="AJ9" s="140"/>
      <c r="AK9" s="141"/>
      <c r="AZ9" s="137"/>
      <c r="BA9" s="138"/>
      <c r="BB9" s="138"/>
      <c r="BC9" s="138"/>
      <c r="BD9" s="139"/>
      <c r="BE9" s="142"/>
    </row>
    <row r="10" spans="1:57" ht="12">
      <c r="B10" s="291"/>
      <c r="C10" s="292" t="s">
        <v>112</v>
      </c>
      <c r="D10" s="292"/>
      <c r="E10" s="292"/>
      <c r="F10" s="292"/>
      <c r="G10" s="293" t="s">
        <v>167</v>
      </c>
      <c r="H10" s="294"/>
      <c r="AB10" s="143"/>
      <c r="AC10" s="144"/>
      <c r="AD10" s="144"/>
      <c r="AE10" s="144"/>
      <c r="AF10" s="145"/>
      <c r="AG10" s="146"/>
      <c r="AH10" s="147"/>
      <c r="AI10" s="148"/>
      <c r="AJ10" s="4"/>
      <c r="AK10" s="271"/>
      <c r="AZ10" s="143"/>
      <c r="BA10" s="144"/>
      <c r="BB10" s="144"/>
      <c r="BC10" s="144"/>
      <c r="BD10" s="145"/>
      <c r="BE10" s="149"/>
    </row>
    <row r="11" spans="1:57" ht="12">
      <c r="B11" s="291"/>
      <c r="C11" s="292" t="s">
        <v>41</v>
      </c>
      <c r="D11" s="292"/>
      <c r="E11" s="292"/>
      <c r="F11" s="292"/>
      <c r="G11" s="293">
        <v>3.8999999999999986</v>
      </c>
      <c r="H11" s="294"/>
      <c r="AB11" s="143" t="s">
        <v>113</v>
      </c>
      <c r="AC11" s="144"/>
      <c r="AD11" s="144"/>
      <c r="AE11" s="144"/>
      <c r="AF11" s="155">
        <f>+G11*(G12/AJ16)</f>
        <v>1.944065484311051</v>
      </c>
      <c r="AG11" s="148"/>
      <c r="AH11" s="144" t="s">
        <v>114</v>
      </c>
      <c r="AI11" s="145"/>
      <c r="AJ11" s="150">
        <f>'(2.1)_Resources'!$N$56</f>
        <v>6.6035087719298247</v>
      </c>
      <c r="AK11" s="271"/>
      <c r="AZ11" s="143" t="s">
        <v>113</v>
      </c>
      <c r="BA11" s="144"/>
      <c r="BB11" s="144"/>
      <c r="BC11" s="144"/>
      <c r="BD11" s="155">
        <f>(AF11*AF13-G11*G19)</f>
        <v>0.44406548431105097</v>
      </c>
      <c r="BE11" s="151"/>
    </row>
    <row r="12" spans="1:57" ht="12">
      <c r="B12" s="291"/>
      <c r="C12" s="292" t="s">
        <v>42</v>
      </c>
      <c r="D12" s="292"/>
      <c r="E12" s="292"/>
      <c r="F12" s="292"/>
      <c r="G12" s="296">
        <v>0.38461538461538475</v>
      </c>
      <c r="H12" s="294"/>
      <c r="AB12" s="143" t="s">
        <v>42</v>
      </c>
      <c r="AC12" s="144"/>
      <c r="AD12" s="144"/>
      <c r="AE12" s="144"/>
      <c r="AF12" s="152">
        <f>+AD66/8760/AF11</f>
        <v>0.77157894736842125</v>
      </c>
      <c r="AG12" s="148"/>
      <c r="AH12" s="138" t="s">
        <v>115</v>
      </c>
      <c r="AI12" s="139"/>
      <c r="AJ12" s="138">
        <v>2002</v>
      </c>
      <c r="AK12" s="271"/>
      <c r="AZ12" s="143"/>
      <c r="BA12" s="144"/>
      <c r="BB12" s="144"/>
      <c r="BC12" s="144"/>
      <c r="BD12" s="152"/>
      <c r="BE12" s="153"/>
    </row>
    <row r="13" spans="1:57" ht="12">
      <c r="B13" s="291"/>
      <c r="C13" s="292" t="s">
        <v>43</v>
      </c>
      <c r="D13" s="292"/>
      <c r="E13" s="292"/>
      <c r="F13" s="292"/>
      <c r="G13" s="293">
        <v>2003</v>
      </c>
      <c r="H13" s="294"/>
      <c r="AB13" s="143" t="s">
        <v>116</v>
      </c>
      <c r="AC13" s="144"/>
      <c r="AD13" s="144"/>
      <c r="AE13" s="144"/>
      <c r="AF13" s="154">
        <v>1</v>
      </c>
      <c r="AG13" s="148"/>
      <c r="AH13" s="138" t="s">
        <v>117</v>
      </c>
      <c r="AI13" s="139"/>
      <c r="AJ13" s="150">
        <f>'(2.1)_Resources'!$O$56</f>
        <v>1.5426421100500227</v>
      </c>
      <c r="AK13" s="271"/>
      <c r="AZ13" s="143" t="s">
        <v>116</v>
      </c>
      <c r="BA13" s="144"/>
      <c r="BB13" s="144"/>
      <c r="BC13" s="144"/>
      <c r="BD13" s="154">
        <v>1</v>
      </c>
      <c r="BE13" s="153"/>
    </row>
    <row r="14" spans="1:57" ht="12">
      <c r="B14" s="291"/>
      <c r="C14" s="292" t="s">
        <v>44</v>
      </c>
      <c r="D14" s="292"/>
      <c r="E14" s="292"/>
      <c r="F14" s="292"/>
      <c r="G14" s="293">
        <v>35</v>
      </c>
      <c r="H14" s="294"/>
      <c r="AB14" s="143" t="s">
        <v>118</v>
      </c>
      <c r="AC14" s="144"/>
      <c r="AD14" s="144"/>
      <c r="AE14" s="144"/>
      <c r="AF14" s="155">
        <f>'(2.1)_Resources'!$H$56</f>
        <v>7163.7407912687586</v>
      </c>
      <c r="AG14" s="148"/>
      <c r="AH14" s="138"/>
      <c r="AI14" s="139"/>
      <c r="AJ14" s="150"/>
      <c r="AK14" s="271"/>
      <c r="AZ14" s="143" t="s">
        <v>119</v>
      </c>
      <c r="BA14" s="144"/>
      <c r="BB14" s="144"/>
      <c r="BC14" s="144"/>
      <c r="BD14" s="156">
        <f>'(2.1)_Resources'!$J$57</f>
        <v>482</v>
      </c>
      <c r="BE14" s="153"/>
    </row>
    <row r="15" spans="1:57" ht="12">
      <c r="A15" s="157" t="s">
        <v>224</v>
      </c>
      <c r="B15" s="291"/>
      <c r="C15" s="292" t="s">
        <v>121</v>
      </c>
      <c r="D15" s="292"/>
      <c r="E15" s="292"/>
      <c r="F15" s="292"/>
      <c r="G15" s="297">
        <f>S28*1000/(G11*1000)</f>
        <v>155.6371642434062</v>
      </c>
      <c r="H15" s="294"/>
      <c r="AB15" s="143" t="s">
        <v>220</v>
      </c>
      <c r="AC15" s="144"/>
      <c r="AD15" s="144"/>
      <c r="AE15" s="144"/>
      <c r="AF15" s="156">
        <f>'(2.1)_Resources'!$J$56</f>
        <v>625</v>
      </c>
      <c r="AG15" s="148"/>
      <c r="AH15" s="138" t="s">
        <v>168</v>
      </c>
      <c r="AI15" s="139"/>
      <c r="AJ15" s="150">
        <f>'(2.1)_Resources'!$P$56</f>
        <v>3.1491524416152528</v>
      </c>
      <c r="AK15" s="271"/>
      <c r="AZ15" s="143" t="s">
        <v>122</v>
      </c>
      <c r="BA15" s="144"/>
      <c r="BB15" s="144"/>
      <c r="BC15" s="144"/>
      <c r="BD15" s="158">
        <f>'(2.1)_Resources'!$K$57</f>
        <v>9.5899999999999999E-2</v>
      </c>
      <c r="BE15" s="153"/>
    </row>
    <row r="16" spans="1:57" ht="12">
      <c r="A16" s="157" t="s">
        <v>224</v>
      </c>
      <c r="B16" s="291"/>
      <c r="C16" s="292" t="s">
        <v>123</v>
      </c>
      <c r="D16" s="292"/>
      <c r="E16" s="292"/>
      <c r="F16" s="292"/>
      <c r="G16" s="297">
        <v>0</v>
      </c>
      <c r="H16" s="294"/>
      <c r="AB16" s="143" t="s">
        <v>122</v>
      </c>
      <c r="AC16" s="144"/>
      <c r="AD16" s="144"/>
      <c r="AE16" s="144"/>
      <c r="AF16" s="158">
        <f>'(2.1)_Resources'!$K$54</f>
        <v>8.6099999999999996E-2</v>
      </c>
      <c r="AG16" s="148"/>
      <c r="AH16" s="138" t="s">
        <v>124</v>
      </c>
      <c r="AI16" s="145"/>
      <c r="AJ16" s="159">
        <f>'(2.1)_Resources'!$D$56</f>
        <v>0.77157894736842092</v>
      </c>
      <c r="AK16" s="271"/>
      <c r="AZ16" s="143" t="s">
        <v>114</v>
      </c>
      <c r="BA16" s="145"/>
      <c r="BB16" s="150">
        <f>'(2.1)_Resources'!N57</f>
        <v>10.050000000000001</v>
      </c>
      <c r="BC16" s="4"/>
      <c r="BD16" s="4"/>
      <c r="BE16" s="151"/>
    </row>
    <row r="17" spans="1:60" ht="12">
      <c r="A17" s="157" t="s">
        <v>224</v>
      </c>
      <c r="B17" s="291"/>
      <c r="C17" s="292" t="s">
        <v>125</v>
      </c>
      <c r="D17" s="292"/>
      <c r="E17" s="292"/>
      <c r="F17" s="292"/>
      <c r="G17" s="297">
        <v>0</v>
      </c>
      <c r="H17" s="294"/>
      <c r="AB17" s="3"/>
      <c r="AG17" s="148"/>
      <c r="AH17" s="4"/>
      <c r="AI17" s="148"/>
      <c r="AJ17" s="144"/>
      <c r="AK17" s="151"/>
      <c r="AZ17" s="137" t="s">
        <v>115</v>
      </c>
      <c r="BA17" s="139"/>
      <c r="BB17" s="138">
        <v>2002</v>
      </c>
      <c r="BC17" s="4"/>
      <c r="BD17" s="4"/>
      <c r="BE17" s="149"/>
    </row>
    <row r="18" spans="1:60" ht="12">
      <c r="B18" s="291"/>
      <c r="C18" s="292" t="s">
        <v>126</v>
      </c>
      <c r="D18" s="292"/>
      <c r="E18" s="292"/>
      <c r="F18" s="292"/>
      <c r="G18" s="296">
        <v>8.6999999999999994E-2</v>
      </c>
      <c r="H18" s="29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2"/>
      <c r="AZ18" s="160"/>
      <c r="BA18" s="161"/>
      <c r="BB18" s="161"/>
      <c r="BC18" s="161"/>
      <c r="BD18" s="161"/>
      <c r="BE18" s="163"/>
    </row>
    <row r="19" spans="1:60">
      <c r="B19" s="298"/>
      <c r="C19" s="299" t="s">
        <v>116</v>
      </c>
      <c r="D19" s="299"/>
      <c r="E19" s="299"/>
      <c r="F19" s="299"/>
      <c r="G19" s="300">
        <v>0.38461538461538475</v>
      </c>
      <c r="H19" s="301"/>
    </row>
    <row r="20" spans="1:60">
      <c r="B20" s="264"/>
      <c r="C20" s="264"/>
      <c r="D20" s="264"/>
      <c r="E20" s="264"/>
      <c r="F20" s="264"/>
      <c r="G20" s="264"/>
      <c r="H20" s="264"/>
    </row>
    <row r="23" spans="1:60">
      <c r="B23" s="284"/>
      <c r="C23" s="302" t="s">
        <v>128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3"/>
      <c r="AB23" s="284" t="s">
        <v>110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6"/>
      <c r="AZ23" s="284" t="s">
        <v>111</v>
      </c>
      <c r="BA23" s="285"/>
      <c r="BB23" s="285"/>
      <c r="BC23" s="285"/>
      <c r="BD23" s="285"/>
      <c r="BE23" s="285"/>
      <c r="BF23" s="285"/>
      <c r="BG23" s="285"/>
      <c r="BH23" s="286"/>
    </row>
    <row r="24" spans="1:60">
      <c r="B24" s="3"/>
      <c r="C24" s="4"/>
      <c r="D24" s="4"/>
      <c r="E24" s="4"/>
      <c r="F24" s="4"/>
      <c r="G24" s="304"/>
      <c r="H24" s="4"/>
      <c r="I24" s="304"/>
      <c r="J24" s="4"/>
      <c r="K24" s="304"/>
      <c r="L24" s="4"/>
      <c r="M24" s="4"/>
      <c r="N24" s="4"/>
      <c r="O24" s="304"/>
      <c r="P24" s="4"/>
      <c r="Q24" s="304"/>
      <c r="R24" s="4"/>
      <c r="S24" s="304"/>
      <c r="T24" s="4"/>
      <c r="U24" s="304"/>
      <c r="V24" s="4"/>
      <c r="W24" s="304"/>
      <c r="X24" s="4"/>
      <c r="Y24" s="304"/>
      <c r="Z24" s="271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71"/>
      <c r="AZ24" s="3"/>
      <c r="BA24" s="4"/>
      <c r="BB24" s="4"/>
      <c r="BC24" s="4"/>
      <c r="BD24" s="4"/>
      <c r="BE24" s="4"/>
      <c r="BF24" s="4"/>
      <c r="BG24" s="4"/>
      <c r="BH24" s="271"/>
    </row>
    <row r="25" spans="1:60" ht="60">
      <c r="B25" s="3"/>
      <c r="C25" s="4"/>
      <c r="D25" s="4"/>
      <c r="E25" s="304"/>
      <c r="F25" s="4"/>
      <c r="G25" s="305" t="s">
        <v>129</v>
      </c>
      <c r="H25" s="4"/>
      <c r="I25" s="305" t="s">
        <v>130</v>
      </c>
      <c r="J25" s="4"/>
      <c r="K25" s="305" t="s">
        <v>131</v>
      </c>
      <c r="L25" s="4"/>
      <c r="M25" s="305" t="s">
        <v>125</v>
      </c>
      <c r="N25" s="4"/>
      <c r="O25" s="305" t="s">
        <v>132</v>
      </c>
      <c r="P25" s="4"/>
      <c r="Q25" s="305" t="s">
        <v>133</v>
      </c>
      <c r="R25" s="4"/>
      <c r="S25" s="305" t="s">
        <v>30</v>
      </c>
      <c r="T25" s="4"/>
      <c r="U25" s="305" t="s">
        <v>134</v>
      </c>
      <c r="V25" s="4"/>
      <c r="W25" s="305" t="s">
        <v>135</v>
      </c>
      <c r="X25" s="270"/>
      <c r="Y25" s="305" t="s">
        <v>135</v>
      </c>
      <c r="Z25" s="271"/>
      <c r="AB25" s="164"/>
      <c r="AC25" s="139"/>
      <c r="AD25" s="306" t="s">
        <v>129</v>
      </c>
      <c r="AE25" s="4"/>
      <c r="AF25" s="165" t="s">
        <v>136</v>
      </c>
      <c r="AG25" s="166"/>
      <c r="AH25" s="165" t="s">
        <v>137</v>
      </c>
      <c r="AI25" s="4"/>
      <c r="AJ25" s="165" t="s">
        <v>138</v>
      </c>
      <c r="AK25" s="4"/>
      <c r="AL25" s="165" t="s">
        <v>139</v>
      </c>
      <c r="AM25" s="4"/>
      <c r="AN25" s="165" t="s">
        <v>140</v>
      </c>
      <c r="AO25" s="4"/>
      <c r="AP25" s="165" t="s">
        <v>140</v>
      </c>
      <c r="AQ25" s="4"/>
      <c r="AR25" s="165" t="s">
        <v>160</v>
      </c>
      <c r="AS25" s="165"/>
      <c r="AT25" s="165" t="s">
        <v>141</v>
      </c>
      <c r="AU25" s="4"/>
      <c r="AV25" s="165" t="s">
        <v>142</v>
      </c>
      <c r="AW25" s="4"/>
      <c r="AX25" s="307" t="s">
        <v>143</v>
      </c>
      <c r="AZ25" s="164"/>
      <c r="BA25" s="139"/>
      <c r="BB25" s="165" t="s">
        <v>136</v>
      </c>
      <c r="BC25" s="4"/>
      <c r="BD25" s="165" t="s">
        <v>137</v>
      </c>
      <c r="BE25" s="4"/>
      <c r="BF25" s="165" t="s">
        <v>139</v>
      </c>
      <c r="BG25" s="4"/>
      <c r="BH25" s="167"/>
    </row>
    <row r="26" spans="1:60" ht="22.5">
      <c r="B26" s="3"/>
      <c r="C26" s="308" t="s">
        <v>144</v>
      </c>
      <c r="D26" s="4"/>
      <c r="E26" s="305" t="s">
        <v>145</v>
      </c>
      <c r="F26" s="4"/>
      <c r="G26" s="304" t="s">
        <v>146</v>
      </c>
      <c r="H26" s="4"/>
      <c r="I26" s="304" t="s">
        <v>147</v>
      </c>
      <c r="J26" s="4"/>
      <c r="K26" s="304" t="str">
        <f>"($/MWH)"</f>
        <v>($/MWH)</v>
      </c>
      <c r="L26" s="4"/>
      <c r="M26" s="304" t="str">
        <f>"($/MWH)"</f>
        <v>($/MWH)</v>
      </c>
      <c r="N26" s="4"/>
      <c r="O26" s="304" t="str">
        <f>"($/MWH)"</f>
        <v>($/MWH)</v>
      </c>
      <c r="P26" s="4"/>
      <c r="Q26" s="304" t="str">
        <f>"($/MWH)"</f>
        <v>($/MWH)</v>
      </c>
      <c r="R26" s="4"/>
      <c r="S26" s="304" t="str">
        <f>"($000)"</f>
        <v>($000)</v>
      </c>
      <c r="T26" s="4"/>
      <c r="U26" s="304" t="str">
        <f>"($000)"</f>
        <v>($000)</v>
      </c>
      <c r="V26" s="4"/>
      <c r="W26" s="304" t="str">
        <f>"($000)"</f>
        <v>($000)</v>
      </c>
      <c r="X26" s="270"/>
      <c r="Y26" s="304" t="s">
        <v>148</v>
      </c>
      <c r="Z26" s="271"/>
      <c r="AB26" s="168" t="s">
        <v>90</v>
      </c>
      <c r="AC26" s="139"/>
      <c r="AD26" s="4" t="s">
        <v>146</v>
      </c>
      <c r="AE26" s="4"/>
      <c r="AF26" s="166" t="s">
        <v>147</v>
      </c>
      <c r="AG26" s="166"/>
      <c r="AH26" s="166" t="s">
        <v>147</v>
      </c>
      <c r="AI26" s="4"/>
      <c r="AJ26" s="166" t="s">
        <v>149</v>
      </c>
      <c r="AK26" s="4"/>
      <c r="AL26" s="166" t="s">
        <v>150</v>
      </c>
      <c r="AM26" s="4"/>
      <c r="AN26" s="166" t="s">
        <v>151</v>
      </c>
      <c r="AO26" s="4"/>
      <c r="AP26" s="166" t="s">
        <v>149</v>
      </c>
      <c r="AQ26" s="4"/>
      <c r="AR26" s="166" t="s">
        <v>149</v>
      </c>
      <c r="AS26" s="166"/>
      <c r="AT26" s="166" t="s">
        <v>150</v>
      </c>
      <c r="AU26" s="4"/>
      <c r="AV26" s="166" t="s">
        <v>150</v>
      </c>
      <c r="AW26" s="4"/>
      <c r="AX26" s="169" t="s">
        <v>150</v>
      </c>
      <c r="AZ26" s="168" t="s">
        <v>90</v>
      </c>
      <c r="BA26" s="139"/>
      <c r="BB26" s="166" t="s">
        <v>147</v>
      </c>
      <c r="BC26" s="4"/>
      <c r="BD26" s="166" t="s">
        <v>147</v>
      </c>
      <c r="BE26" s="4"/>
      <c r="BF26" s="166" t="s">
        <v>150</v>
      </c>
      <c r="BG26" s="4"/>
      <c r="BH26" s="169"/>
    </row>
    <row r="27" spans="1:60" ht="12">
      <c r="B27" s="3"/>
      <c r="C27" s="309" t="s">
        <v>48</v>
      </c>
      <c r="D27" s="4"/>
      <c r="E27" s="309" t="s">
        <v>48</v>
      </c>
      <c r="F27" s="4"/>
      <c r="G27" s="309" t="s">
        <v>48</v>
      </c>
      <c r="H27" s="4"/>
      <c r="I27" s="309" t="s">
        <v>48</v>
      </c>
      <c r="J27" s="4"/>
      <c r="K27" s="309" t="s">
        <v>48</v>
      </c>
      <c r="L27" s="4"/>
      <c r="M27" s="309" t="s">
        <v>48</v>
      </c>
      <c r="N27" s="4"/>
      <c r="O27" s="309" t="s">
        <v>48</v>
      </c>
      <c r="P27" s="4"/>
      <c r="Q27" s="309" t="s">
        <v>48</v>
      </c>
      <c r="R27" s="4"/>
      <c r="S27" s="309" t="s">
        <v>48</v>
      </c>
      <c r="T27" s="4"/>
      <c r="U27" s="309" t="s">
        <v>48</v>
      </c>
      <c r="V27" s="4"/>
      <c r="W27" s="309" t="s">
        <v>48</v>
      </c>
      <c r="X27" s="4"/>
      <c r="Y27" s="309" t="s">
        <v>48</v>
      </c>
      <c r="Z27" s="271"/>
      <c r="AB27" s="170" t="s">
        <v>48</v>
      </c>
      <c r="AC27" s="139"/>
      <c r="AD27" s="171" t="s">
        <v>48</v>
      </c>
      <c r="AE27" s="4"/>
      <c r="AF27" s="171" t="s">
        <v>48</v>
      </c>
      <c r="AG27" s="4"/>
      <c r="AH27" s="171" t="s">
        <v>48</v>
      </c>
      <c r="AI27" s="4"/>
      <c r="AJ27" s="171" t="s">
        <v>48</v>
      </c>
      <c r="AK27" s="4"/>
      <c r="AL27" s="171" t="s">
        <v>48</v>
      </c>
      <c r="AM27" s="4"/>
      <c r="AN27" s="171" t="s">
        <v>48</v>
      </c>
      <c r="AO27" s="310"/>
      <c r="AP27" s="171" t="s">
        <v>48</v>
      </c>
      <c r="AQ27" s="310"/>
      <c r="AR27" s="171" t="s">
        <v>48</v>
      </c>
      <c r="AS27" s="171"/>
      <c r="AT27" s="171"/>
      <c r="AU27" s="310"/>
      <c r="AV27" s="171" t="s">
        <v>48</v>
      </c>
      <c r="AW27" s="4"/>
      <c r="AX27" s="172" t="s">
        <v>48</v>
      </c>
      <c r="AZ27" s="170" t="s">
        <v>48</v>
      </c>
      <c r="BA27" s="139"/>
      <c r="BB27" s="171" t="s">
        <v>48</v>
      </c>
      <c r="BC27" s="4"/>
      <c r="BD27" s="171" t="s">
        <v>48</v>
      </c>
      <c r="BE27" s="4"/>
      <c r="BF27" s="171" t="s">
        <v>48</v>
      </c>
      <c r="BG27" s="4"/>
      <c r="BH27" s="172"/>
    </row>
    <row r="28" spans="1:60" ht="12">
      <c r="B28" s="3"/>
      <c r="C28" s="7">
        <f>+G13</f>
        <v>2003</v>
      </c>
      <c r="D28" s="7"/>
      <c r="E28" s="311">
        <f>'(2.2)_Forward_Price_Curve'!$BD$37</f>
        <v>2.5000000000000001E-2</v>
      </c>
      <c r="F28" s="7"/>
      <c r="G28" s="23">
        <v>13140</v>
      </c>
      <c r="H28" s="7"/>
      <c r="I28" s="312">
        <f>$G$15</f>
        <v>155.6371642434062</v>
      </c>
      <c r="J28" s="312"/>
      <c r="K28" s="312">
        <f>$G$16</f>
        <v>0</v>
      </c>
      <c r="L28" s="313"/>
      <c r="M28" s="312">
        <f>$G$17</f>
        <v>0</v>
      </c>
      <c r="N28" s="7"/>
      <c r="O28" s="314"/>
      <c r="P28" s="7"/>
      <c r="Q28" s="30"/>
      <c r="R28" s="7"/>
      <c r="S28" s="23">
        <v>606.98494054928403</v>
      </c>
      <c r="T28" s="7"/>
      <c r="U28" s="23">
        <f t="shared" ref="U28:U62" si="0">AX28</f>
        <v>507.86031953152184</v>
      </c>
      <c r="V28" s="7"/>
      <c r="W28" s="23">
        <f t="shared" ref="W28:W62" si="1">S28-U28</f>
        <v>99.124621017762195</v>
      </c>
      <c r="X28" s="7"/>
      <c r="Y28" s="315">
        <f>+W28*1000/G28</f>
        <v>7.5437306710625718</v>
      </c>
      <c r="Z28" s="271"/>
      <c r="AB28" s="168">
        <f>$C$28</f>
        <v>2003</v>
      </c>
      <c r="AC28" s="138"/>
      <c r="AD28" s="173">
        <f t="shared" ref="AD28:AD62" si="2">G28</f>
        <v>13140</v>
      </c>
      <c r="AE28" s="4"/>
      <c r="AF28" s="174">
        <f>$AF$15*$AF$16*(1+$E$28)</f>
        <v>55.157812499999999</v>
      </c>
      <c r="AG28" s="316"/>
      <c r="AH28" s="174">
        <f>$AJ$11*(1+$E$28)</f>
        <v>6.7685964912280694</v>
      </c>
      <c r="AI28" s="316"/>
      <c r="AJ28" s="174">
        <f>$AJ$13*(1+$E$28)</f>
        <v>1.5812081628012731</v>
      </c>
      <c r="AK28" s="317"/>
      <c r="AL28" s="175">
        <f>((AF28+AH28)*$AF$11*1000+AJ28*AD28)/1000</f>
        <v>141.16606954638473</v>
      </c>
      <c r="AM28" s="4"/>
      <c r="AN28" s="176">
        <f>INDEX('(2.2)_Forward_Price_Curve'!$H:$H,MATCH($AB28,'(2.2)_Forward_Price_Curve'!$C:$C,0),1)</f>
        <v>3.7170731707317075</v>
      </c>
      <c r="AO28" s="329"/>
      <c r="AP28" s="176">
        <f>AN28*$AF$14/1000</f>
        <v>26.628148697301437</v>
      </c>
      <c r="AQ28" s="316"/>
      <c r="AR28" s="174">
        <f>$AJ$15*(1+$E$28)</f>
        <v>3.2278812526556337</v>
      </c>
      <c r="AS28" s="174"/>
      <c r="AT28" s="175">
        <f t="shared" ref="AT28:AT62" si="3">AL28-BF28</f>
        <v>115.55208598908594</v>
      </c>
      <c r="AU28" s="317"/>
      <c r="AV28" s="175">
        <f t="shared" ref="AV28:AV62" si="4">(AP28+AR28)*AD28/1000</f>
        <v>392.30823354243591</v>
      </c>
      <c r="AW28" s="318"/>
      <c r="AX28" s="177">
        <f>AT28+AV28</f>
        <v>507.86031953152184</v>
      </c>
      <c r="AZ28" s="168">
        <f>$C$28</f>
        <v>2003</v>
      </c>
      <c r="BA28" s="138"/>
      <c r="BB28" s="174">
        <f>$BD$14*$BD$15*(1+$E$28)</f>
        <v>47.379394999999995</v>
      </c>
      <c r="BC28" s="4"/>
      <c r="BD28" s="174">
        <f>$BB$16*(1+$E$28)</f>
        <v>10.30125</v>
      </c>
      <c r="BE28" s="316"/>
      <c r="BF28" s="175">
        <f>(BB28+BD28)*$BD$11</f>
        <v>25.613983557298798</v>
      </c>
      <c r="BG28" s="316"/>
      <c r="BH28" s="178"/>
    </row>
    <row r="29" spans="1:60" ht="12">
      <c r="B29" s="3"/>
      <c r="C29" s="7">
        <f>+IF(C28&gt;$G$13+$G$14,XX,C28+1)</f>
        <v>2004</v>
      </c>
      <c r="D29" s="7"/>
      <c r="E29" s="311">
        <f>E28</f>
        <v>2.5000000000000001E-2</v>
      </c>
      <c r="F29" s="7"/>
      <c r="G29" s="23">
        <f>$G$28</f>
        <v>13140</v>
      </c>
      <c r="H29" s="7"/>
      <c r="I29" s="30">
        <f>I28*(1+$E29)</f>
        <v>159.52809334949134</v>
      </c>
      <c r="J29" s="7"/>
      <c r="K29" s="30">
        <f>K28*(1+$E29)</f>
        <v>0</v>
      </c>
      <c r="L29" s="7"/>
      <c r="M29" s="30">
        <f>M28*(1+$E29)</f>
        <v>0</v>
      </c>
      <c r="N29" s="7"/>
      <c r="O29" s="314"/>
      <c r="P29" s="7"/>
      <c r="Q29" s="30"/>
      <c r="R29" s="7"/>
      <c r="S29" s="23">
        <v>0</v>
      </c>
      <c r="T29" s="7"/>
      <c r="U29" s="23">
        <f t="shared" si="0"/>
        <v>520.55682751980976</v>
      </c>
      <c r="V29" s="7"/>
      <c r="W29" s="23">
        <f t="shared" si="1"/>
        <v>-520.55682751980976</v>
      </c>
      <c r="X29" s="7"/>
      <c r="Y29" s="315">
        <f t="shared" ref="Y29:Y62" si="5">+W29*1000/G29</f>
        <v>-39.616196919315811</v>
      </c>
      <c r="Z29" s="271"/>
      <c r="AB29" s="168">
        <f>+IF(AB28&gt;$G$13+$G$14,XX,AB28+1)</f>
        <v>2004</v>
      </c>
      <c r="AC29" s="138"/>
      <c r="AD29" s="173">
        <f t="shared" si="2"/>
        <v>13140</v>
      </c>
      <c r="AE29" s="4"/>
      <c r="AF29" s="176">
        <f>AF28*(1+$E29)</f>
        <v>56.536757812499992</v>
      </c>
      <c r="AG29" s="4"/>
      <c r="AH29" s="176">
        <f>AH28*(1+$E29)</f>
        <v>6.9378114035087703</v>
      </c>
      <c r="AI29" s="4"/>
      <c r="AJ29" s="176">
        <f>AJ28*(1+$E29)</f>
        <v>1.6207383668713047</v>
      </c>
      <c r="AK29" s="4"/>
      <c r="AL29" s="175">
        <f t="shared" ref="AL29:AL62" si="6">((AF29+AH29)*$AF$11*1000+AJ29*AD29)/1000</f>
        <v>144.69522128504434</v>
      </c>
      <c r="AM29" s="4"/>
      <c r="AN29" s="176">
        <f>INDEX('(2.2)_Forward_Price_Curve'!$H:$H,MATCH($AB29,'(2.2)_Forward_Price_Curve'!$C:$C,0),1)</f>
        <v>3.81</v>
      </c>
      <c r="AO29" s="4"/>
      <c r="AP29" s="176">
        <f t="shared" ref="AP29:AP62" si="7">AN29*$AF$14/1000</f>
        <v>27.293852414733969</v>
      </c>
      <c r="AQ29" s="4"/>
      <c r="AR29" s="176">
        <f>AR28*(1+$E29)</f>
        <v>3.3085782839720244</v>
      </c>
      <c r="AS29" s="176"/>
      <c r="AT29" s="175">
        <f t="shared" si="3"/>
        <v>118.44088813881308</v>
      </c>
      <c r="AU29" s="4"/>
      <c r="AV29" s="175">
        <f t="shared" si="4"/>
        <v>402.11593938099674</v>
      </c>
      <c r="AW29" s="318"/>
      <c r="AX29" s="177">
        <f t="shared" ref="AX29:AX62" si="8">AT29+AV29</f>
        <v>520.55682751980976</v>
      </c>
      <c r="AZ29" s="168">
        <f>+IF(AZ28&gt;$G$13+$G$14,XX,AZ28+1)</f>
        <v>2004</v>
      </c>
      <c r="BA29" s="138"/>
      <c r="BB29" s="176">
        <f>BB28*(1+$E29)</f>
        <v>48.563879874999991</v>
      </c>
      <c r="BC29" s="4"/>
      <c r="BD29" s="176">
        <f>BD28*(1+$E29)</f>
        <v>10.558781249999999</v>
      </c>
      <c r="BE29" s="4"/>
      <c r="BF29" s="175">
        <f t="shared" ref="BF29:BF62" si="9">(BB29+BD29)*$BD$11</f>
        <v>26.254333146231268</v>
      </c>
      <c r="BG29" s="4"/>
      <c r="BH29" s="179"/>
    </row>
    <row r="30" spans="1:60" ht="12">
      <c r="B30" s="3"/>
      <c r="C30" s="7">
        <f>+IF(C29&gt;$G$13+$G$14,XX,C29+1)</f>
        <v>2005</v>
      </c>
      <c r="D30" s="7"/>
      <c r="E30" s="311">
        <f t="shared" ref="E30:E62" si="10">E29</f>
        <v>2.5000000000000001E-2</v>
      </c>
      <c r="F30" s="7"/>
      <c r="G30" s="23">
        <f t="shared" ref="G30:G62" si="11">$G$28</f>
        <v>13140</v>
      </c>
      <c r="H30" s="7"/>
      <c r="I30" s="30">
        <f t="shared" ref="I30:I62" si="12">I29*(1+$E30)</f>
        <v>163.51629568322861</v>
      </c>
      <c r="J30" s="7"/>
      <c r="K30" s="30">
        <f t="shared" ref="K30:K62" si="13">K29*(1+$E30)</f>
        <v>0</v>
      </c>
      <c r="L30" s="7"/>
      <c r="M30" s="30">
        <f t="shared" ref="M30:M62" si="14">M29*(1+$E30)</f>
        <v>0</v>
      </c>
      <c r="N30" s="7"/>
      <c r="O30" s="314"/>
      <c r="P30" s="7"/>
      <c r="Q30" s="30"/>
      <c r="R30" s="7"/>
      <c r="S30" s="23">
        <v>0</v>
      </c>
      <c r="T30" s="7"/>
      <c r="U30" s="23">
        <f t="shared" si="0"/>
        <v>538.72445078915564</v>
      </c>
      <c r="V30" s="7"/>
      <c r="W30" s="23">
        <f t="shared" si="1"/>
        <v>-538.72445078915564</v>
      </c>
      <c r="X30" s="7"/>
      <c r="Y30" s="315">
        <f t="shared" si="5"/>
        <v>-40.998816650620675</v>
      </c>
      <c r="Z30" s="271"/>
      <c r="AB30" s="168">
        <f>+IF(AB29&gt;$G$13+$G$14,XX,AB29+1)</f>
        <v>2005</v>
      </c>
      <c r="AC30" s="138"/>
      <c r="AD30" s="173">
        <f t="shared" si="2"/>
        <v>13140</v>
      </c>
      <c r="AE30" s="4"/>
      <c r="AF30" s="176">
        <f t="shared" ref="AF30:AF62" si="15">AF29*(1+$E30)</f>
        <v>57.950176757812486</v>
      </c>
      <c r="AG30" s="4"/>
      <c r="AH30" s="176">
        <f t="shared" ref="AH30:AH62" si="16">AH29*(1+$E30)</f>
        <v>7.1112566885964892</v>
      </c>
      <c r="AI30" s="4"/>
      <c r="AJ30" s="176">
        <f t="shared" ref="AJ30:AJ62" si="17">AJ29*(1+$E30)</f>
        <v>1.6612568260430871</v>
      </c>
      <c r="AK30" s="4"/>
      <c r="AL30" s="175">
        <f t="shared" si="6"/>
        <v>148.31260181717045</v>
      </c>
      <c r="AM30" s="4"/>
      <c r="AN30" s="176">
        <f>INDEX('(2.2)_Forward_Price_Curve'!$H:$H,MATCH($AB30,'(2.2)_Forward_Price_Curve'!$C:$C,0),1)</f>
        <v>3.96</v>
      </c>
      <c r="AO30" s="4"/>
      <c r="AP30" s="176">
        <f t="shared" si="7"/>
        <v>28.368413533424281</v>
      </c>
      <c r="AQ30" s="4"/>
      <c r="AR30" s="176">
        <f t="shared" ref="AR30:AR62" si="18">AR29*(1+$E30)</f>
        <v>3.3912927410713247</v>
      </c>
      <c r="AS30" s="176"/>
      <c r="AT30" s="175">
        <f t="shared" si="3"/>
        <v>121.4019103422834</v>
      </c>
      <c r="AU30" s="4"/>
      <c r="AV30" s="175">
        <f t="shared" si="4"/>
        <v>417.32254044687227</v>
      </c>
      <c r="AW30" s="318"/>
      <c r="AX30" s="177">
        <f t="shared" si="8"/>
        <v>538.72445078915564</v>
      </c>
      <c r="AZ30" s="168">
        <f>+IF(AZ29&gt;$G$13+$G$14,XX,AZ29+1)</f>
        <v>2005</v>
      </c>
      <c r="BA30" s="138"/>
      <c r="BB30" s="176">
        <f t="shared" ref="BB30:BB62" si="19">BB29*(1+$E30)</f>
        <v>49.777976871874984</v>
      </c>
      <c r="BC30" s="4"/>
      <c r="BD30" s="176">
        <f t="shared" ref="BD30:BD62" si="20">BD29*(1+$E30)</f>
        <v>10.822750781249999</v>
      </c>
      <c r="BE30" s="4"/>
      <c r="BF30" s="175">
        <f t="shared" si="9"/>
        <v>26.910691474887045</v>
      </c>
      <c r="BG30" s="4"/>
      <c r="BH30" s="179"/>
    </row>
    <row r="31" spans="1:60" ht="12">
      <c r="B31" s="3"/>
      <c r="C31" s="7">
        <f>+IF(C30&gt;$G$13+$G$14,XX,C30+1)</f>
        <v>2006</v>
      </c>
      <c r="D31" s="7"/>
      <c r="E31" s="311">
        <f t="shared" si="10"/>
        <v>2.5000000000000001E-2</v>
      </c>
      <c r="F31" s="7"/>
      <c r="G31" s="23">
        <f t="shared" si="11"/>
        <v>13140</v>
      </c>
      <c r="H31" s="7"/>
      <c r="I31" s="30">
        <f t="shared" si="12"/>
        <v>167.6042030753093</v>
      </c>
      <c r="J31" s="7"/>
      <c r="K31" s="30">
        <f t="shared" si="13"/>
        <v>0</v>
      </c>
      <c r="L31" s="7"/>
      <c r="M31" s="30">
        <f t="shared" si="14"/>
        <v>0</v>
      </c>
      <c r="N31" s="7"/>
      <c r="O31" s="314"/>
      <c r="P31" s="7"/>
      <c r="Q31" s="30"/>
      <c r="R31" s="7"/>
      <c r="S31" s="23">
        <v>0</v>
      </c>
      <c r="T31" s="7"/>
      <c r="U31" s="23">
        <f t="shared" si="0"/>
        <v>546.63880037304557</v>
      </c>
      <c r="V31" s="7"/>
      <c r="W31" s="23">
        <f t="shared" si="1"/>
        <v>-546.63880037304557</v>
      </c>
      <c r="X31" s="7"/>
      <c r="Y31" s="315">
        <f t="shared" si="5"/>
        <v>-41.601126360201341</v>
      </c>
      <c r="Z31" s="271"/>
      <c r="AB31" s="168">
        <f>+IF(AB30&gt;$G$13+$G$14,XX,AB30+1)</f>
        <v>2006</v>
      </c>
      <c r="AC31" s="138"/>
      <c r="AD31" s="173">
        <f t="shared" si="2"/>
        <v>13140</v>
      </c>
      <c r="AE31" s="4"/>
      <c r="AF31" s="176">
        <f t="shared" si="15"/>
        <v>59.398931176757792</v>
      </c>
      <c r="AG31" s="4"/>
      <c r="AH31" s="176">
        <f t="shared" si="16"/>
        <v>7.2890381058114011</v>
      </c>
      <c r="AI31" s="4"/>
      <c r="AJ31" s="176">
        <f t="shared" si="17"/>
        <v>1.7027882466941642</v>
      </c>
      <c r="AK31" s="4"/>
      <c r="AL31" s="175">
        <f t="shared" si="6"/>
        <v>152.02041686259969</v>
      </c>
      <c r="AM31" s="4"/>
      <c r="AN31" s="176">
        <f>INDEX('(2.2)_Forward_Price_Curve'!$H:$H,MATCH($AB31,'(2.2)_Forward_Price_Curve'!$C:$C,0),1)</f>
        <v>4</v>
      </c>
      <c r="AO31" s="4"/>
      <c r="AP31" s="176">
        <f t="shared" si="7"/>
        <v>28.654963165075035</v>
      </c>
      <c r="AQ31" s="4"/>
      <c r="AR31" s="176">
        <f t="shared" si="18"/>
        <v>3.4760750595981076</v>
      </c>
      <c r="AS31" s="176"/>
      <c r="AT31" s="175">
        <f t="shared" si="3"/>
        <v>124.43695810084047</v>
      </c>
      <c r="AU31" s="4"/>
      <c r="AV31" s="175">
        <f t="shared" si="4"/>
        <v>422.20184227220506</v>
      </c>
      <c r="AW31" s="318"/>
      <c r="AX31" s="177">
        <f t="shared" si="8"/>
        <v>546.63880037304557</v>
      </c>
      <c r="AZ31" s="168">
        <f>+IF(AZ30&gt;$G$13+$G$14,XX,AZ30+1)</f>
        <v>2006</v>
      </c>
      <c r="BA31" s="138"/>
      <c r="BB31" s="176">
        <f t="shared" si="19"/>
        <v>51.022426293671856</v>
      </c>
      <c r="BC31" s="4"/>
      <c r="BD31" s="176">
        <f t="shared" si="20"/>
        <v>11.093319550781247</v>
      </c>
      <c r="BE31" s="4"/>
      <c r="BF31" s="175">
        <f t="shared" si="9"/>
        <v>27.583458761759218</v>
      </c>
      <c r="BG31" s="4"/>
      <c r="BH31" s="179"/>
    </row>
    <row r="32" spans="1:60" ht="12">
      <c r="B32" s="3"/>
      <c r="C32" s="7">
        <f>+IF(C31&gt;$G$13+$G$14,XX,C31+1)</f>
        <v>2007</v>
      </c>
      <c r="D32" s="7"/>
      <c r="E32" s="311">
        <f t="shared" si="10"/>
        <v>2.5000000000000001E-2</v>
      </c>
      <c r="F32" s="7"/>
      <c r="G32" s="23">
        <f t="shared" si="11"/>
        <v>13140</v>
      </c>
      <c r="H32" s="7"/>
      <c r="I32" s="30">
        <f t="shared" si="12"/>
        <v>171.79430815219203</v>
      </c>
      <c r="J32" s="7"/>
      <c r="K32" s="30">
        <f t="shared" si="13"/>
        <v>0</v>
      </c>
      <c r="L32" s="7"/>
      <c r="M32" s="30">
        <f t="shared" si="14"/>
        <v>0</v>
      </c>
      <c r="N32" s="7"/>
      <c r="O32" s="314"/>
      <c r="P32" s="7"/>
      <c r="Q32" s="30"/>
      <c r="R32" s="7"/>
      <c r="S32" s="23">
        <v>0</v>
      </c>
      <c r="T32" s="7"/>
      <c r="U32" s="23">
        <f t="shared" si="0"/>
        <v>571.6005568620443</v>
      </c>
      <c r="V32" s="7"/>
      <c r="W32" s="23">
        <f t="shared" si="1"/>
        <v>-571.6005568620443</v>
      </c>
      <c r="X32" s="7"/>
      <c r="Y32" s="315">
        <f t="shared" si="5"/>
        <v>-43.500803414158618</v>
      </c>
      <c r="Z32" s="271"/>
      <c r="AB32" s="168">
        <f>+IF(AB31&gt;$G$13+$G$14,XX,AB31+1)</f>
        <v>2007</v>
      </c>
      <c r="AC32" s="138"/>
      <c r="AD32" s="173">
        <f t="shared" si="2"/>
        <v>13140</v>
      </c>
      <c r="AE32" s="4"/>
      <c r="AF32" s="176">
        <f t="shared" si="15"/>
        <v>60.88390445617673</v>
      </c>
      <c r="AG32" s="4"/>
      <c r="AH32" s="176">
        <f t="shared" si="16"/>
        <v>7.4712640584566854</v>
      </c>
      <c r="AI32" s="4"/>
      <c r="AJ32" s="176">
        <f t="shared" si="17"/>
        <v>1.7453579528615182</v>
      </c>
      <c r="AK32" s="4"/>
      <c r="AL32" s="175">
        <f t="shared" si="6"/>
        <v>155.82092728416467</v>
      </c>
      <c r="AM32" s="4"/>
      <c r="AN32" s="176">
        <f>INDEX('(2.2)_Forward_Price_Curve'!$H:$H,MATCH($AB32,'(2.2)_Forward_Price_Curve'!$C:$C,0),1)</f>
        <v>4.22</v>
      </c>
      <c r="AO32" s="4"/>
      <c r="AP32" s="176">
        <f t="shared" si="7"/>
        <v>30.230986139154162</v>
      </c>
      <c r="AQ32" s="4"/>
      <c r="AR32" s="176">
        <f t="shared" si="18"/>
        <v>3.5629769360880599</v>
      </c>
      <c r="AS32" s="176"/>
      <c r="AT32" s="175">
        <f t="shared" si="3"/>
        <v>127.54788205336148</v>
      </c>
      <c r="AU32" s="4"/>
      <c r="AV32" s="175">
        <f t="shared" si="4"/>
        <v>444.05267480868281</v>
      </c>
      <c r="AW32" s="318"/>
      <c r="AX32" s="177">
        <f t="shared" si="8"/>
        <v>571.6005568620443</v>
      </c>
      <c r="AZ32" s="168">
        <f>+IF(AZ31&gt;$G$13+$G$14,XX,AZ31+1)</f>
        <v>2007</v>
      </c>
      <c r="BA32" s="138"/>
      <c r="BB32" s="176">
        <f t="shared" si="19"/>
        <v>52.297986951013648</v>
      </c>
      <c r="BC32" s="4"/>
      <c r="BD32" s="176">
        <f t="shared" si="20"/>
        <v>11.370652539550777</v>
      </c>
      <c r="BE32" s="4"/>
      <c r="BF32" s="175">
        <f t="shared" si="9"/>
        <v>28.273045230803195</v>
      </c>
      <c r="BG32" s="4"/>
      <c r="BH32" s="179"/>
    </row>
    <row r="33" spans="2:60" ht="12">
      <c r="B33" s="3"/>
      <c r="C33" s="7">
        <f>+IF(C32&gt;$G$13+$G$14,XX,C32+1)</f>
        <v>2008</v>
      </c>
      <c r="D33" s="7"/>
      <c r="E33" s="311">
        <f t="shared" si="10"/>
        <v>2.5000000000000001E-2</v>
      </c>
      <c r="F33" s="7"/>
      <c r="G33" s="23">
        <f t="shared" si="11"/>
        <v>13140</v>
      </c>
      <c r="H33" s="7"/>
      <c r="I33" s="30">
        <f t="shared" si="12"/>
        <v>176.08916585599681</v>
      </c>
      <c r="J33" s="7"/>
      <c r="K33" s="30">
        <f t="shared" si="13"/>
        <v>0</v>
      </c>
      <c r="L33" s="7"/>
      <c r="M33" s="30">
        <f t="shared" si="14"/>
        <v>0</v>
      </c>
      <c r="N33" s="7"/>
      <c r="O33" s="314"/>
      <c r="P33" s="7"/>
      <c r="Q33" s="30"/>
      <c r="R33" s="7"/>
      <c r="S33" s="23">
        <v>0</v>
      </c>
      <c r="T33" s="7"/>
      <c r="U33" s="23">
        <f t="shared" si="0"/>
        <v>594.78600263633746</v>
      </c>
      <c r="V33" s="7"/>
      <c r="W33" s="23">
        <f t="shared" si="1"/>
        <v>-594.78600263633746</v>
      </c>
      <c r="X33" s="7"/>
      <c r="Y33" s="315">
        <f t="shared" si="5"/>
        <v>-45.265297004287476</v>
      </c>
      <c r="Z33" s="271"/>
      <c r="AB33" s="168">
        <f>+IF(AB32&gt;$G$13+$G$14,XX,AB32+1)</f>
        <v>2008</v>
      </c>
      <c r="AC33" s="138"/>
      <c r="AD33" s="173">
        <f t="shared" si="2"/>
        <v>13140</v>
      </c>
      <c r="AE33" s="4"/>
      <c r="AF33" s="176">
        <f t="shared" si="15"/>
        <v>62.406002067581142</v>
      </c>
      <c r="AG33" s="4"/>
      <c r="AH33" s="176">
        <f t="shared" si="16"/>
        <v>7.6580456599181019</v>
      </c>
      <c r="AI33" s="4"/>
      <c r="AJ33" s="176">
        <f t="shared" si="17"/>
        <v>1.788991901683056</v>
      </c>
      <c r="AK33" s="4"/>
      <c r="AL33" s="175">
        <f t="shared" si="6"/>
        <v>159.71645046626878</v>
      </c>
      <c r="AM33" s="4"/>
      <c r="AN33" s="176">
        <f>INDEX('(2.2)_Forward_Price_Curve'!$H:$H,MATCH($AB33,'(2.2)_Forward_Price_Curve'!$C:$C,0),1)</f>
        <v>4.42</v>
      </c>
      <c r="AO33" s="4"/>
      <c r="AP33" s="176">
        <f t="shared" si="7"/>
        <v>31.66373429740791</v>
      </c>
      <c r="AQ33" s="4"/>
      <c r="AR33" s="176">
        <f t="shared" si="18"/>
        <v>3.6520513594902613</v>
      </c>
      <c r="AS33" s="176"/>
      <c r="AT33" s="175">
        <f t="shared" si="3"/>
        <v>130.73657910469552</v>
      </c>
      <c r="AU33" s="4"/>
      <c r="AV33" s="175">
        <f t="shared" si="4"/>
        <v>464.04942353164193</v>
      </c>
      <c r="AW33" s="318"/>
      <c r="AX33" s="177">
        <f t="shared" si="8"/>
        <v>594.78600263633746</v>
      </c>
      <c r="AZ33" s="168">
        <f>+IF(AZ32&gt;$G$13+$G$14,XX,AZ32+1)</f>
        <v>2008</v>
      </c>
      <c r="BA33" s="138"/>
      <c r="BB33" s="176">
        <f t="shared" si="19"/>
        <v>53.605436624788986</v>
      </c>
      <c r="BC33" s="4"/>
      <c r="BD33" s="176">
        <f t="shared" si="20"/>
        <v>11.654918853039545</v>
      </c>
      <c r="BE33" s="4"/>
      <c r="BF33" s="175">
        <f t="shared" si="9"/>
        <v>28.979871361573274</v>
      </c>
      <c r="BG33" s="4"/>
      <c r="BH33" s="179"/>
    </row>
    <row r="34" spans="2:60" ht="12">
      <c r="B34" s="3"/>
      <c r="C34" s="7">
        <f>+IF(C33&gt;$G$13+$G$14,XX,C33+1)</f>
        <v>2009</v>
      </c>
      <c r="D34" s="7"/>
      <c r="E34" s="311">
        <f t="shared" si="10"/>
        <v>2.5000000000000001E-2</v>
      </c>
      <c r="F34" s="7"/>
      <c r="G34" s="23">
        <f t="shared" si="11"/>
        <v>13140</v>
      </c>
      <c r="H34" s="7"/>
      <c r="I34" s="30">
        <f t="shared" si="12"/>
        <v>180.49139500239673</v>
      </c>
      <c r="J34" s="7"/>
      <c r="K34" s="30">
        <f t="shared" si="13"/>
        <v>0</v>
      </c>
      <c r="L34" s="7"/>
      <c r="M34" s="30">
        <f t="shared" si="14"/>
        <v>0</v>
      </c>
      <c r="N34" s="7"/>
      <c r="O34" s="314"/>
      <c r="P34" s="7"/>
      <c r="Q34" s="30"/>
      <c r="R34" s="7"/>
      <c r="S34" s="23">
        <v>0</v>
      </c>
      <c r="T34" s="7"/>
      <c r="U34" s="23">
        <f t="shared" si="0"/>
        <v>587.01701396590204</v>
      </c>
      <c r="V34" s="7"/>
      <c r="W34" s="23">
        <f t="shared" si="1"/>
        <v>-587.01701396590204</v>
      </c>
      <c r="X34" s="7"/>
      <c r="Y34" s="315">
        <f t="shared" si="5"/>
        <v>-44.674049769094523</v>
      </c>
      <c r="Z34" s="271"/>
      <c r="AB34" s="168">
        <f>+IF(AB33&gt;$G$13+$G$14,XX,AB33+1)</f>
        <v>2009</v>
      </c>
      <c r="AC34" s="138"/>
      <c r="AD34" s="173">
        <f t="shared" si="2"/>
        <v>13140</v>
      </c>
      <c r="AE34" s="4"/>
      <c r="AF34" s="176">
        <f t="shared" si="15"/>
        <v>63.966152119270667</v>
      </c>
      <c r="AG34" s="4"/>
      <c r="AH34" s="176">
        <f t="shared" si="16"/>
        <v>7.8494968014160538</v>
      </c>
      <c r="AI34" s="4"/>
      <c r="AJ34" s="176">
        <f t="shared" si="17"/>
        <v>1.8337166992251321</v>
      </c>
      <c r="AK34" s="4"/>
      <c r="AL34" s="175">
        <f t="shared" si="6"/>
        <v>163.70936172792548</v>
      </c>
      <c r="AM34" s="4"/>
      <c r="AN34" s="176">
        <f>INDEX('(2.2)_Forward_Price_Curve'!$H:$H,MATCH($AB34,'(2.2)_Forward_Price_Curve'!$C:$C,0),1)</f>
        <v>4.29</v>
      </c>
      <c r="AO34" s="4"/>
      <c r="AP34" s="176">
        <f t="shared" si="7"/>
        <v>30.732447994542973</v>
      </c>
      <c r="AQ34" s="4"/>
      <c r="AR34" s="176">
        <f t="shared" si="18"/>
        <v>3.7433526434775173</v>
      </c>
      <c r="AS34" s="176"/>
      <c r="AT34" s="175">
        <f t="shared" si="3"/>
        <v>134.00499358231289</v>
      </c>
      <c r="AU34" s="4"/>
      <c r="AV34" s="175">
        <f t="shared" si="4"/>
        <v>453.01202038358917</v>
      </c>
      <c r="AW34" s="318"/>
      <c r="AX34" s="177">
        <f t="shared" si="8"/>
        <v>587.01701396590204</v>
      </c>
      <c r="AZ34" s="168">
        <f>+IF(AZ33&gt;$G$13+$G$14,XX,AZ33+1)</f>
        <v>2009</v>
      </c>
      <c r="BA34" s="138"/>
      <c r="BB34" s="176">
        <f t="shared" si="19"/>
        <v>54.945572540408705</v>
      </c>
      <c r="BC34" s="4"/>
      <c r="BD34" s="176">
        <f t="shared" si="20"/>
        <v>11.946291824365533</v>
      </c>
      <c r="BE34" s="4"/>
      <c r="BF34" s="175">
        <f t="shared" si="9"/>
        <v>29.704368145612602</v>
      </c>
      <c r="BG34" s="4"/>
      <c r="BH34" s="179"/>
    </row>
    <row r="35" spans="2:60" ht="12">
      <c r="B35" s="3"/>
      <c r="C35" s="7">
        <f>+IF(C34&gt;$G$13+$G$14,XX,C34+1)</f>
        <v>2010</v>
      </c>
      <c r="D35" s="7"/>
      <c r="E35" s="311">
        <f t="shared" si="10"/>
        <v>2.5000000000000001E-2</v>
      </c>
      <c r="F35" s="7"/>
      <c r="G35" s="23">
        <f t="shared" si="11"/>
        <v>13140</v>
      </c>
      <c r="H35" s="7"/>
      <c r="I35" s="30">
        <f t="shared" si="12"/>
        <v>185.00367987745662</v>
      </c>
      <c r="J35" s="7"/>
      <c r="K35" s="30">
        <f t="shared" si="13"/>
        <v>0</v>
      </c>
      <c r="L35" s="7"/>
      <c r="M35" s="30">
        <f t="shared" si="14"/>
        <v>0</v>
      </c>
      <c r="N35" s="7"/>
      <c r="O35" s="314"/>
      <c r="P35" s="7"/>
      <c r="Q35" s="30"/>
      <c r="R35" s="7"/>
      <c r="S35" s="23">
        <v>0</v>
      </c>
      <c r="T35" s="7"/>
      <c r="U35" s="23">
        <f t="shared" si="0"/>
        <v>542.64842207026118</v>
      </c>
      <c r="V35" s="7"/>
      <c r="W35" s="23">
        <f t="shared" si="1"/>
        <v>-542.64842207026118</v>
      </c>
      <c r="X35" s="7"/>
      <c r="Y35" s="315">
        <f t="shared" si="5"/>
        <v>-41.297444601998571</v>
      </c>
      <c r="Z35" s="271"/>
      <c r="AB35" s="168">
        <f>+IF(AB34&gt;$G$13+$G$14,XX,AB34+1)</f>
        <v>2010</v>
      </c>
      <c r="AC35" s="138"/>
      <c r="AD35" s="173">
        <f t="shared" si="2"/>
        <v>13140</v>
      </c>
      <c r="AE35" s="4"/>
      <c r="AF35" s="176">
        <f t="shared" si="15"/>
        <v>65.565305922252435</v>
      </c>
      <c r="AG35" s="4"/>
      <c r="AH35" s="176">
        <f t="shared" si="16"/>
        <v>8.045734221451454</v>
      </c>
      <c r="AI35" s="4"/>
      <c r="AJ35" s="176">
        <f t="shared" si="17"/>
        <v>1.8795596167057602</v>
      </c>
      <c r="AK35" s="4"/>
      <c r="AL35" s="175">
        <f t="shared" si="6"/>
        <v>167.80209577112359</v>
      </c>
      <c r="AM35" s="4"/>
      <c r="AN35" s="176">
        <f>INDEX('(2.2)_Forward_Price_Curve'!$H:$H,MATCH($AB35,'(2.2)_Forward_Price_Curve'!$C:$C,0),1)</f>
        <v>3.77</v>
      </c>
      <c r="AO35" s="4"/>
      <c r="AP35" s="176">
        <f t="shared" si="7"/>
        <v>27.007302783083222</v>
      </c>
      <c r="AQ35" s="4"/>
      <c r="AR35" s="176">
        <f t="shared" si="18"/>
        <v>3.8369364595644551</v>
      </c>
      <c r="AS35" s="176"/>
      <c r="AT35" s="175">
        <f t="shared" si="3"/>
        <v>137.35511842187066</v>
      </c>
      <c r="AU35" s="4"/>
      <c r="AV35" s="175">
        <f t="shared" si="4"/>
        <v>405.29330364839052</v>
      </c>
      <c r="AW35" s="318"/>
      <c r="AX35" s="177">
        <f t="shared" si="8"/>
        <v>542.64842207026118</v>
      </c>
      <c r="AZ35" s="168">
        <f>+IF(AZ34&gt;$G$13+$G$14,XX,AZ34+1)</f>
        <v>2010</v>
      </c>
      <c r="BA35" s="138"/>
      <c r="BB35" s="176">
        <f t="shared" si="19"/>
        <v>56.319211853918915</v>
      </c>
      <c r="BC35" s="4"/>
      <c r="BD35" s="176">
        <f t="shared" si="20"/>
        <v>12.24494911997467</v>
      </c>
      <c r="BE35" s="4"/>
      <c r="BF35" s="175">
        <f t="shared" si="9"/>
        <v>30.446977349252919</v>
      </c>
      <c r="BG35" s="4"/>
      <c r="BH35" s="179"/>
    </row>
    <row r="36" spans="2:60" ht="12">
      <c r="B36" s="3"/>
      <c r="C36" s="7">
        <f>+IF(C35&gt;$G$13+$G$14,XX,C35+1)</f>
        <v>2011</v>
      </c>
      <c r="D36" s="7"/>
      <c r="E36" s="311">
        <f t="shared" si="10"/>
        <v>2.5000000000000001E-2</v>
      </c>
      <c r="F36" s="7"/>
      <c r="G36" s="23">
        <f t="shared" si="11"/>
        <v>13140</v>
      </c>
      <c r="H36" s="7"/>
      <c r="I36" s="30">
        <f t="shared" si="12"/>
        <v>189.62877187439301</v>
      </c>
      <c r="J36" s="7"/>
      <c r="K36" s="30">
        <f t="shared" si="13"/>
        <v>0</v>
      </c>
      <c r="L36" s="7"/>
      <c r="M36" s="30">
        <f t="shared" si="14"/>
        <v>0</v>
      </c>
      <c r="N36" s="7"/>
      <c r="O36" s="314"/>
      <c r="P36" s="7"/>
      <c r="Q36" s="30"/>
      <c r="R36" s="7"/>
      <c r="S36" s="23">
        <v>0</v>
      </c>
      <c r="T36" s="7"/>
      <c r="U36" s="23">
        <f t="shared" si="0"/>
        <v>560.5211512173928</v>
      </c>
      <c r="V36" s="7"/>
      <c r="W36" s="23">
        <f t="shared" si="1"/>
        <v>-560.5211512173928</v>
      </c>
      <c r="X36" s="7"/>
      <c r="Y36" s="315">
        <f t="shared" si="5"/>
        <v>-42.657621858249065</v>
      </c>
      <c r="Z36" s="271"/>
      <c r="AB36" s="168">
        <f>+IF(AB35&gt;$G$13+$G$14,XX,AB35+1)</f>
        <v>2011</v>
      </c>
      <c r="AC36" s="138"/>
      <c r="AD36" s="173">
        <f t="shared" si="2"/>
        <v>13140</v>
      </c>
      <c r="AE36" s="4"/>
      <c r="AF36" s="176">
        <f t="shared" si="15"/>
        <v>67.204438570308739</v>
      </c>
      <c r="AG36" s="4"/>
      <c r="AH36" s="176">
        <f t="shared" si="16"/>
        <v>8.2468775769877389</v>
      </c>
      <c r="AI36" s="4"/>
      <c r="AJ36" s="176">
        <f t="shared" si="17"/>
        <v>1.9265486071234041</v>
      </c>
      <c r="AK36" s="4"/>
      <c r="AL36" s="175">
        <f t="shared" si="6"/>
        <v>171.99714816540168</v>
      </c>
      <c r="AM36" s="4"/>
      <c r="AN36" s="176">
        <f>INDEX('(2.2)_Forward_Price_Curve'!$H:$H,MATCH($AB36,'(2.2)_Forward_Price_Curve'!$C:$C,0),1)</f>
        <v>3.91</v>
      </c>
      <c r="AO36" s="4"/>
      <c r="AP36" s="176">
        <f t="shared" si="7"/>
        <v>28.010226493860845</v>
      </c>
      <c r="AQ36" s="4"/>
      <c r="AR36" s="176">
        <f t="shared" si="18"/>
        <v>3.9328598710535663</v>
      </c>
      <c r="AS36" s="176"/>
      <c r="AT36" s="175">
        <f t="shared" si="3"/>
        <v>140.78899638241745</v>
      </c>
      <c r="AU36" s="4"/>
      <c r="AV36" s="175">
        <f t="shared" si="4"/>
        <v>419.73215483497535</v>
      </c>
      <c r="AW36" s="318"/>
      <c r="AX36" s="177">
        <f t="shared" si="8"/>
        <v>560.5211512173928</v>
      </c>
      <c r="AZ36" s="168">
        <f>+IF(AZ35&gt;$G$13+$G$14,XX,AZ35+1)</f>
        <v>2011</v>
      </c>
      <c r="BA36" s="138"/>
      <c r="BB36" s="176">
        <f t="shared" si="19"/>
        <v>57.72719215026688</v>
      </c>
      <c r="BC36" s="4"/>
      <c r="BD36" s="176">
        <f t="shared" si="20"/>
        <v>12.551072847974035</v>
      </c>
      <c r="BE36" s="4"/>
      <c r="BF36" s="175">
        <f t="shared" si="9"/>
        <v>31.208151782984235</v>
      </c>
      <c r="BG36" s="4"/>
      <c r="BH36" s="179"/>
    </row>
    <row r="37" spans="2:60" ht="12">
      <c r="B37" s="3"/>
      <c r="C37" s="7">
        <f>+IF(C36&gt;$G$13+$G$14,XX,C36+1)</f>
        <v>2012</v>
      </c>
      <c r="D37" s="7"/>
      <c r="E37" s="311">
        <f t="shared" si="10"/>
        <v>2.5000000000000001E-2</v>
      </c>
      <c r="F37" s="7"/>
      <c r="G37" s="23">
        <f t="shared" si="11"/>
        <v>13140</v>
      </c>
      <c r="H37" s="7"/>
      <c r="I37" s="30">
        <f t="shared" si="12"/>
        <v>194.36949117125283</v>
      </c>
      <c r="J37" s="7"/>
      <c r="K37" s="30">
        <f t="shared" si="13"/>
        <v>0</v>
      </c>
      <c r="L37" s="7"/>
      <c r="M37" s="30">
        <f t="shared" si="14"/>
        <v>0</v>
      </c>
      <c r="N37" s="7"/>
      <c r="O37" s="314"/>
      <c r="P37" s="7"/>
      <c r="Q37" s="30"/>
      <c r="R37" s="7"/>
      <c r="S37" s="23">
        <v>0</v>
      </c>
      <c r="T37" s="7"/>
      <c r="U37" s="23">
        <f t="shared" si="0"/>
        <v>611.45728205325747</v>
      </c>
      <c r="V37" s="7"/>
      <c r="W37" s="23">
        <f t="shared" si="1"/>
        <v>-611.45728205325747</v>
      </c>
      <c r="X37" s="7"/>
      <c r="Y37" s="315">
        <f t="shared" si="5"/>
        <v>-46.53403973008048</v>
      </c>
      <c r="Z37" s="271"/>
      <c r="AB37" s="168">
        <f>+IF(AB36&gt;$G$13+$G$14,XX,AB36+1)</f>
        <v>2012</v>
      </c>
      <c r="AC37" s="138"/>
      <c r="AD37" s="173">
        <f t="shared" si="2"/>
        <v>13140</v>
      </c>
      <c r="AE37" s="4"/>
      <c r="AF37" s="176">
        <f t="shared" si="15"/>
        <v>68.884549534566446</v>
      </c>
      <c r="AG37" s="4"/>
      <c r="AH37" s="176">
        <f t="shared" si="16"/>
        <v>8.4530495164124311</v>
      </c>
      <c r="AI37" s="4"/>
      <c r="AJ37" s="176">
        <f t="shared" si="17"/>
        <v>1.9747123223014891</v>
      </c>
      <c r="AK37" s="4"/>
      <c r="AL37" s="175">
        <f t="shared" si="6"/>
        <v>176.29707686953668</v>
      </c>
      <c r="AM37" s="4"/>
      <c r="AN37" s="176">
        <f>INDEX('(2.2)_Forward_Price_Curve'!$H:$H,MATCH($AB37,'(2.2)_Forward_Price_Curve'!$C:$C,0),1)</f>
        <v>4.4000000000000004</v>
      </c>
      <c r="AO37" s="4"/>
      <c r="AP37" s="176">
        <f t="shared" si="7"/>
        <v>31.520459481582542</v>
      </c>
      <c r="AQ37" s="4"/>
      <c r="AR37" s="176">
        <f t="shared" si="18"/>
        <v>4.0311813678299053</v>
      </c>
      <c r="AS37" s="176"/>
      <c r="AT37" s="175">
        <f t="shared" si="3"/>
        <v>144.30872129197783</v>
      </c>
      <c r="AU37" s="4"/>
      <c r="AV37" s="175">
        <f t="shared" si="4"/>
        <v>467.14856076127961</v>
      </c>
      <c r="AW37" s="318"/>
      <c r="AX37" s="177">
        <f t="shared" si="8"/>
        <v>611.45728205325747</v>
      </c>
      <c r="AZ37" s="168">
        <f>+IF(AZ36&gt;$G$13+$G$14,XX,AZ36+1)</f>
        <v>2012</v>
      </c>
      <c r="BA37" s="138"/>
      <c r="BB37" s="176">
        <f t="shared" si="19"/>
        <v>59.170371954023544</v>
      </c>
      <c r="BC37" s="4"/>
      <c r="BD37" s="176">
        <f t="shared" si="20"/>
        <v>12.864849669173385</v>
      </c>
      <c r="BE37" s="4"/>
      <c r="BF37" s="175">
        <f t="shared" si="9"/>
        <v>31.988355577558838</v>
      </c>
      <c r="BG37" s="4"/>
      <c r="BH37" s="179"/>
    </row>
    <row r="38" spans="2:60" ht="12">
      <c r="B38" s="3"/>
      <c r="C38" s="7">
        <f>+IF(C37&gt;$G$13+$G$14,XX,C37+1)</f>
        <v>2013</v>
      </c>
      <c r="D38" s="7"/>
      <c r="E38" s="311">
        <f t="shared" si="10"/>
        <v>2.5000000000000001E-2</v>
      </c>
      <c r="F38" s="7"/>
      <c r="G38" s="23">
        <f t="shared" si="11"/>
        <v>13140</v>
      </c>
      <c r="H38" s="7"/>
      <c r="I38" s="30">
        <f t="shared" si="12"/>
        <v>199.22872845053413</v>
      </c>
      <c r="J38" s="7"/>
      <c r="K38" s="30">
        <f t="shared" si="13"/>
        <v>0</v>
      </c>
      <c r="L38" s="7"/>
      <c r="M38" s="30">
        <f t="shared" si="14"/>
        <v>0</v>
      </c>
      <c r="N38" s="7"/>
      <c r="O38" s="314"/>
      <c r="P38" s="7"/>
      <c r="Q38" s="30"/>
      <c r="R38" s="7"/>
      <c r="S38" s="23">
        <v>0</v>
      </c>
      <c r="T38" s="7"/>
      <c r="U38" s="23">
        <f t="shared" si="0"/>
        <v>638.98081612423414</v>
      </c>
      <c r="V38" s="7"/>
      <c r="W38" s="23">
        <f t="shared" si="1"/>
        <v>-638.98081612423414</v>
      </c>
      <c r="X38" s="7"/>
      <c r="Y38" s="315">
        <f t="shared" si="5"/>
        <v>-48.628677026197423</v>
      </c>
      <c r="Z38" s="271"/>
      <c r="AB38" s="168">
        <f>+IF(AB37&gt;$G$13+$G$14,XX,AB37+1)</f>
        <v>2013</v>
      </c>
      <c r="AC38" s="138"/>
      <c r="AD38" s="173">
        <f t="shared" si="2"/>
        <v>13140</v>
      </c>
      <c r="AE38" s="4"/>
      <c r="AF38" s="176">
        <f t="shared" si="15"/>
        <v>70.606663272930604</v>
      </c>
      <c r="AG38" s="4"/>
      <c r="AH38" s="176">
        <f t="shared" si="16"/>
        <v>8.6643757543227409</v>
      </c>
      <c r="AI38" s="4"/>
      <c r="AJ38" s="176">
        <f t="shared" si="17"/>
        <v>2.0240801303590263</v>
      </c>
      <c r="AK38" s="4"/>
      <c r="AL38" s="175">
        <f t="shared" si="6"/>
        <v>180.7045037912751</v>
      </c>
      <c r="AM38" s="4"/>
      <c r="AN38" s="176">
        <f>INDEX('(2.2)_Forward_Price_Curve'!$H:$H,MATCH($AB38,'(2.2)_Forward_Price_Curve'!$C:$C,0),1)</f>
        <v>4.6399999999999997</v>
      </c>
      <c r="AO38" s="4"/>
      <c r="AP38" s="176">
        <f t="shared" si="7"/>
        <v>33.239757271487044</v>
      </c>
      <c r="AQ38" s="4"/>
      <c r="AR38" s="176">
        <f t="shared" si="18"/>
        <v>4.1319609020256527</v>
      </c>
      <c r="AS38" s="176"/>
      <c r="AT38" s="175">
        <f t="shared" si="3"/>
        <v>147.91643932427729</v>
      </c>
      <c r="AU38" s="4"/>
      <c r="AV38" s="175">
        <f t="shared" si="4"/>
        <v>491.06437679995685</v>
      </c>
      <c r="AW38" s="318"/>
      <c r="AX38" s="177">
        <f t="shared" si="8"/>
        <v>638.98081612423414</v>
      </c>
      <c r="AZ38" s="168">
        <f>+IF(AZ37&gt;$G$13+$G$14,XX,AZ37+1)</f>
        <v>2013</v>
      </c>
      <c r="BA38" s="138"/>
      <c r="BB38" s="176">
        <f t="shared" si="19"/>
        <v>60.64963125287413</v>
      </c>
      <c r="BC38" s="4"/>
      <c r="BD38" s="176">
        <f t="shared" si="20"/>
        <v>13.186470910902719</v>
      </c>
      <c r="BE38" s="4"/>
      <c r="BF38" s="175">
        <f t="shared" si="9"/>
        <v>32.788064466997803</v>
      </c>
      <c r="BG38" s="4"/>
      <c r="BH38" s="179"/>
    </row>
    <row r="39" spans="2:60" ht="12">
      <c r="B39" s="3"/>
      <c r="C39" s="7">
        <f>+IF(C38&gt;$G$13+$G$14,XX,C38+1)</f>
        <v>2014</v>
      </c>
      <c r="D39" s="7"/>
      <c r="E39" s="311">
        <f t="shared" si="10"/>
        <v>2.5000000000000001E-2</v>
      </c>
      <c r="F39" s="7"/>
      <c r="G39" s="23">
        <f t="shared" si="11"/>
        <v>13140</v>
      </c>
      <c r="H39" s="7"/>
      <c r="I39" s="30">
        <f t="shared" si="12"/>
        <v>204.20944666179747</v>
      </c>
      <c r="J39" s="7"/>
      <c r="K39" s="30">
        <f t="shared" si="13"/>
        <v>0</v>
      </c>
      <c r="L39" s="7"/>
      <c r="M39" s="30">
        <f t="shared" si="14"/>
        <v>0</v>
      </c>
      <c r="N39" s="7"/>
      <c r="O39" s="314"/>
      <c r="P39" s="7"/>
      <c r="Q39" s="30"/>
      <c r="R39" s="7"/>
      <c r="S39" s="23">
        <v>0</v>
      </c>
      <c r="T39" s="7"/>
      <c r="U39" s="23">
        <f t="shared" si="0"/>
        <v>626.15108100417501</v>
      </c>
      <c r="V39" s="7"/>
      <c r="W39" s="23">
        <f t="shared" si="1"/>
        <v>-626.15108100417501</v>
      </c>
      <c r="X39" s="7"/>
      <c r="Y39" s="315">
        <f t="shared" si="5"/>
        <v>-47.652289269724129</v>
      </c>
      <c r="Z39" s="271"/>
      <c r="AB39" s="168">
        <f>+IF(AB38&gt;$G$13+$G$14,XX,AB38+1)</f>
        <v>2014</v>
      </c>
      <c r="AC39" s="138"/>
      <c r="AD39" s="173">
        <f t="shared" si="2"/>
        <v>13140</v>
      </c>
      <c r="AE39" s="4"/>
      <c r="AF39" s="176">
        <f t="shared" si="15"/>
        <v>72.371829854753869</v>
      </c>
      <c r="AG39" s="4"/>
      <c r="AH39" s="176">
        <f t="shared" si="16"/>
        <v>8.8809851481808089</v>
      </c>
      <c r="AI39" s="4"/>
      <c r="AJ39" s="176">
        <f t="shared" si="17"/>
        <v>2.0746821336180017</v>
      </c>
      <c r="AK39" s="4"/>
      <c r="AL39" s="175">
        <f t="shared" si="6"/>
        <v>185.222116386057</v>
      </c>
      <c r="AM39" s="4"/>
      <c r="AN39" s="176">
        <f>INDEX('(2.2)_Forward_Price_Curve'!$H:$H,MATCH($AB39,'(2.2)_Forward_Price_Curve'!$C:$C,0),1)</f>
        <v>4.45</v>
      </c>
      <c r="AO39" s="4"/>
      <c r="AP39" s="176">
        <f t="shared" si="7"/>
        <v>31.878646521145978</v>
      </c>
      <c r="AQ39" s="4"/>
      <c r="AR39" s="176">
        <f t="shared" si="18"/>
        <v>4.2352599245762939</v>
      </c>
      <c r="AS39" s="176"/>
      <c r="AT39" s="175">
        <f t="shared" si="3"/>
        <v>151.61435030738426</v>
      </c>
      <c r="AU39" s="4"/>
      <c r="AV39" s="175">
        <f t="shared" si="4"/>
        <v>474.5367306967907</v>
      </c>
      <c r="AW39" s="318"/>
      <c r="AX39" s="177">
        <f t="shared" si="8"/>
        <v>626.15108100417501</v>
      </c>
      <c r="AZ39" s="168">
        <f>+IF(AZ38&gt;$G$13+$G$14,XX,AZ38+1)</f>
        <v>2014</v>
      </c>
      <c r="BA39" s="138"/>
      <c r="BB39" s="176">
        <f t="shared" si="19"/>
        <v>62.165872034195978</v>
      </c>
      <c r="BC39" s="4"/>
      <c r="BD39" s="176">
        <f t="shared" si="20"/>
        <v>13.516132683675286</v>
      </c>
      <c r="BE39" s="4"/>
      <c r="BF39" s="175">
        <f t="shared" si="9"/>
        <v>33.607766078672746</v>
      </c>
      <c r="BG39" s="4"/>
      <c r="BH39" s="179"/>
    </row>
    <row r="40" spans="2:60" ht="12">
      <c r="B40" s="3"/>
      <c r="C40" s="7">
        <f>+IF(C39&gt;$G$13+$G$14,XX,C39+1)</f>
        <v>2015</v>
      </c>
      <c r="D40" s="7"/>
      <c r="E40" s="311">
        <f t="shared" si="10"/>
        <v>2.5000000000000001E-2</v>
      </c>
      <c r="F40" s="7"/>
      <c r="G40" s="23">
        <f t="shared" si="11"/>
        <v>13140</v>
      </c>
      <c r="H40" s="7"/>
      <c r="I40" s="30">
        <f t="shared" si="12"/>
        <v>209.3146828283424</v>
      </c>
      <c r="J40" s="7"/>
      <c r="K40" s="30">
        <f t="shared" si="13"/>
        <v>0</v>
      </c>
      <c r="L40" s="7"/>
      <c r="M40" s="30">
        <f t="shared" si="14"/>
        <v>0</v>
      </c>
      <c r="N40" s="7"/>
      <c r="O40" s="314"/>
      <c r="P40" s="7"/>
      <c r="Q40" s="30"/>
      <c r="R40" s="7"/>
      <c r="S40" s="23">
        <v>0</v>
      </c>
      <c r="T40" s="7"/>
      <c r="U40" s="23">
        <f t="shared" si="0"/>
        <v>671.80929086590936</v>
      </c>
      <c r="V40" s="7"/>
      <c r="W40" s="23">
        <f t="shared" si="1"/>
        <v>-671.80929086590936</v>
      </c>
      <c r="X40" s="7"/>
      <c r="Y40" s="315">
        <f t="shared" si="5"/>
        <v>-51.127038878684118</v>
      </c>
      <c r="Z40" s="271"/>
      <c r="AB40" s="168">
        <f>+IF(AB39&gt;$G$13+$G$14,XX,AB39+1)</f>
        <v>2015</v>
      </c>
      <c r="AC40" s="138"/>
      <c r="AD40" s="173">
        <f t="shared" si="2"/>
        <v>13140</v>
      </c>
      <c r="AE40" s="4"/>
      <c r="AF40" s="176">
        <f t="shared" si="15"/>
        <v>74.181125601122716</v>
      </c>
      <c r="AG40" s="4"/>
      <c r="AH40" s="176">
        <f t="shared" si="16"/>
        <v>9.1030097768853278</v>
      </c>
      <c r="AI40" s="4"/>
      <c r="AJ40" s="176">
        <f t="shared" si="17"/>
        <v>2.1265491869584516</v>
      </c>
      <c r="AK40" s="4"/>
      <c r="AL40" s="175">
        <f t="shared" si="6"/>
        <v>189.85266929570838</v>
      </c>
      <c r="AM40" s="4"/>
      <c r="AN40" s="176">
        <f>INDEX('(2.2)_Forward_Price_Curve'!$H:$H,MATCH($AB40,'(2.2)_Forward_Price_Curve'!$C:$C,0),1)</f>
        <v>4.88</v>
      </c>
      <c r="AO40" s="4"/>
      <c r="AP40" s="176">
        <f t="shared" si="7"/>
        <v>34.959055061391538</v>
      </c>
      <c r="AQ40" s="4"/>
      <c r="AR40" s="176">
        <f t="shared" si="18"/>
        <v>4.3411414226907006</v>
      </c>
      <c r="AS40" s="176"/>
      <c r="AT40" s="175">
        <f t="shared" si="3"/>
        <v>155.40470906506883</v>
      </c>
      <c r="AU40" s="4"/>
      <c r="AV40" s="175">
        <f t="shared" si="4"/>
        <v>516.40458180084056</v>
      </c>
      <c r="AW40" s="318"/>
      <c r="AX40" s="177">
        <f t="shared" si="8"/>
        <v>671.80929086590936</v>
      </c>
      <c r="AZ40" s="168">
        <f>+IF(AZ39&gt;$G$13+$G$14,XX,AZ39+1)</f>
        <v>2015</v>
      </c>
      <c r="BA40" s="138"/>
      <c r="BB40" s="176">
        <f t="shared" si="19"/>
        <v>63.720018835050872</v>
      </c>
      <c r="BC40" s="4"/>
      <c r="BD40" s="176">
        <f t="shared" si="20"/>
        <v>13.854036000767167</v>
      </c>
      <c r="BE40" s="4"/>
      <c r="BF40" s="175">
        <f t="shared" si="9"/>
        <v>34.447960230639559</v>
      </c>
      <c r="BG40" s="4"/>
      <c r="BH40" s="179"/>
    </row>
    <row r="41" spans="2:60" ht="12">
      <c r="B41" s="3"/>
      <c r="C41" s="7">
        <f>+IF(C40&gt;$G$13+$G$14,XX,C40+1)</f>
        <v>2016</v>
      </c>
      <c r="D41" s="7"/>
      <c r="E41" s="311">
        <f t="shared" si="10"/>
        <v>2.5000000000000001E-2</v>
      </c>
      <c r="F41" s="7"/>
      <c r="G41" s="23">
        <f t="shared" si="11"/>
        <v>13140</v>
      </c>
      <c r="H41" s="7"/>
      <c r="I41" s="30">
        <f t="shared" si="12"/>
        <v>214.54754989905095</v>
      </c>
      <c r="J41" s="7"/>
      <c r="K41" s="30">
        <f t="shared" si="13"/>
        <v>0</v>
      </c>
      <c r="L41" s="7"/>
      <c r="M41" s="30">
        <f t="shared" si="14"/>
        <v>0</v>
      </c>
      <c r="N41" s="7"/>
      <c r="O41" s="314"/>
      <c r="P41" s="7"/>
      <c r="Q41" s="30"/>
      <c r="R41" s="7"/>
      <c r="S41" s="23">
        <v>0</v>
      </c>
      <c r="T41" s="7"/>
      <c r="U41" s="23">
        <f t="shared" si="0"/>
        <v>697.82941542928984</v>
      </c>
      <c r="V41" s="7"/>
      <c r="W41" s="23">
        <f t="shared" si="1"/>
        <v>-697.82941542928984</v>
      </c>
      <c r="X41" s="7"/>
      <c r="Y41" s="315">
        <f t="shared" si="5"/>
        <v>-53.107261448195572</v>
      </c>
      <c r="Z41" s="271"/>
      <c r="AB41" s="168">
        <f>+IF(AB40&gt;$G$13+$G$14,XX,AB40+1)</f>
        <v>2016</v>
      </c>
      <c r="AC41" s="138"/>
      <c r="AD41" s="173">
        <f t="shared" si="2"/>
        <v>13140</v>
      </c>
      <c r="AE41" s="4"/>
      <c r="AF41" s="176">
        <f t="shared" si="15"/>
        <v>76.035653741150782</v>
      </c>
      <c r="AG41" s="4"/>
      <c r="AH41" s="176">
        <f t="shared" si="16"/>
        <v>9.3305850213074599</v>
      </c>
      <c r="AI41" s="4"/>
      <c r="AJ41" s="176">
        <f t="shared" si="17"/>
        <v>2.1797129166324125</v>
      </c>
      <c r="AK41" s="4"/>
      <c r="AL41" s="175">
        <f t="shared" si="6"/>
        <v>194.59898602810108</v>
      </c>
      <c r="AM41" s="4"/>
      <c r="AN41" s="176">
        <f>INDEX('(2.2)_Forward_Price_Curve'!$H:$H,MATCH($AB41,'(2.2)_Forward_Price_Curve'!$C:$C,0),1)</f>
        <v>5.0999999999999996</v>
      </c>
      <c r="AO41" s="4"/>
      <c r="AP41" s="176">
        <f t="shared" si="7"/>
        <v>36.535078035470669</v>
      </c>
      <c r="AQ41" s="4"/>
      <c r="AR41" s="176">
        <f t="shared" si="18"/>
        <v>4.4496699582579673</v>
      </c>
      <c r="AS41" s="176"/>
      <c r="AT41" s="175">
        <f t="shared" si="3"/>
        <v>159.28982679169553</v>
      </c>
      <c r="AU41" s="4"/>
      <c r="AV41" s="175">
        <f t="shared" si="4"/>
        <v>538.53958863759431</v>
      </c>
      <c r="AW41" s="318"/>
      <c r="AX41" s="177">
        <f t="shared" si="8"/>
        <v>697.82941542928984</v>
      </c>
      <c r="AZ41" s="168">
        <f>+IF(AZ40&gt;$G$13+$G$14,XX,AZ40+1)</f>
        <v>2016</v>
      </c>
      <c r="BA41" s="138"/>
      <c r="BB41" s="176">
        <f t="shared" si="19"/>
        <v>65.313019305927142</v>
      </c>
      <c r="BC41" s="4"/>
      <c r="BD41" s="176">
        <f t="shared" si="20"/>
        <v>14.200386900786345</v>
      </c>
      <c r="BE41" s="4"/>
      <c r="BF41" s="175">
        <f t="shared" si="9"/>
        <v>35.309159236405549</v>
      </c>
      <c r="BG41" s="4"/>
      <c r="BH41" s="179"/>
    </row>
    <row r="42" spans="2:60" ht="12">
      <c r="B42" s="3"/>
      <c r="C42" s="7">
        <f>+IF(C41&gt;$G$13+$G$14,XX,C41+1)</f>
        <v>2017</v>
      </c>
      <c r="D42" s="7"/>
      <c r="E42" s="311">
        <f t="shared" si="10"/>
        <v>2.5000000000000001E-2</v>
      </c>
      <c r="F42" s="7"/>
      <c r="G42" s="23">
        <f t="shared" si="11"/>
        <v>13140</v>
      </c>
      <c r="H42" s="7"/>
      <c r="I42" s="30">
        <f t="shared" si="12"/>
        <v>219.91123864652721</v>
      </c>
      <c r="J42" s="7"/>
      <c r="K42" s="30">
        <f t="shared" si="13"/>
        <v>0</v>
      </c>
      <c r="L42" s="7"/>
      <c r="M42" s="30">
        <f t="shared" si="14"/>
        <v>0</v>
      </c>
      <c r="N42" s="7"/>
      <c r="O42" s="314"/>
      <c r="P42" s="7"/>
      <c r="Q42" s="30"/>
      <c r="R42" s="7"/>
      <c r="S42" s="23">
        <v>0</v>
      </c>
      <c r="T42" s="7"/>
      <c r="U42" s="23">
        <f t="shared" si="0"/>
        <v>714.56916416004253</v>
      </c>
      <c r="V42" s="7"/>
      <c r="W42" s="23">
        <f t="shared" si="1"/>
        <v>-714.56916416004253</v>
      </c>
      <c r="X42" s="7"/>
      <c r="Y42" s="315">
        <f t="shared" si="5"/>
        <v>-54.381214928465944</v>
      </c>
      <c r="Z42" s="271"/>
      <c r="AB42" s="168">
        <f>+IF(AB41&gt;$G$13+$G$14,XX,AB41+1)</f>
        <v>2017</v>
      </c>
      <c r="AC42" s="138"/>
      <c r="AD42" s="173">
        <f t="shared" si="2"/>
        <v>13140</v>
      </c>
      <c r="AE42" s="4"/>
      <c r="AF42" s="176">
        <f t="shared" si="15"/>
        <v>77.936545084679551</v>
      </c>
      <c r="AG42" s="4"/>
      <c r="AH42" s="176">
        <f t="shared" si="16"/>
        <v>9.5638496468401453</v>
      </c>
      <c r="AI42" s="4"/>
      <c r="AJ42" s="176">
        <f t="shared" si="17"/>
        <v>2.2342057395482224</v>
      </c>
      <c r="AK42" s="4"/>
      <c r="AL42" s="175">
        <f t="shared" si="6"/>
        <v>199.46396067880363</v>
      </c>
      <c r="AM42" s="4"/>
      <c r="AN42" s="176">
        <f>INDEX('(2.2)_Forward_Price_Curve'!$H:$H,MATCH($AB42,'(2.2)_Forward_Price_Curve'!$C:$C,0),1)</f>
        <v>5.22</v>
      </c>
      <c r="AO42" s="4"/>
      <c r="AP42" s="176">
        <f t="shared" si="7"/>
        <v>37.39472693042292</v>
      </c>
      <c r="AQ42" s="4"/>
      <c r="AR42" s="176">
        <f t="shared" si="18"/>
        <v>4.5609117072144159</v>
      </c>
      <c r="AS42" s="176"/>
      <c r="AT42" s="175">
        <f t="shared" si="3"/>
        <v>163.27207246148794</v>
      </c>
      <c r="AU42" s="4"/>
      <c r="AV42" s="175">
        <f t="shared" si="4"/>
        <v>551.2970916985546</v>
      </c>
      <c r="AW42" s="318"/>
      <c r="AX42" s="177">
        <f t="shared" si="8"/>
        <v>714.56916416004253</v>
      </c>
      <c r="AZ42" s="168">
        <f>+IF(AZ41&gt;$G$13+$G$14,XX,AZ41+1)</f>
        <v>2017</v>
      </c>
      <c r="BA42" s="138"/>
      <c r="BB42" s="176">
        <f t="shared" si="19"/>
        <v>66.945844788575315</v>
      </c>
      <c r="BC42" s="4"/>
      <c r="BD42" s="176">
        <f t="shared" si="20"/>
        <v>14.555396573306002</v>
      </c>
      <c r="BE42" s="4"/>
      <c r="BF42" s="175">
        <f t="shared" si="9"/>
        <v>36.191888217315686</v>
      </c>
      <c r="BG42" s="4"/>
      <c r="BH42" s="179"/>
    </row>
    <row r="43" spans="2:60" ht="12">
      <c r="B43" s="3"/>
      <c r="C43" s="7">
        <f>+IF(C42&gt;$G$13+$G$14,XX,C42+1)</f>
        <v>2018</v>
      </c>
      <c r="D43" s="7"/>
      <c r="E43" s="311">
        <f t="shared" si="10"/>
        <v>2.5000000000000001E-2</v>
      </c>
      <c r="F43" s="7"/>
      <c r="G43" s="23">
        <f t="shared" si="11"/>
        <v>13140</v>
      </c>
      <c r="H43" s="7"/>
      <c r="I43" s="30">
        <f t="shared" si="12"/>
        <v>225.40901961269037</v>
      </c>
      <c r="J43" s="7"/>
      <c r="K43" s="30">
        <f t="shared" si="13"/>
        <v>0</v>
      </c>
      <c r="L43" s="7"/>
      <c r="M43" s="30">
        <f t="shared" si="14"/>
        <v>0</v>
      </c>
      <c r="N43" s="7"/>
      <c r="O43" s="314"/>
      <c r="P43" s="7"/>
      <c r="Q43" s="30"/>
      <c r="R43" s="7"/>
      <c r="S43" s="23">
        <v>0</v>
      </c>
      <c r="T43" s="7"/>
      <c r="U43" s="23">
        <f t="shared" si="0"/>
        <v>731.44501194707209</v>
      </c>
      <c r="V43" s="7"/>
      <c r="W43" s="23">
        <f t="shared" si="1"/>
        <v>-731.44501194707209</v>
      </c>
      <c r="X43" s="7"/>
      <c r="Y43" s="315">
        <f t="shared" si="5"/>
        <v>-55.66552602336926</v>
      </c>
      <c r="Z43" s="271"/>
      <c r="AB43" s="168">
        <f>+IF(AB42&gt;$G$13+$G$14,XX,AB42+1)</f>
        <v>2018</v>
      </c>
      <c r="AC43" s="138"/>
      <c r="AD43" s="173">
        <f t="shared" si="2"/>
        <v>13140</v>
      </c>
      <c r="AE43" s="4"/>
      <c r="AF43" s="176">
        <f t="shared" si="15"/>
        <v>79.884958711796529</v>
      </c>
      <c r="AG43" s="4"/>
      <c r="AH43" s="176">
        <f t="shared" si="16"/>
        <v>9.8029458880111484</v>
      </c>
      <c r="AI43" s="4"/>
      <c r="AJ43" s="176">
        <f t="shared" si="17"/>
        <v>2.290060883036928</v>
      </c>
      <c r="AK43" s="4"/>
      <c r="AL43" s="175">
        <f t="shared" si="6"/>
        <v>204.45055969577368</v>
      </c>
      <c r="AM43" s="4"/>
      <c r="AN43" s="176">
        <f>INDEX('(2.2)_Forward_Price_Curve'!$H:$H,MATCH($AB43,'(2.2)_Forward_Price_Curve'!$C:$C,0),1)</f>
        <v>5.34</v>
      </c>
      <c r="AO43" s="4"/>
      <c r="AP43" s="176">
        <f t="shared" si="7"/>
        <v>38.25437582537517</v>
      </c>
      <c r="AQ43" s="4"/>
      <c r="AR43" s="176">
        <f t="shared" si="18"/>
        <v>4.6749344998947757</v>
      </c>
      <c r="AS43" s="176"/>
      <c r="AT43" s="175">
        <f t="shared" si="3"/>
        <v>167.3538742730251</v>
      </c>
      <c r="AU43" s="4"/>
      <c r="AV43" s="175">
        <f t="shared" si="4"/>
        <v>564.09113767404699</v>
      </c>
      <c r="AW43" s="318"/>
      <c r="AX43" s="177">
        <f t="shared" si="8"/>
        <v>731.44501194707209</v>
      </c>
      <c r="AZ43" s="168">
        <f>+IF(AZ42&gt;$G$13+$G$14,XX,AZ42+1)</f>
        <v>2018</v>
      </c>
      <c r="BA43" s="138"/>
      <c r="BB43" s="176">
        <f t="shared" si="19"/>
        <v>68.619490908289691</v>
      </c>
      <c r="BC43" s="4"/>
      <c r="BD43" s="176">
        <f t="shared" si="20"/>
        <v>14.919281487638651</v>
      </c>
      <c r="BE43" s="4"/>
      <c r="BF43" s="175">
        <f t="shared" si="9"/>
        <v>37.096685422748578</v>
      </c>
      <c r="BG43" s="4"/>
      <c r="BH43" s="179"/>
    </row>
    <row r="44" spans="2:60" ht="12">
      <c r="B44" s="3"/>
      <c r="C44" s="7">
        <f>+IF(C43&gt;$G$13+$G$14,XX,C43+1)</f>
        <v>2019</v>
      </c>
      <c r="D44" s="7"/>
      <c r="E44" s="311">
        <f t="shared" si="10"/>
        <v>2.5000000000000001E-2</v>
      </c>
      <c r="F44" s="7"/>
      <c r="G44" s="23">
        <f t="shared" si="11"/>
        <v>13140</v>
      </c>
      <c r="H44" s="7"/>
      <c r="I44" s="30">
        <f t="shared" si="12"/>
        <v>231.0442451030076</v>
      </c>
      <c r="J44" s="7"/>
      <c r="K44" s="30">
        <f t="shared" si="13"/>
        <v>0</v>
      </c>
      <c r="L44" s="7"/>
      <c r="M44" s="30">
        <f t="shared" si="14"/>
        <v>0</v>
      </c>
      <c r="N44" s="7"/>
      <c r="O44" s="314"/>
      <c r="P44" s="7"/>
      <c r="Q44" s="30"/>
      <c r="R44" s="7"/>
      <c r="S44" s="23">
        <v>0</v>
      </c>
      <c r="T44" s="7"/>
      <c r="U44" s="23">
        <f t="shared" si="0"/>
        <v>748.46036126678587</v>
      </c>
      <c r="V44" s="7"/>
      <c r="W44" s="23">
        <f t="shared" si="1"/>
        <v>-748.46036126678587</v>
      </c>
      <c r="X44" s="7"/>
      <c r="Y44" s="315">
        <f t="shared" si="5"/>
        <v>-56.960453673271374</v>
      </c>
      <c r="Z44" s="271"/>
      <c r="AB44" s="168">
        <f>+IF(AB43&gt;$G$13+$G$14,XX,AB43+1)</f>
        <v>2019</v>
      </c>
      <c r="AC44" s="138"/>
      <c r="AD44" s="173">
        <f t="shared" si="2"/>
        <v>13140</v>
      </c>
      <c r="AE44" s="4"/>
      <c r="AF44" s="176">
        <f t="shared" si="15"/>
        <v>81.882082679591434</v>
      </c>
      <c r="AG44" s="4"/>
      <c r="AH44" s="176">
        <f t="shared" si="16"/>
        <v>10.048019535211425</v>
      </c>
      <c r="AI44" s="4"/>
      <c r="AJ44" s="176">
        <f t="shared" si="17"/>
        <v>2.3473124051128509</v>
      </c>
      <c r="AK44" s="4"/>
      <c r="AL44" s="175">
        <f t="shared" si="6"/>
        <v>209.561823688168</v>
      </c>
      <c r="AM44" s="4"/>
      <c r="AN44" s="176">
        <f>INDEX('(2.2)_Forward_Price_Curve'!$H:$H,MATCH($AB44,'(2.2)_Forward_Price_Curve'!$C:$C,0),1)</f>
        <v>5.46</v>
      </c>
      <c r="AO44" s="4"/>
      <c r="AP44" s="176">
        <f t="shared" si="7"/>
        <v>39.114024720327421</v>
      </c>
      <c r="AQ44" s="4"/>
      <c r="AR44" s="176">
        <f t="shared" si="18"/>
        <v>4.7918078623921447</v>
      </c>
      <c r="AS44" s="176"/>
      <c r="AT44" s="175">
        <f t="shared" si="3"/>
        <v>171.53772112985072</v>
      </c>
      <c r="AU44" s="4"/>
      <c r="AV44" s="175">
        <f t="shared" si="4"/>
        <v>576.92264013693512</v>
      </c>
      <c r="AW44" s="318"/>
      <c r="AX44" s="177">
        <f t="shared" si="8"/>
        <v>748.46036126678587</v>
      </c>
      <c r="AZ44" s="168">
        <f>+IF(AZ43&gt;$G$13+$G$14,XX,AZ43+1)</f>
        <v>2019</v>
      </c>
      <c r="BA44" s="138"/>
      <c r="BB44" s="176">
        <f t="shared" si="19"/>
        <v>70.334978180996927</v>
      </c>
      <c r="BC44" s="4"/>
      <c r="BD44" s="176">
        <f t="shared" si="20"/>
        <v>15.292263524829616</v>
      </c>
      <c r="BE44" s="4"/>
      <c r="BF44" s="175">
        <f t="shared" si="9"/>
        <v>38.024102558317288</v>
      </c>
      <c r="BG44" s="4"/>
      <c r="BH44" s="179"/>
    </row>
    <row r="45" spans="2:60" ht="12">
      <c r="B45" s="3"/>
      <c r="C45" s="7">
        <f>+IF(C44&gt;$G$13+$G$14,XX,C44+1)</f>
        <v>2020</v>
      </c>
      <c r="D45" s="7"/>
      <c r="E45" s="311">
        <f t="shared" si="10"/>
        <v>2.5000000000000001E-2</v>
      </c>
      <c r="F45" s="7"/>
      <c r="G45" s="23">
        <f t="shared" si="11"/>
        <v>13140</v>
      </c>
      <c r="H45" s="7"/>
      <c r="I45" s="30">
        <f t="shared" si="12"/>
        <v>236.82035123058276</v>
      </c>
      <c r="J45" s="7"/>
      <c r="K45" s="30">
        <f t="shared" si="13"/>
        <v>0</v>
      </c>
      <c r="L45" s="7"/>
      <c r="M45" s="30">
        <f t="shared" si="14"/>
        <v>0</v>
      </c>
      <c r="N45" s="7"/>
      <c r="O45" s="314"/>
      <c r="P45" s="7"/>
      <c r="Q45" s="30"/>
      <c r="R45" s="7"/>
      <c r="S45" s="23">
        <v>0</v>
      </c>
      <c r="T45" s="7"/>
      <c r="U45" s="23">
        <f t="shared" si="0"/>
        <v>766.56001519747304</v>
      </c>
      <c r="V45" s="7"/>
      <c r="W45" s="23">
        <f t="shared" si="1"/>
        <v>-766.56001519747304</v>
      </c>
      <c r="X45" s="7"/>
      <c r="Y45" s="315">
        <f t="shared" si="5"/>
        <v>-58.337900699959896</v>
      </c>
      <c r="Z45" s="271"/>
      <c r="AB45" s="168">
        <f>+IF(AB44&gt;$G$13+$G$14,XX,AB44+1)</f>
        <v>2020</v>
      </c>
      <c r="AC45" s="138"/>
      <c r="AD45" s="173">
        <f t="shared" si="2"/>
        <v>13140</v>
      </c>
      <c r="AE45" s="4"/>
      <c r="AF45" s="176">
        <f t="shared" si="15"/>
        <v>83.929134746581212</v>
      </c>
      <c r="AG45" s="4"/>
      <c r="AH45" s="176">
        <f t="shared" si="16"/>
        <v>10.29922002359171</v>
      </c>
      <c r="AI45" s="4"/>
      <c r="AJ45" s="176">
        <f t="shared" si="17"/>
        <v>2.4059952152406718</v>
      </c>
      <c r="AK45" s="4"/>
      <c r="AL45" s="175">
        <f t="shared" si="6"/>
        <v>214.80086928037215</v>
      </c>
      <c r="AM45" s="4"/>
      <c r="AN45" s="176">
        <f>INDEX('(2.2)_Forward_Price_Curve'!$H:$H,MATCH($AB45,'(2.2)_Forward_Price_Curve'!$C:$C,0),1)</f>
        <v>5.59</v>
      </c>
      <c r="AO45" s="4"/>
      <c r="AP45" s="176">
        <f t="shared" si="7"/>
        <v>40.045311023192355</v>
      </c>
      <c r="AQ45" s="4"/>
      <c r="AR45" s="176">
        <f t="shared" si="18"/>
        <v>4.9116030589519477</v>
      </c>
      <c r="AS45" s="176"/>
      <c r="AT45" s="175">
        <f t="shared" si="3"/>
        <v>175.82616415809696</v>
      </c>
      <c r="AU45" s="4"/>
      <c r="AV45" s="175">
        <f t="shared" si="4"/>
        <v>590.73385103937608</v>
      </c>
      <c r="AW45" s="318"/>
      <c r="AX45" s="177">
        <f t="shared" si="8"/>
        <v>766.56001519747304</v>
      </c>
      <c r="AZ45" s="168">
        <f>+IF(AZ44&gt;$G$13+$G$14,XX,AZ44+1)</f>
        <v>2020</v>
      </c>
      <c r="BA45" s="138"/>
      <c r="BB45" s="176">
        <f t="shared" si="19"/>
        <v>72.093352635521839</v>
      </c>
      <c r="BC45" s="4"/>
      <c r="BD45" s="176">
        <f t="shared" si="20"/>
        <v>15.674570112950356</v>
      </c>
      <c r="BE45" s="4"/>
      <c r="BF45" s="175">
        <f t="shared" si="9"/>
        <v>38.974705122275211</v>
      </c>
      <c r="BG45" s="4"/>
      <c r="BH45" s="179"/>
    </row>
    <row r="46" spans="2:60" ht="12">
      <c r="B46" s="3"/>
      <c r="C46" s="7">
        <f>+IF(C45&gt;$G$13+$G$14,XX,C45+1)</f>
        <v>2021</v>
      </c>
      <c r="D46" s="7"/>
      <c r="E46" s="311">
        <f t="shared" si="10"/>
        <v>2.5000000000000001E-2</v>
      </c>
      <c r="F46" s="7"/>
      <c r="G46" s="23">
        <f t="shared" si="11"/>
        <v>13140</v>
      </c>
      <c r="H46" s="7"/>
      <c r="I46" s="30">
        <f t="shared" si="12"/>
        <v>242.74086001134731</v>
      </c>
      <c r="J46" s="7"/>
      <c r="K46" s="30">
        <f t="shared" si="13"/>
        <v>0</v>
      </c>
      <c r="L46" s="7"/>
      <c r="M46" s="30">
        <f t="shared" si="14"/>
        <v>0</v>
      </c>
      <c r="N46" s="7"/>
      <c r="O46" s="314"/>
      <c r="P46" s="7"/>
      <c r="Q46" s="30"/>
      <c r="R46" s="7"/>
      <c r="S46" s="23">
        <v>0</v>
      </c>
      <c r="T46" s="7"/>
      <c r="U46" s="23">
        <f t="shared" si="0"/>
        <v>781.04097076604558</v>
      </c>
      <c r="V46" s="7"/>
      <c r="W46" s="23">
        <f t="shared" si="1"/>
        <v>-781.04097076604558</v>
      </c>
      <c r="X46" s="7"/>
      <c r="Y46" s="315">
        <f t="shared" si="5"/>
        <v>-59.439952113093277</v>
      </c>
      <c r="Z46" s="271"/>
      <c r="AB46" s="168">
        <f>+IF(AB45&gt;$G$13+$G$14,XX,AB45+1)</f>
        <v>2021</v>
      </c>
      <c r="AC46" s="138"/>
      <c r="AD46" s="173">
        <f t="shared" si="2"/>
        <v>13140</v>
      </c>
      <c r="AE46" s="4"/>
      <c r="AF46" s="176">
        <f t="shared" si="15"/>
        <v>86.027363115245734</v>
      </c>
      <c r="AG46" s="4"/>
      <c r="AH46" s="176">
        <f t="shared" si="16"/>
        <v>10.556700524181501</v>
      </c>
      <c r="AI46" s="4"/>
      <c r="AJ46" s="176">
        <f t="shared" si="17"/>
        <v>2.4661450956216884</v>
      </c>
      <c r="AK46" s="4"/>
      <c r="AL46" s="175">
        <f t="shared" si="6"/>
        <v>220.17089101238142</v>
      </c>
      <c r="AM46" s="4"/>
      <c r="AN46" s="176">
        <f>INDEX('(2.2)_Forward_Price_Curve'!$H:$H,MATCH($AB46,'(2.2)_Forward_Price_Curve'!$C:$C,0),1)</f>
        <v>5.68</v>
      </c>
      <c r="AO46" s="4"/>
      <c r="AP46" s="176">
        <f t="shared" si="7"/>
        <v>40.690047694406545</v>
      </c>
      <c r="AQ46" s="4"/>
      <c r="AR46" s="176">
        <f t="shared" si="18"/>
        <v>5.0343931354257458</v>
      </c>
      <c r="AS46" s="176"/>
      <c r="AT46" s="175">
        <f t="shared" si="3"/>
        <v>180.22181826204934</v>
      </c>
      <c r="AU46" s="4"/>
      <c r="AV46" s="175">
        <f t="shared" si="4"/>
        <v>600.81915250399629</v>
      </c>
      <c r="AW46" s="318"/>
      <c r="AX46" s="177">
        <f t="shared" si="8"/>
        <v>781.04097076604558</v>
      </c>
      <c r="AZ46" s="168">
        <f>+IF(AZ45&gt;$G$13+$G$14,XX,AZ45+1)</f>
        <v>2021</v>
      </c>
      <c r="BA46" s="138"/>
      <c r="BB46" s="176">
        <f t="shared" si="19"/>
        <v>73.895686451409873</v>
      </c>
      <c r="BC46" s="4"/>
      <c r="BD46" s="176">
        <f t="shared" si="20"/>
        <v>16.066434365774114</v>
      </c>
      <c r="BE46" s="4"/>
      <c r="BF46" s="175">
        <f t="shared" si="9"/>
        <v>39.949072750332085</v>
      </c>
      <c r="BG46" s="4"/>
      <c r="BH46" s="179"/>
    </row>
    <row r="47" spans="2:60" ht="12">
      <c r="B47" s="3"/>
      <c r="C47" s="7">
        <f>+IF(C46&gt;$G$13+$G$14,XX,C46+1)</f>
        <v>2022</v>
      </c>
      <c r="D47" s="7"/>
      <c r="E47" s="311">
        <f t="shared" si="10"/>
        <v>2.5000000000000001E-2</v>
      </c>
      <c r="F47" s="7"/>
      <c r="G47" s="23">
        <f t="shared" si="11"/>
        <v>13140</v>
      </c>
      <c r="H47" s="7"/>
      <c r="I47" s="30">
        <f t="shared" si="12"/>
        <v>248.80938151163096</v>
      </c>
      <c r="J47" s="7"/>
      <c r="K47" s="30">
        <f t="shared" si="13"/>
        <v>0</v>
      </c>
      <c r="L47" s="7"/>
      <c r="M47" s="30">
        <f t="shared" si="14"/>
        <v>0</v>
      </c>
      <c r="N47" s="7"/>
      <c r="O47" s="314"/>
      <c r="P47" s="7"/>
      <c r="Q47" s="30"/>
      <c r="R47" s="7"/>
      <c r="S47" s="23">
        <v>0</v>
      </c>
      <c r="T47" s="7"/>
      <c r="U47" s="23">
        <f t="shared" si="0"/>
        <v>790.96557652747504</v>
      </c>
      <c r="V47" s="7"/>
      <c r="W47" s="23">
        <f t="shared" si="1"/>
        <v>-790.96557652747504</v>
      </c>
      <c r="X47" s="7"/>
      <c r="Y47" s="315">
        <f t="shared" si="5"/>
        <v>-60.195249355211189</v>
      </c>
      <c r="Z47" s="271"/>
      <c r="AB47" s="168">
        <f>+IF(AB46&gt;$G$13+$G$14,XX,AB46+1)</f>
        <v>2022</v>
      </c>
      <c r="AC47" s="138"/>
      <c r="AD47" s="173">
        <f t="shared" si="2"/>
        <v>13140</v>
      </c>
      <c r="AE47" s="4"/>
      <c r="AF47" s="176">
        <f t="shared" si="15"/>
        <v>88.178047193126872</v>
      </c>
      <c r="AG47" s="4"/>
      <c r="AH47" s="176">
        <f t="shared" si="16"/>
        <v>10.820618037286037</v>
      </c>
      <c r="AI47" s="4"/>
      <c r="AJ47" s="176">
        <f t="shared" si="17"/>
        <v>2.5277987230122303</v>
      </c>
      <c r="AK47" s="4"/>
      <c r="AL47" s="175">
        <f t="shared" si="6"/>
        <v>225.67516328769102</v>
      </c>
      <c r="AM47" s="4"/>
      <c r="AN47" s="176">
        <f>INDEX('(2.2)_Forward_Price_Curve'!$H:$H,MATCH($AB47,'(2.2)_Forward_Price_Curve'!$C:$C,0),1)</f>
        <v>5.72</v>
      </c>
      <c r="AO47" s="4"/>
      <c r="AP47" s="176">
        <f t="shared" si="7"/>
        <v>40.976597326057295</v>
      </c>
      <c r="AQ47" s="4"/>
      <c r="AR47" s="176">
        <f t="shared" si="18"/>
        <v>5.1602529638113888</v>
      </c>
      <c r="AS47" s="176"/>
      <c r="AT47" s="175">
        <f t="shared" si="3"/>
        <v>184.72736371860063</v>
      </c>
      <c r="AU47" s="4"/>
      <c r="AV47" s="175">
        <f t="shared" si="4"/>
        <v>606.23821280887444</v>
      </c>
      <c r="AW47" s="318"/>
      <c r="AX47" s="177">
        <f t="shared" si="8"/>
        <v>790.96557652747504</v>
      </c>
      <c r="AZ47" s="168">
        <f>+IF(AZ46&gt;$G$13+$G$14,XX,AZ46+1)</f>
        <v>2022</v>
      </c>
      <c r="BA47" s="138"/>
      <c r="BB47" s="176">
        <f t="shared" si="19"/>
        <v>75.743078612695115</v>
      </c>
      <c r="BC47" s="4"/>
      <c r="BD47" s="176">
        <f t="shared" si="20"/>
        <v>16.468095224918464</v>
      </c>
      <c r="BE47" s="4"/>
      <c r="BF47" s="175">
        <f t="shared" si="9"/>
        <v>40.947799569090392</v>
      </c>
      <c r="BG47" s="4"/>
      <c r="BH47" s="179"/>
    </row>
    <row r="48" spans="2:60" ht="12">
      <c r="B48" s="3"/>
      <c r="C48" s="7">
        <f>+IF(C47&gt;$G$13+$G$14,XX,C47+1)</f>
        <v>2023</v>
      </c>
      <c r="D48" s="7"/>
      <c r="E48" s="311">
        <f t="shared" si="10"/>
        <v>2.5000000000000001E-2</v>
      </c>
      <c r="F48" s="7"/>
      <c r="G48" s="23">
        <f t="shared" si="11"/>
        <v>13140</v>
      </c>
      <c r="H48" s="7"/>
      <c r="I48" s="30">
        <f t="shared" si="12"/>
        <v>255.02961604942172</v>
      </c>
      <c r="J48" s="7"/>
      <c r="K48" s="30">
        <f t="shared" si="13"/>
        <v>0</v>
      </c>
      <c r="L48" s="7"/>
      <c r="M48" s="30">
        <f t="shared" si="14"/>
        <v>0</v>
      </c>
      <c r="N48" s="7"/>
      <c r="O48" s="314"/>
      <c r="P48" s="7"/>
      <c r="Q48" s="30"/>
      <c r="R48" s="7"/>
      <c r="S48" s="23">
        <v>0</v>
      </c>
      <c r="T48" s="7"/>
      <c r="U48" s="23">
        <f t="shared" si="0"/>
        <v>809.51600573869746</v>
      </c>
      <c r="V48" s="7"/>
      <c r="W48" s="23">
        <f t="shared" si="1"/>
        <v>-809.51600573869746</v>
      </c>
      <c r="X48" s="7"/>
      <c r="Y48" s="315">
        <f t="shared" si="5"/>
        <v>-61.607001958804986</v>
      </c>
      <c r="Z48" s="271"/>
      <c r="AB48" s="168">
        <f>+IF(AB47&gt;$G$13+$G$14,XX,AB47+1)</f>
        <v>2023</v>
      </c>
      <c r="AC48" s="138"/>
      <c r="AD48" s="173">
        <f t="shared" si="2"/>
        <v>13140</v>
      </c>
      <c r="AE48" s="4"/>
      <c r="AF48" s="176">
        <f t="shared" si="15"/>
        <v>90.382498372955041</v>
      </c>
      <c r="AG48" s="4"/>
      <c r="AH48" s="176">
        <f t="shared" si="16"/>
        <v>11.091133488218187</v>
      </c>
      <c r="AI48" s="4"/>
      <c r="AJ48" s="176">
        <f t="shared" si="17"/>
        <v>2.5909936910875357</v>
      </c>
      <c r="AK48" s="4"/>
      <c r="AL48" s="175">
        <f t="shared" si="6"/>
        <v>231.31704236988324</v>
      </c>
      <c r="AM48" s="4"/>
      <c r="AN48" s="176">
        <f>INDEX('(2.2)_Forward_Price_Curve'!$H:$H,MATCH($AB48,'(2.2)_Forward_Price_Curve'!$C:$C,0),1)</f>
        <v>5.85</v>
      </c>
      <c r="AO48" s="4"/>
      <c r="AP48" s="176">
        <f t="shared" si="7"/>
        <v>41.907883628922235</v>
      </c>
      <c r="AQ48" s="4"/>
      <c r="AR48" s="176">
        <f t="shared" si="18"/>
        <v>5.2892592879066731</v>
      </c>
      <c r="AS48" s="176"/>
      <c r="AT48" s="175">
        <f t="shared" si="3"/>
        <v>189.34554781156561</v>
      </c>
      <c r="AU48" s="4"/>
      <c r="AV48" s="175">
        <f t="shared" si="4"/>
        <v>620.17045792713191</v>
      </c>
      <c r="AW48" s="318"/>
      <c r="AX48" s="177">
        <f t="shared" si="8"/>
        <v>809.51600573869746</v>
      </c>
      <c r="AZ48" s="168">
        <f>+IF(AZ47&gt;$G$13+$G$14,XX,AZ47+1)</f>
        <v>2023</v>
      </c>
      <c r="BA48" s="138"/>
      <c r="BB48" s="176">
        <f t="shared" si="19"/>
        <v>77.63665557801248</v>
      </c>
      <c r="BC48" s="4"/>
      <c r="BD48" s="176">
        <f t="shared" si="20"/>
        <v>16.879797605541423</v>
      </c>
      <c r="BE48" s="4"/>
      <c r="BF48" s="175">
        <f t="shared" si="9"/>
        <v>41.971494558317644</v>
      </c>
      <c r="BG48" s="4"/>
      <c r="BH48" s="179"/>
    </row>
    <row r="49" spans="1:61" ht="12">
      <c r="B49" s="3"/>
      <c r="C49" s="7">
        <f>+IF(C48&gt;$G$13+$G$14,XX,C48+1)</f>
        <v>2024</v>
      </c>
      <c r="D49" s="7"/>
      <c r="E49" s="311">
        <f t="shared" si="10"/>
        <v>2.5000000000000001E-2</v>
      </c>
      <c r="F49" s="7"/>
      <c r="G49" s="23">
        <f t="shared" si="11"/>
        <v>13140</v>
      </c>
      <c r="H49" s="7"/>
      <c r="I49" s="30">
        <f t="shared" si="12"/>
        <v>261.40535645065722</v>
      </c>
      <c r="J49" s="7"/>
      <c r="K49" s="30">
        <f t="shared" si="13"/>
        <v>0</v>
      </c>
      <c r="L49" s="7"/>
      <c r="M49" s="30">
        <f t="shared" si="14"/>
        <v>0</v>
      </c>
      <c r="N49" s="7"/>
      <c r="O49" s="314"/>
      <c r="P49" s="7"/>
      <c r="Q49" s="30"/>
      <c r="R49" s="7"/>
      <c r="S49" s="23">
        <v>0</v>
      </c>
      <c r="T49" s="7"/>
      <c r="U49" s="23">
        <f t="shared" si="0"/>
        <v>829.75390588216487</v>
      </c>
      <c r="V49" s="7"/>
      <c r="W49" s="23">
        <f t="shared" si="1"/>
        <v>-829.75390588216487</v>
      </c>
      <c r="X49" s="7"/>
      <c r="Y49" s="315">
        <f t="shared" si="5"/>
        <v>-63.147177007775099</v>
      </c>
      <c r="Z49" s="271"/>
      <c r="AB49" s="168">
        <f>+IF(AB48&gt;$G$13+$G$14,XX,AB48+1)</f>
        <v>2024</v>
      </c>
      <c r="AC49" s="138"/>
      <c r="AD49" s="173">
        <f t="shared" si="2"/>
        <v>13140</v>
      </c>
      <c r="AE49" s="4"/>
      <c r="AF49" s="176">
        <f t="shared" si="15"/>
        <v>92.642060832278915</v>
      </c>
      <c r="AG49" s="4"/>
      <c r="AH49" s="176">
        <f t="shared" si="16"/>
        <v>11.368411825423641</v>
      </c>
      <c r="AI49" s="4"/>
      <c r="AJ49" s="176">
        <f t="shared" si="17"/>
        <v>2.6557685333647241</v>
      </c>
      <c r="AK49" s="4"/>
      <c r="AL49" s="175">
        <f t="shared" si="6"/>
        <v>237.09996842913029</v>
      </c>
      <c r="AM49" s="4"/>
      <c r="AN49" s="176">
        <f>INDEX('(2.2)_Forward_Price_Curve'!$H:$H,MATCH($AB49,'(2.2)_Forward_Price_Curve'!$C:$C,0),1)</f>
        <v>5.996249999999999</v>
      </c>
      <c r="AO49" s="4"/>
      <c r="AP49" s="176">
        <f t="shared" si="7"/>
        <v>42.95558071964529</v>
      </c>
      <c r="AQ49" s="4"/>
      <c r="AR49" s="176">
        <f t="shared" si="18"/>
        <v>5.4214907701043398</v>
      </c>
      <c r="AS49" s="176"/>
      <c r="AT49" s="175">
        <f t="shared" si="3"/>
        <v>194.07918650685471</v>
      </c>
      <c r="AU49" s="4"/>
      <c r="AV49" s="175">
        <f t="shared" si="4"/>
        <v>635.67471937531013</v>
      </c>
      <c r="AW49" s="318"/>
      <c r="AX49" s="177">
        <f t="shared" si="8"/>
        <v>829.75390588216487</v>
      </c>
      <c r="AZ49" s="168">
        <f>+IF(AZ48&gt;$G$13+$G$14,XX,AZ48+1)</f>
        <v>2024</v>
      </c>
      <c r="BA49" s="138"/>
      <c r="BB49" s="176">
        <f t="shared" si="19"/>
        <v>79.577571967462788</v>
      </c>
      <c r="BC49" s="4"/>
      <c r="BD49" s="176">
        <f t="shared" si="20"/>
        <v>17.301792545679959</v>
      </c>
      <c r="BE49" s="4"/>
      <c r="BF49" s="175">
        <f t="shared" si="9"/>
        <v>43.020781922275582</v>
      </c>
      <c r="BG49" s="4"/>
      <c r="BH49" s="179"/>
    </row>
    <row r="50" spans="1:61" ht="12">
      <c r="B50" s="3"/>
      <c r="C50" s="7">
        <f>+IF(C49&gt;$G$13+$G$14,XX,C49+1)</f>
        <v>2025</v>
      </c>
      <c r="D50" s="7"/>
      <c r="E50" s="311">
        <f t="shared" si="10"/>
        <v>2.5000000000000001E-2</v>
      </c>
      <c r="F50" s="7"/>
      <c r="G50" s="23">
        <f t="shared" si="11"/>
        <v>13140</v>
      </c>
      <c r="H50" s="7"/>
      <c r="I50" s="30">
        <f t="shared" si="12"/>
        <v>267.94049036192365</v>
      </c>
      <c r="J50" s="7"/>
      <c r="K50" s="30">
        <f t="shared" si="13"/>
        <v>0</v>
      </c>
      <c r="L50" s="7"/>
      <c r="M50" s="30">
        <f t="shared" si="14"/>
        <v>0</v>
      </c>
      <c r="N50" s="7"/>
      <c r="O50" s="314"/>
      <c r="P50" s="7"/>
      <c r="Q50" s="30"/>
      <c r="R50" s="7"/>
      <c r="S50" s="23">
        <v>0</v>
      </c>
      <c r="T50" s="7"/>
      <c r="U50" s="23">
        <f t="shared" si="0"/>
        <v>850.49775352921904</v>
      </c>
      <c r="V50" s="7"/>
      <c r="W50" s="23">
        <f t="shared" si="1"/>
        <v>-850.49775352921904</v>
      </c>
      <c r="X50" s="7"/>
      <c r="Y50" s="315">
        <f t="shared" si="5"/>
        <v>-64.725856432969493</v>
      </c>
      <c r="Z50" s="271"/>
      <c r="AB50" s="168">
        <f>+IF(AB49&gt;$G$13+$G$14,XX,AB49+1)</f>
        <v>2025</v>
      </c>
      <c r="AC50" s="138"/>
      <c r="AD50" s="173">
        <f t="shared" si="2"/>
        <v>13140</v>
      </c>
      <c r="AE50" s="4"/>
      <c r="AF50" s="176">
        <f t="shared" si="15"/>
        <v>94.95811235308588</v>
      </c>
      <c r="AG50" s="4"/>
      <c r="AH50" s="176">
        <f t="shared" si="16"/>
        <v>11.652622121059231</v>
      </c>
      <c r="AI50" s="4"/>
      <c r="AJ50" s="176">
        <f t="shared" si="17"/>
        <v>2.7221627466988418</v>
      </c>
      <c r="AK50" s="4"/>
      <c r="AL50" s="175">
        <f t="shared" si="6"/>
        <v>243.0274676398586</v>
      </c>
      <c r="AM50" s="4"/>
      <c r="AN50" s="176">
        <f>INDEX('(2.2)_Forward_Price_Curve'!$H:$H,MATCH($AB50,'(2.2)_Forward_Price_Curve'!$C:$C,0),1)</f>
        <v>6.146156249999998</v>
      </c>
      <c r="AO50" s="4"/>
      <c r="AP50" s="176">
        <f t="shared" si="7"/>
        <v>44.029470237636417</v>
      </c>
      <c r="AQ50" s="4"/>
      <c r="AR50" s="176">
        <f t="shared" si="18"/>
        <v>5.5570280393569478</v>
      </c>
      <c r="AS50" s="176"/>
      <c r="AT50" s="175">
        <f t="shared" si="3"/>
        <v>198.93116616952614</v>
      </c>
      <c r="AU50" s="4"/>
      <c r="AV50" s="175">
        <f t="shared" si="4"/>
        <v>651.5665873596929</v>
      </c>
      <c r="AW50" s="318"/>
      <c r="AX50" s="177">
        <f t="shared" si="8"/>
        <v>850.49775352921904</v>
      </c>
      <c r="AZ50" s="168">
        <f>+IF(AZ49&gt;$G$13+$G$14,XX,AZ49+1)</f>
        <v>2025</v>
      </c>
      <c r="BA50" s="138"/>
      <c r="BB50" s="176">
        <f t="shared" si="19"/>
        <v>81.567011266649345</v>
      </c>
      <c r="BC50" s="4"/>
      <c r="BD50" s="176">
        <f t="shared" si="20"/>
        <v>17.734337359321955</v>
      </c>
      <c r="BE50" s="4"/>
      <c r="BF50" s="175">
        <f t="shared" si="9"/>
        <v>44.096301470332463</v>
      </c>
      <c r="BG50" s="4"/>
      <c r="BH50" s="179"/>
    </row>
    <row r="51" spans="1:61" ht="12">
      <c r="B51" s="3"/>
      <c r="C51" s="7">
        <f>+IF(C50&gt;$G$13+$G$14,XX,C50+1)</f>
        <v>2026</v>
      </c>
      <c r="D51" s="7"/>
      <c r="E51" s="311">
        <f t="shared" si="10"/>
        <v>2.5000000000000001E-2</v>
      </c>
      <c r="F51" s="7"/>
      <c r="G51" s="23">
        <f t="shared" si="11"/>
        <v>13140</v>
      </c>
      <c r="H51" s="7"/>
      <c r="I51" s="30">
        <f t="shared" si="12"/>
        <v>274.63900262097172</v>
      </c>
      <c r="J51" s="7"/>
      <c r="K51" s="30">
        <f t="shared" si="13"/>
        <v>0</v>
      </c>
      <c r="L51" s="7"/>
      <c r="M51" s="30">
        <f t="shared" si="14"/>
        <v>0</v>
      </c>
      <c r="N51" s="7"/>
      <c r="O51" s="314"/>
      <c r="P51" s="7"/>
      <c r="Q51" s="30"/>
      <c r="R51" s="7"/>
      <c r="S51" s="23">
        <v>0</v>
      </c>
      <c r="T51" s="7"/>
      <c r="U51" s="23">
        <f t="shared" si="0"/>
        <v>871.76019736744911</v>
      </c>
      <c r="V51" s="7"/>
      <c r="W51" s="23">
        <f t="shared" si="1"/>
        <v>-871.76019736744911</v>
      </c>
      <c r="X51" s="7"/>
      <c r="Y51" s="315">
        <f t="shared" si="5"/>
        <v>-66.344002843793689</v>
      </c>
      <c r="Z51" s="271"/>
      <c r="AB51" s="168">
        <f>+IF(AB50&gt;$G$13+$G$14,XX,AB50+1)</f>
        <v>2026</v>
      </c>
      <c r="AC51" s="138"/>
      <c r="AD51" s="173">
        <f t="shared" si="2"/>
        <v>13140</v>
      </c>
      <c r="AE51" s="4"/>
      <c r="AF51" s="176">
        <f t="shared" si="15"/>
        <v>97.332065161913022</v>
      </c>
      <c r="AG51" s="4"/>
      <c r="AH51" s="176">
        <f t="shared" si="16"/>
        <v>11.943937674085712</v>
      </c>
      <c r="AI51" s="4"/>
      <c r="AJ51" s="176">
        <f t="shared" si="17"/>
        <v>2.7902168153663127</v>
      </c>
      <c r="AK51" s="4"/>
      <c r="AL51" s="175">
        <f t="shared" si="6"/>
        <v>249.10315433085503</v>
      </c>
      <c r="AM51" s="4"/>
      <c r="AN51" s="176">
        <f>INDEX('(2.2)_Forward_Price_Curve'!$H:$H,MATCH($AB51,'(2.2)_Forward_Price_Curve'!$C:$C,0),1)</f>
        <v>6.2998101562499977</v>
      </c>
      <c r="AO51" s="4"/>
      <c r="AP51" s="176">
        <f t="shared" si="7"/>
        <v>45.130206993577318</v>
      </c>
      <c r="AQ51" s="4"/>
      <c r="AR51" s="176">
        <f t="shared" si="18"/>
        <v>5.6959537403408707</v>
      </c>
      <c r="AS51" s="176"/>
      <c r="AT51" s="175">
        <f t="shared" si="3"/>
        <v>203.90444532376426</v>
      </c>
      <c r="AU51" s="4"/>
      <c r="AV51" s="175">
        <f t="shared" si="4"/>
        <v>667.8557520436849</v>
      </c>
      <c r="AW51" s="318"/>
      <c r="AX51" s="177">
        <f t="shared" si="8"/>
        <v>871.76019736744911</v>
      </c>
      <c r="AZ51" s="168">
        <f>+IF(AZ50&gt;$G$13+$G$14,XX,AZ50+1)</f>
        <v>2026</v>
      </c>
      <c r="BA51" s="138"/>
      <c r="BB51" s="176">
        <f t="shared" si="19"/>
        <v>83.606186548315577</v>
      </c>
      <c r="BC51" s="4"/>
      <c r="BD51" s="176">
        <f t="shared" si="20"/>
        <v>18.177695793305002</v>
      </c>
      <c r="BE51" s="4"/>
      <c r="BF51" s="175">
        <f t="shared" si="9"/>
        <v>45.19870900709077</v>
      </c>
      <c r="BG51" s="4"/>
      <c r="BH51" s="179"/>
    </row>
    <row r="52" spans="1:61" ht="12">
      <c r="B52" s="3"/>
      <c r="C52" s="7">
        <f>+IF(C51&gt;$G$13+$G$14,XX,C51+1)</f>
        <v>2027</v>
      </c>
      <c r="D52" s="7"/>
      <c r="E52" s="311">
        <f t="shared" si="10"/>
        <v>2.5000000000000001E-2</v>
      </c>
      <c r="F52" s="7"/>
      <c r="G52" s="23">
        <f t="shared" si="11"/>
        <v>13140</v>
      </c>
      <c r="H52" s="7"/>
      <c r="I52" s="30">
        <f t="shared" si="12"/>
        <v>281.50497768649598</v>
      </c>
      <c r="J52" s="7"/>
      <c r="K52" s="30">
        <f t="shared" si="13"/>
        <v>0</v>
      </c>
      <c r="L52" s="7"/>
      <c r="M52" s="30">
        <f t="shared" si="14"/>
        <v>0</v>
      </c>
      <c r="N52" s="7"/>
      <c r="O52" s="314"/>
      <c r="P52" s="7"/>
      <c r="Q52" s="30"/>
      <c r="R52" s="7"/>
      <c r="S52" s="23">
        <v>0</v>
      </c>
      <c r="T52" s="7"/>
      <c r="U52" s="23">
        <f t="shared" si="0"/>
        <v>893.55420230163543</v>
      </c>
      <c r="V52" s="7"/>
      <c r="W52" s="23">
        <f t="shared" si="1"/>
        <v>-893.55420230163543</v>
      </c>
      <c r="X52" s="7"/>
      <c r="Y52" s="315">
        <f t="shared" si="5"/>
        <v>-68.002602914888541</v>
      </c>
      <c r="Z52" s="271"/>
      <c r="AB52" s="168">
        <f>+IF(AB51&gt;$G$13+$G$14,XX,AB51+1)</f>
        <v>2027</v>
      </c>
      <c r="AC52" s="138"/>
      <c r="AD52" s="173">
        <f t="shared" si="2"/>
        <v>13140</v>
      </c>
      <c r="AE52" s="4"/>
      <c r="AF52" s="176">
        <f t="shared" si="15"/>
        <v>99.76536679096084</v>
      </c>
      <c r="AG52" s="4"/>
      <c r="AH52" s="176">
        <f t="shared" si="16"/>
        <v>12.242536115937854</v>
      </c>
      <c r="AI52" s="4"/>
      <c r="AJ52" s="176">
        <f t="shared" si="17"/>
        <v>2.8599722357504702</v>
      </c>
      <c r="AK52" s="4"/>
      <c r="AL52" s="175">
        <f t="shared" si="6"/>
        <v>255.33073318912636</v>
      </c>
      <c r="AM52" s="4"/>
      <c r="AN52" s="176">
        <f>INDEX('(2.2)_Forward_Price_Curve'!$H:$H,MATCH($AB52,'(2.2)_Forward_Price_Curve'!$C:$C,0),1)</f>
        <v>6.4573054101562475</v>
      </c>
      <c r="AO52" s="4"/>
      <c r="AP52" s="176">
        <f t="shared" si="7"/>
        <v>46.258462168416749</v>
      </c>
      <c r="AQ52" s="4"/>
      <c r="AR52" s="176">
        <f t="shared" si="18"/>
        <v>5.8383525838493915</v>
      </c>
      <c r="AS52" s="176"/>
      <c r="AT52" s="175">
        <f t="shared" si="3"/>
        <v>209.00205645685833</v>
      </c>
      <c r="AU52" s="4"/>
      <c r="AV52" s="175">
        <f t="shared" si="4"/>
        <v>684.5521458447771</v>
      </c>
      <c r="AW52" s="318"/>
      <c r="AX52" s="177">
        <f t="shared" si="8"/>
        <v>893.55420230163543</v>
      </c>
      <c r="AZ52" s="168">
        <f>+IF(AZ51&gt;$G$13+$G$14,XX,AZ51+1)</f>
        <v>2027</v>
      </c>
      <c r="BA52" s="138"/>
      <c r="BB52" s="176">
        <f t="shared" si="19"/>
        <v>85.696341212023455</v>
      </c>
      <c r="BC52" s="4"/>
      <c r="BD52" s="176">
        <f t="shared" si="20"/>
        <v>18.632138188137624</v>
      </c>
      <c r="BE52" s="4"/>
      <c r="BF52" s="175">
        <f t="shared" si="9"/>
        <v>46.328676732268036</v>
      </c>
      <c r="BG52" s="4"/>
      <c r="BH52" s="179"/>
    </row>
    <row r="53" spans="1:61" ht="12">
      <c r="B53" s="3"/>
      <c r="C53" s="7">
        <f>+IF(C52&gt;$G$13+$G$14,XX,C52+1)</f>
        <v>2028</v>
      </c>
      <c r="D53" s="7"/>
      <c r="E53" s="311">
        <f t="shared" si="10"/>
        <v>2.5000000000000001E-2</v>
      </c>
      <c r="F53" s="7"/>
      <c r="G53" s="23">
        <f t="shared" si="11"/>
        <v>13140</v>
      </c>
      <c r="H53" s="7"/>
      <c r="I53" s="30">
        <f t="shared" si="12"/>
        <v>288.54260212865836</v>
      </c>
      <c r="J53" s="7"/>
      <c r="K53" s="30">
        <f t="shared" si="13"/>
        <v>0</v>
      </c>
      <c r="L53" s="7"/>
      <c r="M53" s="30">
        <f t="shared" si="14"/>
        <v>0</v>
      </c>
      <c r="N53" s="7"/>
      <c r="O53" s="314"/>
      <c r="P53" s="7"/>
      <c r="Q53" s="30"/>
      <c r="R53" s="7"/>
      <c r="S53" s="23">
        <v>0</v>
      </c>
      <c r="T53" s="7"/>
      <c r="U53" s="23">
        <f t="shared" si="0"/>
        <v>915.89305735917628</v>
      </c>
      <c r="V53" s="7"/>
      <c r="W53" s="23">
        <f t="shared" si="1"/>
        <v>-915.89305735917628</v>
      </c>
      <c r="X53" s="7"/>
      <c r="Y53" s="315">
        <f t="shared" si="5"/>
        <v>-69.702667987760762</v>
      </c>
      <c r="Z53" s="271"/>
      <c r="AB53" s="168">
        <f>+IF(AB52&gt;$G$13+$G$14,XX,AB52+1)</f>
        <v>2028</v>
      </c>
      <c r="AC53" s="138"/>
      <c r="AD53" s="173">
        <f t="shared" si="2"/>
        <v>13140</v>
      </c>
      <c r="AE53" s="4"/>
      <c r="AF53" s="176">
        <f t="shared" si="15"/>
        <v>102.25950096073485</v>
      </c>
      <c r="AG53" s="4"/>
      <c r="AH53" s="176">
        <f t="shared" si="16"/>
        <v>12.5485995188363</v>
      </c>
      <c r="AI53" s="4"/>
      <c r="AJ53" s="176">
        <f t="shared" si="17"/>
        <v>2.9314715416442318</v>
      </c>
      <c r="AK53" s="4"/>
      <c r="AL53" s="175">
        <f t="shared" si="6"/>
        <v>261.7140015188545</v>
      </c>
      <c r="AM53" s="4"/>
      <c r="AN53" s="176">
        <f>INDEX('(2.2)_Forward_Price_Curve'!$H:$H,MATCH($AB53,'(2.2)_Forward_Price_Curve'!$C:$C,0),1)</f>
        <v>6.6187380454101534</v>
      </c>
      <c r="AO53" s="4"/>
      <c r="AP53" s="176">
        <f t="shared" si="7"/>
        <v>47.414923722627172</v>
      </c>
      <c r="AQ53" s="4"/>
      <c r="AR53" s="176">
        <f t="shared" si="18"/>
        <v>5.9843113984456258</v>
      </c>
      <c r="AS53" s="176"/>
      <c r="AT53" s="175">
        <f t="shared" si="3"/>
        <v>214.22710786827977</v>
      </c>
      <c r="AU53" s="4"/>
      <c r="AV53" s="175">
        <f t="shared" si="4"/>
        <v>701.66594949089654</v>
      </c>
      <c r="AW53" s="318"/>
      <c r="AX53" s="177">
        <f t="shared" si="8"/>
        <v>915.89305735917628</v>
      </c>
      <c r="AZ53" s="168">
        <f>+IF(AZ52&gt;$G$13+$G$14,XX,AZ52+1)</f>
        <v>2028</v>
      </c>
      <c r="BA53" s="138"/>
      <c r="BB53" s="176">
        <f t="shared" si="19"/>
        <v>87.83874974232404</v>
      </c>
      <c r="BC53" s="4"/>
      <c r="BD53" s="176">
        <f t="shared" si="20"/>
        <v>19.097941642841064</v>
      </c>
      <c r="BE53" s="4"/>
      <c r="BF53" s="175">
        <f t="shared" si="9"/>
        <v>47.486893650574736</v>
      </c>
      <c r="BG53" s="4"/>
      <c r="BH53" s="271"/>
    </row>
    <row r="54" spans="1:61" ht="12">
      <c r="B54" s="3"/>
      <c r="C54" s="7">
        <f>+IF(C53&gt;$G$13+$G$14,XX,C53+1)</f>
        <v>2029</v>
      </c>
      <c r="D54" s="7"/>
      <c r="E54" s="311">
        <f t="shared" si="10"/>
        <v>2.5000000000000001E-2</v>
      </c>
      <c r="F54" s="7"/>
      <c r="G54" s="23">
        <f t="shared" si="11"/>
        <v>13140</v>
      </c>
      <c r="H54" s="7"/>
      <c r="I54" s="30">
        <f t="shared" si="12"/>
        <v>295.75616718187479</v>
      </c>
      <c r="J54" s="7"/>
      <c r="K54" s="30">
        <f t="shared" si="13"/>
        <v>0</v>
      </c>
      <c r="L54" s="7"/>
      <c r="M54" s="30">
        <f t="shared" si="14"/>
        <v>0</v>
      </c>
      <c r="N54" s="7"/>
      <c r="O54" s="314"/>
      <c r="P54" s="7"/>
      <c r="Q54" s="30"/>
      <c r="R54" s="7"/>
      <c r="S54" s="23">
        <v>0</v>
      </c>
      <c r="T54" s="7"/>
      <c r="U54" s="23">
        <f t="shared" si="0"/>
        <v>938.7903837931558</v>
      </c>
      <c r="V54" s="7"/>
      <c r="W54" s="23">
        <f t="shared" si="1"/>
        <v>-938.7903837931558</v>
      </c>
      <c r="X54" s="7"/>
      <c r="Y54" s="315">
        <f t="shared" si="5"/>
        <v>-71.445234687454771</v>
      </c>
      <c r="Z54" s="271"/>
      <c r="AB54" s="168">
        <f>+IF(AB53&gt;$G$13+$G$14,XX,AB53+1)</f>
        <v>2029</v>
      </c>
      <c r="AC54" s="138"/>
      <c r="AD54" s="173">
        <f t="shared" si="2"/>
        <v>13140</v>
      </c>
      <c r="AE54" s="4"/>
      <c r="AF54" s="176">
        <f t="shared" si="15"/>
        <v>104.81598848475322</v>
      </c>
      <c r="AG54" s="4"/>
      <c r="AH54" s="176">
        <f t="shared" si="16"/>
        <v>12.862314506807206</v>
      </c>
      <c r="AI54" s="4"/>
      <c r="AJ54" s="176">
        <f t="shared" si="17"/>
        <v>3.0047583301853376</v>
      </c>
      <c r="AK54" s="4"/>
      <c r="AL54" s="175">
        <f t="shared" si="6"/>
        <v>268.25685155682584</v>
      </c>
      <c r="AM54" s="4"/>
      <c r="AN54" s="176">
        <f>INDEX('(2.2)_Forward_Price_Curve'!$H:$H,MATCH($AB54,'(2.2)_Forward_Price_Curve'!$C:$C,0),1)</f>
        <v>6.7842064965454068</v>
      </c>
      <c r="AO54" s="4"/>
      <c r="AP54" s="176">
        <f t="shared" si="7"/>
        <v>48.60029681569285</v>
      </c>
      <c r="AQ54" s="4"/>
      <c r="AR54" s="176">
        <f t="shared" si="18"/>
        <v>6.1339191834067659</v>
      </c>
      <c r="AS54" s="176"/>
      <c r="AT54" s="175">
        <f t="shared" si="3"/>
        <v>219.58278556498675</v>
      </c>
      <c r="AU54" s="4"/>
      <c r="AV54" s="175">
        <f t="shared" si="4"/>
        <v>719.20759822816899</v>
      </c>
      <c r="AW54" s="318"/>
      <c r="AX54" s="177">
        <f t="shared" si="8"/>
        <v>938.7903837931558</v>
      </c>
      <c r="AZ54" s="168">
        <f>+IF(AZ53&gt;$G$13+$G$14,XX,AZ53+1)</f>
        <v>2029</v>
      </c>
      <c r="BA54" s="138"/>
      <c r="BB54" s="176">
        <f t="shared" si="19"/>
        <v>90.034718485882138</v>
      </c>
      <c r="BC54" s="4"/>
      <c r="BD54" s="176">
        <f t="shared" si="20"/>
        <v>19.575390183912088</v>
      </c>
      <c r="BE54" s="4"/>
      <c r="BF54" s="175">
        <f t="shared" si="9"/>
        <v>48.6740659918391</v>
      </c>
      <c r="BG54" s="4"/>
      <c r="BH54" s="179"/>
    </row>
    <row r="55" spans="1:61" ht="12">
      <c r="B55" s="3"/>
      <c r="C55" s="7">
        <f>+IF(C54&gt;$G$13+$G$14,XX,C54+1)</f>
        <v>2030</v>
      </c>
      <c r="D55" s="7"/>
      <c r="E55" s="311">
        <f t="shared" si="10"/>
        <v>2.5000000000000001E-2</v>
      </c>
      <c r="F55" s="7"/>
      <c r="G55" s="23">
        <f t="shared" si="11"/>
        <v>13140</v>
      </c>
      <c r="H55" s="7"/>
      <c r="I55" s="30">
        <f t="shared" si="12"/>
        <v>303.15007136142162</v>
      </c>
      <c r="J55" s="7"/>
      <c r="K55" s="30">
        <f t="shared" si="13"/>
        <v>0</v>
      </c>
      <c r="L55" s="7"/>
      <c r="M55" s="30">
        <f t="shared" si="14"/>
        <v>0</v>
      </c>
      <c r="N55" s="7"/>
      <c r="O55" s="314"/>
      <c r="P55" s="7"/>
      <c r="Q55" s="30"/>
      <c r="R55" s="7"/>
      <c r="S55" s="23">
        <v>0</v>
      </c>
      <c r="T55" s="7"/>
      <c r="U55" s="23">
        <f t="shared" si="0"/>
        <v>962.26014338798439</v>
      </c>
      <c r="V55" s="7"/>
      <c r="W55" s="23">
        <f t="shared" si="1"/>
        <v>-962.26014338798439</v>
      </c>
      <c r="X55" s="7"/>
      <c r="Y55" s="315">
        <f t="shared" si="5"/>
        <v>-73.23136555464113</v>
      </c>
      <c r="Z55" s="271"/>
      <c r="AB55" s="168">
        <f>+IF(AB54&gt;$G$13+$G$14,XX,AB54+1)</f>
        <v>2030</v>
      </c>
      <c r="AC55" s="138"/>
      <c r="AD55" s="173">
        <f t="shared" si="2"/>
        <v>13140</v>
      </c>
      <c r="AE55" s="4"/>
      <c r="AF55" s="176">
        <f t="shared" si="15"/>
        <v>107.43638819687204</v>
      </c>
      <c r="AG55" s="4"/>
      <c r="AH55" s="176">
        <f t="shared" si="16"/>
        <v>13.183872369477385</v>
      </c>
      <c r="AI55" s="4"/>
      <c r="AJ55" s="176">
        <f t="shared" si="17"/>
        <v>3.0798772884399708</v>
      </c>
      <c r="AK55" s="4"/>
      <c r="AL55" s="175">
        <f t="shared" si="6"/>
        <v>274.96327284574647</v>
      </c>
      <c r="AM55" s="4"/>
      <c r="AN55" s="176">
        <f>INDEX('(2.2)_Forward_Price_Curve'!$H:$H,MATCH($AB55,'(2.2)_Forward_Price_Curve'!$C:$C,0),1)</f>
        <v>6.9538116589590411</v>
      </c>
      <c r="AO55" s="4"/>
      <c r="AP55" s="176">
        <f t="shared" si="7"/>
        <v>49.815304236085161</v>
      </c>
      <c r="AQ55" s="4"/>
      <c r="AR55" s="176">
        <f t="shared" si="18"/>
        <v>6.2872671629919346</v>
      </c>
      <c r="AS55" s="176"/>
      <c r="AT55" s="175">
        <f t="shared" si="3"/>
        <v>225.0723552041114</v>
      </c>
      <c r="AU55" s="4"/>
      <c r="AV55" s="175">
        <f t="shared" si="4"/>
        <v>737.18778818387295</v>
      </c>
      <c r="AW55" s="318"/>
      <c r="AX55" s="177">
        <f t="shared" si="8"/>
        <v>962.26014338798439</v>
      </c>
      <c r="AZ55" s="168">
        <f>+IF(AZ54&gt;$G$13+$G$14,XX,AZ54+1)</f>
        <v>2030</v>
      </c>
      <c r="BA55" s="138"/>
      <c r="BB55" s="176">
        <f t="shared" si="19"/>
        <v>92.285586448029179</v>
      </c>
      <c r="BC55" s="4"/>
      <c r="BD55" s="176">
        <f t="shared" si="20"/>
        <v>20.064774938509888</v>
      </c>
      <c r="BE55" s="4"/>
      <c r="BF55" s="175">
        <f t="shared" si="9"/>
        <v>49.89091764163507</v>
      </c>
      <c r="BG55" s="4"/>
      <c r="BH55" s="271"/>
    </row>
    <row r="56" spans="1:61" ht="12">
      <c r="B56" s="3"/>
      <c r="C56" s="7">
        <f>+IF(C55&gt;$G$13+$G$14,XX,C55+1)</f>
        <v>2031</v>
      </c>
      <c r="D56" s="7"/>
      <c r="E56" s="311">
        <f t="shared" si="10"/>
        <v>2.5000000000000001E-2</v>
      </c>
      <c r="F56" s="7"/>
      <c r="G56" s="23">
        <f t="shared" si="11"/>
        <v>13140</v>
      </c>
      <c r="H56" s="7"/>
      <c r="I56" s="30">
        <f t="shared" si="12"/>
        <v>310.72882314545711</v>
      </c>
      <c r="J56" s="7"/>
      <c r="K56" s="30">
        <f t="shared" si="13"/>
        <v>0</v>
      </c>
      <c r="L56" s="7"/>
      <c r="M56" s="30">
        <f t="shared" si="14"/>
        <v>0</v>
      </c>
      <c r="N56" s="7"/>
      <c r="O56" s="314"/>
      <c r="P56" s="7"/>
      <c r="Q56" s="30"/>
      <c r="R56" s="7"/>
      <c r="S56" s="23">
        <v>0</v>
      </c>
      <c r="T56" s="7"/>
      <c r="U56" s="23">
        <f t="shared" si="0"/>
        <v>986.316646972684</v>
      </c>
      <c r="V56" s="7"/>
      <c r="W56" s="23">
        <f t="shared" si="1"/>
        <v>-986.316646972684</v>
      </c>
      <c r="X56" s="7"/>
      <c r="Y56" s="315">
        <f t="shared" si="5"/>
        <v>-75.062149693507152</v>
      </c>
      <c r="Z56" s="271"/>
      <c r="AB56" s="168">
        <f>+IF(AB55&gt;$G$13+$G$14,XX,AB55+1)</f>
        <v>2031</v>
      </c>
      <c r="AC56" s="138"/>
      <c r="AD56" s="173">
        <f t="shared" si="2"/>
        <v>13140</v>
      </c>
      <c r="AE56" s="4"/>
      <c r="AF56" s="176">
        <f t="shared" si="15"/>
        <v>110.12229790179384</v>
      </c>
      <c r="AG56" s="4"/>
      <c r="AH56" s="176">
        <f t="shared" si="16"/>
        <v>13.513469178714319</v>
      </c>
      <c r="AI56" s="4"/>
      <c r="AJ56" s="176">
        <f t="shared" si="17"/>
        <v>3.1568742206509697</v>
      </c>
      <c r="AK56" s="4"/>
      <c r="AL56" s="175">
        <f t="shared" si="6"/>
        <v>281.83735466689012</v>
      </c>
      <c r="AM56" s="4"/>
      <c r="AN56" s="176">
        <f>INDEX('(2.2)_Forward_Price_Curve'!$H:$H,MATCH($AB56,'(2.2)_Forward_Price_Curve'!$C:$C,0),1)</f>
        <v>7.1276569504330167</v>
      </c>
      <c r="AO56" s="4"/>
      <c r="AP56" s="176">
        <f t="shared" si="7"/>
        <v>51.060686841987284</v>
      </c>
      <c r="AQ56" s="4"/>
      <c r="AR56" s="176">
        <f t="shared" si="18"/>
        <v>6.4444488420667323</v>
      </c>
      <c r="AS56" s="176"/>
      <c r="AT56" s="175">
        <f t="shared" si="3"/>
        <v>230.69916408421417</v>
      </c>
      <c r="AU56" s="4"/>
      <c r="AV56" s="175">
        <f t="shared" si="4"/>
        <v>755.61748288846979</v>
      </c>
      <c r="AW56" s="318"/>
      <c r="AX56" s="177">
        <f t="shared" si="8"/>
        <v>986.316646972684</v>
      </c>
      <c r="AZ56" s="168">
        <f>+IF(AZ55&gt;$G$13+$G$14,XX,AZ55+1)</f>
        <v>2031</v>
      </c>
      <c r="BA56" s="138"/>
      <c r="BB56" s="176">
        <f t="shared" si="19"/>
        <v>94.592726109229901</v>
      </c>
      <c r="BC56" s="4"/>
      <c r="BD56" s="176">
        <f t="shared" si="20"/>
        <v>20.566394311972633</v>
      </c>
      <c r="BE56" s="4"/>
      <c r="BF56" s="175">
        <f t="shared" si="9"/>
        <v>51.138190582675939</v>
      </c>
      <c r="BG56" s="4"/>
      <c r="BH56" s="271"/>
    </row>
    <row r="57" spans="1:61" ht="12">
      <c r="A57" s="271"/>
      <c r="C57" s="7">
        <f>+IF(C56&gt;$G$13+$G$14,XX,C56+1)</f>
        <v>2032</v>
      </c>
      <c r="D57" s="7"/>
      <c r="E57" s="311">
        <f t="shared" si="10"/>
        <v>2.5000000000000001E-2</v>
      </c>
      <c r="F57" s="7"/>
      <c r="G57" s="23">
        <f t="shared" si="11"/>
        <v>13140</v>
      </c>
      <c r="H57" s="7"/>
      <c r="I57" s="30">
        <f t="shared" si="12"/>
        <v>318.49704372409349</v>
      </c>
      <c r="J57" s="7"/>
      <c r="K57" s="30">
        <f t="shared" si="13"/>
        <v>0</v>
      </c>
      <c r="L57" s="7"/>
      <c r="M57" s="30">
        <f t="shared" si="14"/>
        <v>0</v>
      </c>
      <c r="N57" s="7"/>
      <c r="O57" s="314"/>
      <c r="P57" s="7"/>
      <c r="Q57" s="30"/>
      <c r="R57" s="7"/>
      <c r="S57" s="23">
        <v>0</v>
      </c>
      <c r="T57" s="7"/>
      <c r="U57" s="23">
        <f t="shared" si="0"/>
        <v>1010.974563147001</v>
      </c>
      <c r="V57" s="7"/>
      <c r="W57" s="23">
        <f t="shared" si="1"/>
        <v>-1010.974563147001</v>
      </c>
      <c r="X57" s="7"/>
      <c r="Y57" s="315">
        <f t="shared" si="5"/>
        <v>-76.938703435844829</v>
      </c>
      <c r="Z57" s="271"/>
      <c r="AB57" s="168">
        <f>+IF(AB56&gt;$G$13+$G$14,XX,AB56+1)</f>
        <v>2032</v>
      </c>
      <c r="AC57" s="138"/>
      <c r="AD57" s="173">
        <f t="shared" si="2"/>
        <v>13140</v>
      </c>
      <c r="AE57" s="4"/>
      <c r="AF57" s="176">
        <f t="shared" si="15"/>
        <v>112.87535534933868</v>
      </c>
      <c r="AG57" s="4"/>
      <c r="AH57" s="176">
        <f t="shared" si="16"/>
        <v>13.851305908182175</v>
      </c>
      <c r="AI57" s="4"/>
      <c r="AJ57" s="176">
        <f t="shared" si="17"/>
        <v>3.2357960761672437</v>
      </c>
      <c r="AK57" s="4"/>
      <c r="AL57" s="175">
        <f t="shared" si="6"/>
        <v>288.88328853356234</v>
      </c>
      <c r="AM57" s="4"/>
      <c r="AN57" s="176">
        <f>INDEX('(2.2)_Forward_Price_Curve'!$H:$H,MATCH($AB57,'(2.2)_Forward_Price_Curve'!$C:$C,0),1)</f>
        <v>7.3058483741938414</v>
      </c>
      <c r="AO57" s="4"/>
      <c r="AP57" s="176">
        <f t="shared" si="7"/>
        <v>52.337204013036967</v>
      </c>
      <c r="AQ57" s="4"/>
      <c r="AR57" s="176">
        <f t="shared" si="18"/>
        <v>6.6055600631183999</v>
      </c>
      <c r="AS57" s="176"/>
      <c r="AT57" s="175">
        <f t="shared" si="3"/>
        <v>236.46664318631952</v>
      </c>
      <c r="AU57" s="4"/>
      <c r="AV57" s="175">
        <f t="shared" si="4"/>
        <v>774.50791996068153</v>
      </c>
      <c r="AW57" s="318"/>
      <c r="AX57" s="177">
        <f t="shared" si="8"/>
        <v>1010.974563147001</v>
      </c>
      <c r="AZ57" s="168">
        <f>+IF(AZ56&gt;$G$13+$G$14,XX,AZ56+1)</f>
        <v>2032</v>
      </c>
      <c r="BA57" s="138"/>
      <c r="BB57" s="176">
        <f t="shared" si="19"/>
        <v>96.957544261960635</v>
      </c>
      <c r="BC57" s="4"/>
      <c r="BD57" s="176">
        <f t="shared" si="20"/>
        <v>21.080554169771947</v>
      </c>
      <c r="BE57" s="4"/>
      <c r="BF57" s="175">
        <f t="shared" si="9"/>
        <v>52.416645347242834</v>
      </c>
      <c r="BG57" s="4"/>
      <c r="BH57" s="271"/>
      <c r="BI57" s="4"/>
    </row>
    <row r="58" spans="1:61" ht="12">
      <c r="A58" s="271"/>
      <c r="C58" s="7">
        <f>+IF(C57&gt;$G$13+$G$14,XX,C57+1)</f>
        <v>2033</v>
      </c>
      <c r="D58" s="7"/>
      <c r="E58" s="311">
        <f t="shared" si="10"/>
        <v>2.5000000000000001E-2</v>
      </c>
      <c r="F58" s="7"/>
      <c r="G58" s="23">
        <f t="shared" si="11"/>
        <v>13140</v>
      </c>
      <c r="H58" s="7"/>
      <c r="I58" s="30">
        <f t="shared" si="12"/>
        <v>326.45946981719578</v>
      </c>
      <c r="J58" s="7"/>
      <c r="K58" s="30">
        <f t="shared" si="13"/>
        <v>0</v>
      </c>
      <c r="L58" s="7"/>
      <c r="M58" s="30">
        <f t="shared" si="14"/>
        <v>0</v>
      </c>
      <c r="N58" s="7"/>
      <c r="O58" s="314"/>
      <c r="P58" s="7"/>
      <c r="Q58" s="30"/>
      <c r="R58" s="7"/>
      <c r="S58" s="23">
        <v>0</v>
      </c>
      <c r="T58" s="7"/>
      <c r="U58" s="23">
        <f t="shared" si="0"/>
        <v>1036.248927225676</v>
      </c>
      <c r="V58" s="7"/>
      <c r="W58" s="23">
        <f t="shared" si="1"/>
        <v>-1036.248927225676</v>
      </c>
      <c r="X58" s="7"/>
      <c r="Y58" s="315">
        <f t="shared" si="5"/>
        <v>-78.862171021740949</v>
      </c>
      <c r="Z58" s="271"/>
      <c r="AB58" s="168">
        <f>+IF(AB57&gt;$G$13+$G$14,XX,AB57+1)</f>
        <v>2033</v>
      </c>
      <c r="AC58" s="138"/>
      <c r="AD58" s="173">
        <f t="shared" si="2"/>
        <v>13140</v>
      </c>
      <c r="AE58" s="4"/>
      <c r="AF58" s="176">
        <f t="shared" si="15"/>
        <v>115.69723923307214</v>
      </c>
      <c r="AG58" s="4"/>
      <c r="AH58" s="176">
        <f t="shared" si="16"/>
        <v>14.197588555886728</v>
      </c>
      <c r="AI58" s="4"/>
      <c r="AJ58" s="176">
        <f t="shared" si="17"/>
        <v>3.3166909780714247</v>
      </c>
      <c r="AK58" s="4"/>
      <c r="AL58" s="175">
        <f t="shared" si="6"/>
        <v>296.10537074690143</v>
      </c>
      <c r="AM58" s="4"/>
      <c r="AN58" s="176">
        <f>INDEX('(2.2)_Forward_Price_Curve'!$H:$H,MATCH($AB58,'(2.2)_Forward_Price_Curve'!$C:$C,0),1)</f>
        <v>7.4884945835486869</v>
      </c>
      <c r="AO58" s="4"/>
      <c r="AP58" s="176">
        <f t="shared" si="7"/>
        <v>53.645634113362881</v>
      </c>
      <c r="AQ58" s="4"/>
      <c r="AR58" s="176">
        <f t="shared" si="18"/>
        <v>6.770699064696359</v>
      </c>
      <c r="AS58" s="176"/>
      <c r="AT58" s="175">
        <f t="shared" si="3"/>
        <v>242.37830926597752</v>
      </c>
      <c r="AU58" s="4"/>
      <c r="AV58" s="175">
        <f t="shared" si="4"/>
        <v>793.87061795969839</v>
      </c>
      <c r="AW58" s="318"/>
      <c r="AX58" s="177">
        <f t="shared" si="8"/>
        <v>1036.248927225676</v>
      </c>
      <c r="AZ58" s="168">
        <f>+IF(AZ57&gt;$G$13+$G$14,XX,AZ57+1)</f>
        <v>2033</v>
      </c>
      <c r="BA58" s="138"/>
      <c r="BB58" s="176">
        <f t="shared" si="19"/>
        <v>99.381482868509636</v>
      </c>
      <c r="BC58" s="4"/>
      <c r="BD58" s="176">
        <f t="shared" si="20"/>
        <v>21.607568024016242</v>
      </c>
      <c r="BE58" s="4"/>
      <c r="BF58" s="175">
        <f t="shared" si="9"/>
        <v>53.727061480923901</v>
      </c>
      <c r="BH58" s="271"/>
    </row>
    <row r="59" spans="1:61" ht="12">
      <c r="A59" s="271"/>
      <c r="C59" s="7">
        <f>+IF(C58&gt;$G$13+$G$14,XX,C58+1)</f>
        <v>2034</v>
      </c>
      <c r="D59" s="7"/>
      <c r="E59" s="311">
        <f t="shared" si="10"/>
        <v>2.5000000000000001E-2</v>
      </c>
      <c r="F59" s="7"/>
      <c r="G59" s="23">
        <f t="shared" si="11"/>
        <v>13140</v>
      </c>
      <c r="H59" s="7"/>
      <c r="I59" s="30">
        <f t="shared" si="12"/>
        <v>334.62095656262562</v>
      </c>
      <c r="J59" s="7"/>
      <c r="K59" s="30">
        <f t="shared" si="13"/>
        <v>0</v>
      </c>
      <c r="L59" s="7"/>
      <c r="M59" s="30">
        <f t="shared" si="14"/>
        <v>0</v>
      </c>
      <c r="N59" s="7"/>
      <c r="O59" s="314"/>
      <c r="P59" s="7"/>
      <c r="Q59" s="30"/>
      <c r="R59" s="7"/>
      <c r="S59" s="23">
        <v>0</v>
      </c>
      <c r="T59" s="7"/>
      <c r="U59" s="23">
        <f t="shared" si="0"/>
        <v>1062.1551504063177</v>
      </c>
      <c r="V59" s="7"/>
      <c r="W59" s="23">
        <f t="shared" si="1"/>
        <v>-1062.1551504063177</v>
      </c>
      <c r="X59" s="7"/>
      <c r="Y59" s="315">
        <f t="shared" si="5"/>
        <v>-80.83372529728446</v>
      </c>
      <c r="Z59" s="271"/>
      <c r="AB59" s="168">
        <f>+IF(AB58&gt;$G$13+$G$14,XX,AB58+1)</f>
        <v>2034</v>
      </c>
      <c r="AC59" s="138"/>
      <c r="AD59" s="173">
        <f t="shared" si="2"/>
        <v>13140</v>
      </c>
      <c r="AE59" s="4"/>
      <c r="AF59" s="176">
        <f t="shared" si="15"/>
        <v>118.58967021389893</v>
      </c>
      <c r="AG59" s="4"/>
      <c r="AH59" s="176">
        <f t="shared" si="16"/>
        <v>14.552528269783895</v>
      </c>
      <c r="AI59" s="4"/>
      <c r="AJ59" s="176">
        <f t="shared" si="17"/>
        <v>3.3996082525232101</v>
      </c>
      <c r="AK59" s="4"/>
      <c r="AL59" s="175">
        <f t="shared" si="6"/>
        <v>303.50800501557393</v>
      </c>
      <c r="AM59" s="4"/>
      <c r="AN59" s="176">
        <f>INDEX('(2.2)_Forward_Price_Curve'!$H:$H,MATCH($AB59,'(2.2)_Forward_Price_Curve'!$C:$C,0),1)</f>
        <v>7.6757069481374032</v>
      </c>
      <c r="AO59" s="4"/>
      <c r="AP59" s="176">
        <f t="shared" si="7"/>
        <v>54.986774966196947</v>
      </c>
      <c r="AQ59" s="4"/>
      <c r="AR59" s="176">
        <f t="shared" si="18"/>
        <v>6.9399665413137672</v>
      </c>
      <c r="AS59" s="176"/>
      <c r="AT59" s="175">
        <f t="shared" si="3"/>
        <v>248.43776699762694</v>
      </c>
      <c r="AU59" s="4"/>
      <c r="AV59" s="175">
        <f t="shared" si="4"/>
        <v>813.71738340869081</v>
      </c>
      <c r="AW59" s="318"/>
      <c r="AX59" s="177">
        <f t="shared" si="8"/>
        <v>1062.1551504063177</v>
      </c>
      <c r="AZ59" s="168">
        <f>+IF(AZ58&gt;$G$13+$G$14,XX,AZ58+1)</f>
        <v>2034</v>
      </c>
      <c r="BA59" s="138"/>
      <c r="BB59" s="176">
        <f t="shared" si="19"/>
        <v>101.86601994022237</v>
      </c>
      <c r="BC59" s="4"/>
      <c r="BD59" s="176">
        <f t="shared" si="20"/>
        <v>22.147757224616647</v>
      </c>
      <c r="BE59" s="4"/>
      <c r="BF59" s="175">
        <f t="shared" si="9"/>
        <v>55.070238017946991</v>
      </c>
      <c r="BH59" s="271"/>
    </row>
    <row r="60" spans="1:61" ht="12">
      <c r="A60" s="271"/>
      <c r="C60" s="7">
        <f>+IF(C59&gt;$G$13+$G$14,XX,C59+1)</f>
        <v>2035</v>
      </c>
      <c r="D60" s="7"/>
      <c r="E60" s="311">
        <f t="shared" si="10"/>
        <v>2.5000000000000001E-2</v>
      </c>
      <c r="F60" s="7"/>
      <c r="G60" s="23">
        <f t="shared" si="11"/>
        <v>13140</v>
      </c>
      <c r="H60" s="7"/>
      <c r="I60" s="30">
        <f t="shared" si="12"/>
        <v>342.98648047669121</v>
      </c>
      <c r="J60" s="7"/>
      <c r="K60" s="30">
        <f t="shared" si="13"/>
        <v>0</v>
      </c>
      <c r="L60" s="7"/>
      <c r="M60" s="30">
        <f t="shared" si="14"/>
        <v>0</v>
      </c>
      <c r="N60" s="7"/>
      <c r="O60" s="314"/>
      <c r="P60" s="7"/>
      <c r="Q60" s="30"/>
      <c r="R60" s="7"/>
      <c r="S60" s="23">
        <v>0</v>
      </c>
      <c r="T60" s="7"/>
      <c r="U60" s="23">
        <f t="shared" si="0"/>
        <v>1088.7090291664756</v>
      </c>
      <c r="V60" s="7"/>
      <c r="W60" s="23">
        <f t="shared" si="1"/>
        <v>-1088.7090291664756</v>
      </c>
      <c r="X60" s="7"/>
      <c r="Y60" s="315">
        <f t="shared" si="5"/>
        <v>-82.854568429716565</v>
      </c>
      <c r="Z60" s="271"/>
      <c r="AB60" s="168">
        <f>+IF(AB59&gt;$G$13+$G$14,XX,AB59+1)</f>
        <v>2035</v>
      </c>
      <c r="AC60" s="138"/>
      <c r="AD60" s="173">
        <f t="shared" si="2"/>
        <v>13140</v>
      </c>
      <c r="AE60" s="4"/>
      <c r="AF60" s="176">
        <f t="shared" si="15"/>
        <v>121.55441196924639</v>
      </c>
      <c r="AG60" s="4"/>
      <c r="AH60" s="176">
        <f t="shared" si="16"/>
        <v>14.916341476528492</v>
      </c>
      <c r="AI60" s="4"/>
      <c r="AJ60" s="176">
        <f t="shared" si="17"/>
        <v>3.4845984588362899</v>
      </c>
      <c r="AK60" s="4"/>
      <c r="AL60" s="175">
        <f t="shared" si="6"/>
        <v>311.09570514096328</v>
      </c>
      <c r="AM60" s="4"/>
      <c r="AN60" s="176">
        <f>INDEX('(2.2)_Forward_Price_Curve'!$H:$H,MATCH($AB60,'(2.2)_Forward_Price_Curve'!$C:$C,0),1)</f>
        <v>7.8675996218408377</v>
      </c>
      <c r="AO60" s="4"/>
      <c r="AP60" s="176">
        <f t="shared" si="7"/>
        <v>56.361444340351866</v>
      </c>
      <c r="AQ60" s="4"/>
      <c r="AR60" s="176">
        <f t="shared" si="18"/>
        <v>7.113465704846611</v>
      </c>
      <c r="AS60" s="176"/>
      <c r="AT60" s="175">
        <f t="shared" si="3"/>
        <v>254.6487111725676</v>
      </c>
      <c r="AU60" s="4"/>
      <c r="AV60" s="175">
        <f t="shared" si="4"/>
        <v>834.06031799390792</v>
      </c>
      <c r="AW60" s="318"/>
      <c r="AX60" s="177">
        <f t="shared" si="8"/>
        <v>1088.7090291664756</v>
      </c>
      <c r="AZ60" s="168">
        <f>+IF(AZ59&gt;$G$13+$G$14,XX,AZ59+1)</f>
        <v>2035</v>
      </c>
      <c r="BA60" s="138"/>
      <c r="BB60" s="176">
        <f t="shared" si="19"/>
        <v>104.41267043872793</v>
      </c>
      <c r="BC60" s="4"/>
      <c r="BD60" s="176">
        <f t="shared" si="20"/>
        <v>22.701451155232061</v>
      </c>
      <c r="BE60" s="4"/>
      <c r="BF60" s="175">
        <f t="shared" si="9"/>
        <v>56.446993968395667</v>
      </c>
      <c r="BH60" s="271"/>
    </row>
    <row r="61" spans="1:61" ht="12">
      <c r="A61" s="271"/>
      <c r="C61" s="7">
        <f>+IF(C60&gt;$G$13+$G$14,XX,C60+1)</f>
        <v>2036</v>
      </c>
      <c r="D61" s="7"/>
      <c r="E61" s="311">
        <f t="shared" si="10"/>
        <v>2.5000000000000001E-2</v>
      </c>
      <c r="F61" s="7"/>
      <c r="G61" s="23">
        <f t="shared" si="11"/>
        <v>13140</v>
      </c>
      <c r="H61" s="7"/>
      <c r="I61" s="30">
        <f t="shared" si="12"/>
        <v>351.56114248860848</v>
      </c>
      <c r="J61" s="7"/>
      <c r="K61" s="30">
        <f t="shared" si="13"/>
        <v>0</v>
      </c>
      <c r="L61" s="7"/>
      <c r="M61" s="30">
        <f t="shared" si="14"/>
        <v>0</v>
      </c>
      <c r="N61" s="7"/>
      <c r="O61" s="314"/>
      <c r="P61" s="7"/>
      <c r="Q61" s="30"/>
      <c r="R61" s="7"/>
      <c r="S61" s="23">
        <v>0</v>
      </c>
      <c r="T61" s="7"/>
      <c r="U61" s="23">
        <f t="shared" si="0"/>
        <v>1115.9267548956373</v>
      </c>
      <c r="V61" s="7"/>
      <c r="W61" s="23">
        <f t="shared" si="1"/>
        <v>-1115.9267548956373</v>
      </c>
      <c r="X61" s="7"/>
      <c r="Y61" s="315">
        <f t="shared" si="5"/>
        <v>-84.925932640459465</v>
      </c>
      <c r="Z61" s="271"/>
      <c r="AB61" s="168">
        <f>+IF(AB60&gt;$G$13+$G$14,XX,AB60+1)</f>
        <v>2036</v>
      </c>
      <c r="AC61" s="138"/>
      <c r="AD61" s="173">
        <f t="shared" si="2"/>
        <v>13140</v>
      </c>
      <c r="AE61" s="4"/>
      <c r="AF61" s="176">
        <f t="shared" si="15"/>
        <v>124.59327226847753</v>
      </c>
      <c r="AG61" s="4"/>
      <c r="AH61" s="176">
        <f t="shared" si="16"/>
        <v>15.289250013441704</v>
      </c>
      <c r="AI61" s="4"/>
      <c r="AJ61" s="176">
        <f t="shared" si="17"/>
        <v>3.571713420307197</v>
      </c>
      <c r="AK61" s="4"/>
      <c r="AL61" s="175">
        <f t="shared" si="6"/>
        <v>318.87309776948729</v>
      </c>
      <c r="AM61" s="4"/>
      <c r="AN61" s="176">
        <f>INDEX('(2.2)_Forward_Price_Curve'!$H:$H,MATCH($AB61,'(2.2)_Forward_Price_Curve'!$C:$C,0),1)</f>
        <v>8.0642896123868582</v>
      </c>
      <c r="AO61" s="4"/>
      <c r="AP61" s="176">
        <f t="shared" si="7"/>
        <v>57.77048044886066</v>
      </c>
      <c r="AQ61" s="4"/>
      <c r="AR61" s="176">
        <f t="shared" si="18"/>
        <v>7.2913023474677754</v>
      </c>
      <c r="AS61" s="176"/>
      <c r="AT61" s="175">
        <f t="shared" si="3"/>
        <v>261.01492895188176</v>
      </c>
      <c r="AU61" s="4"/>
      <c r="AV61" s="175">
        <f t="shared" si="4"/>
        <v>854.91182594375562</v>
      </c>
      <c r="AW61" s="318"/>
      <c r="AX61" s="177">
        <f t="shared" si="8"/>
        <v>1115.9267548956373</v>
      </c>
      <c r="AZ61" s="168">
        <f>+IF(AZ60&gt;$G$13+$G$14,XX,AZ60+1)</f>
        <v>2036</v>
      </c>
      <c r="BA61" s="138"/>
      <c r="BB61" s="176">
        <f t="shared" si="19"/>
        <v>107.02298719969612</v>
      </c>
      <c r="BC61" s="4"/>
      <c r="BD61" s="176">
        <f t="shared" si="20"/>
        <v>23.268987434112859</v>
      </c>
      <c r="BE61" s="4"/>
      <c r="BF61" s="175">
        <f t="shared" si="9"/>
        <v>57.858168817605559</v>
      </c>
      <c r="BH61" s="271"/>
    </row>
    <row r="62" spans="1:61" ht="12">
      <c r="A62" s="271"/>
      <c r="C62" s="7">
        <f>+IF(C61&gt;$G$13+$G$14,XX,C61+1)</f>
        <v>2037</v>
      </c>
      <c r="D62" s="7"/>
      <c r="E62" s="311">
        <f t="shared" si="10"/>
        <v>2.5000000000000001E-2</v>
      </c>
      <c r="F62" s="7"/>
      <c r="G62" s="23">
        <f t="shared" si="11"/>
        <v>13140</v>
      </c>
      <c r="H62" s="7"/>
      <c r="I62" s="30">
        <f t="shared" si="12"/>
        <v>360.35017105082369</v>
      </c>
      <c r="J62" s="7"/>
      <c r="K62" s="30">
        <f t="shared" si="13"/>
        <v>0</v>
      </c>
      <c r="L62" s="7"/>
      <c r="M62" s="30">
        <f t="shared" si="14"/>
        <v>0</v>
      </c>
      <c r="N62" s="7"/>
      <c r="O62" s="314"/>
      <c r="P62" s="7"/>
      <c r="Q62" s="30"/>
      <c r="R62" s="7"/>
      <c r="S62" s="23">
        <v>0</v>
      </c>
      <c r="T62" s="7"/>
      <c r="U62" s="23">
        <f t="shared" si="0"/>
        <v>1143.8249237680279</v>
      </c>
      <c r="V62" s="7"/>
      <c r="W62" s="23">
        <f t="shared" si="1"/>
        <v>-1143.8249237680279</v>
      </c>
      <c r="X62" s="7"/>
      <c r="Y62" s="315">
        <f t="shared" si="5"/>
        <v>-87.049080956470917</v>
      </c>
      <c r="Z62" s="271"/>
      <c r="AB62" s="168">
        <f>+IF(AB61&gt;$G$13+$G$14,XX,AB61+1)</f>
        <v>2037</v>
      </c>
      <c r="AC62" s="138"/>
      <c r="AD62" s="173">
        <f t="shared" si="2"/>
        <v>13140</v>
      </c>
      <c r="AE62" s="4"/>
      <c r="AF62" s="176">
        <f t="shared" si="15"/>
        <v>127.70810407518947</v>
      </c>
      <c r="AG62" s="4"/>
      <c r="AH62" s="176">
        <f t="shared" si="16"/>
        <v>15.671481263777745</v>
      </c>
      <c r="AI62" s="4"/>
      <c r="AJ62" s="176">
        <f t="shared" si="17"/>
        <v>3.6610062558148764</v>
      </c>
      <c r="AK62" s="4"/>
      <c r="AL62" s="175">
        <f t="shared" si="6"/>
        <v>326.84492521372437</v>
      </c>
      <c r="AM62" s="4"/>
      <c r="AN62" s="176">
        <f>INDEX('(2.2)_Forward_Price_Curve'!$H:$H,MATCH($AB62,'(2.2)_Forward_Price_Curve'!$C:$C,0),1)</f>
        <v>8.2658968526965282</v>
      </c>
      <c r="AO62" s="4"/>
      <c r="AP62" s="176">
        <f t="shared" si="7"/>
        <v>59.214742460082171</v>
      </c>
      <c r="AQ62" s="4"/>
      <c r="AR62" s="176">
        <f t="shared" si="18"/>
        <v>7.4735849061544695</v>
      </c>
      <c r="AS62" s="176"/>
      <c r="AT62" s="175">
        <f t="shared" si="3"/>
        <v>267.54030217567868</v>
      </c>
      <c r="AU62" s="4"/>
      <c r="AV62" s="175">
        <f t="shared" si="4"/>
        <v>876.28462159234937</v>
      </c>
      <c r="AW62" s="318"/>
      <c r="AX62" s="177">
        <f t="shared" si="8"/>
        <v>1143.8249237680279</v>
      </c>
      <c r="AZ62" s="168">
        <f>+IF(AZ61&gt;$G$13+$G$14,XX,AZ61+1)</f>
        <v>2037</v>
      </c>
      <c r="BA62" s="138"/>
      <c r="BB62" s="176">
        <f t="shared" si="19"/>
        <v>109.69856187968851</v>
      </c>
      <c r="BC62" s="4"/>
      <c r="BD62" s="176">
        <f t="shared" si="20"/>
        <v>23.850712119965678</v>
      </c>
      <c r="BE62" s="4"/>
      <c r="BF62" s="175">
        <f t="shared" si="9"/>
        <v>59.304623038045683</v>
      </c>
      <c r="BH62" s="271"/>
    </row>
    <row r="63" spans="1:61" ht="12">
      <c r="A63" s="271"/>
      <c r="E63" s="327"/>
      <c r="G63" s="23"/>
      <c r="H63" s="7"/>
      <c r="I63" s="30"/>
      <c r="J63" s="7"/>
      <c r="K63" s="30"/>
      <c r="L63" s="7"/>
      <c r="M63" s="30"/>
      <c r="N63" s="7"/>
      <c r="O63" s="314"/>
      <c r="P63" s="7"/>
      <c r="Q63" s="30"/>
      <c r="R63" s="7"/>
      <c r="S63" s="23"/>
      <c r="T63" s="7"/>
      <c r="U63" s="23"/>
      <c r="V63" s="7"/>
      <c r="W63" s="23"/>
      <c r="X63" s="7"/>
      <c r="Y63" s="315"/>
      <c r="Z63" s="271"/>
      <c r="AB63" s="168"/>
      <c r="AC63" s="138"/>
      <c r="AD63" s="173"/>
      <c r="AE63" s="4"/>
      <c r="AF63" s="176"/>
      <c r="AG63" s="4"/>
      <c r="AH63" s="176"/>
      <c r="AI63" s="4"/>
      <c r="AJ63" s="176"/>
      <c r="AK63" s="4"/>
      <c r="AL63" s="175"/>
      <c r="AM63" s="4"/>
      <c r="AN63" s="176"/>
      <c r="AO63" s="4"/>
      <c r="AP63" s="176"/>
      <c r="AQ63" s="4"/>
      <c r="AR63" s="176"/>
      <c r="AS63" s="176"/>
      <c r="AT63" s="175"/>
      <c r="AU63" s="4"/>
      <c r="AV63" s="175"/>
      <c r="AW63" s="318"/>
      <c r="AX63" s="177"/>
      <c r="AZ63" s="168"/>
      <c r="BA63" s="138"/>
      <c r="BB63" s="176"/>
      <c r="BC63" s="4"/>
      <c r="BD63" s="176"/>
      <c r="BE63" s="4"/>
      <c r="BF63" s="175"/>
      <c r="BH63" s="271"/>
    </row>
    <row r="64" spans="1:61" ht="12">
      <c r="A64" s="271"/>
      <c r="E64" s="327"/>
      <c r="G64" s="23"/>
      <c r="H64" s="7"/>
      <c r="I64" s="30"/>
      <c r="J64" s="7"/>
      <c r="K64" s="30"/>
      <c r="L64" s="7"/>
      <c r="M64" s="30"/>
      <c r="N64" s="7"/>
      <c r="O64" s="314"/>
      <c r="P64" s="7"/>
      <c r="Q64" s="30"/>
      <c r="R64" s="7"/>
      <c r="S64" s="23"/>
      <c r="T64" s="7"/>
      <c r="U64" s="23"/>
      <c r="V64" s="7"/>
      <c r="W64" s="23"/>
      <c r="X64" s="7"/>
      <c r="Y64" s="315"/>
      <c r="Z64" s="271"/>
      <c r="AB64" s="168"/>
      <c r="AC64" s="138"/>
      <c r="AD64" s="173"/>
      <c r="AE64" s="4"/>
      <c r="AF64" s="176"/>
      <c r="AG64" s="4"/>
      <c r="AH64" s="176"/>
      <c r="AI64" s="4"/>
      <c r="AJ64" s="176"/>
      <c r="AK64" s="4"/>
      <c r="AL64" s="175"/>
      <c r="AM64" s="4"/>
      <c r="AN64" s="176"/>
      <c r="AO64" s="4"/>
      <c r="AP64" s="176"/>
      <c r="AQ64" s="4"/>
      <c r="AR64" s="176"/>
      <c r="AS64" s="176"/>
      <c r="AT64" s="175"/>
      <c r="AU64" s="4"/>
      <c r="AV64" s="175"/>
      <c r="AW64" s="318"/>
      <c r="AX64" s="177"/>
      <c r="AZ64" s="168"/>
      <c r="BA64" s="138"/>
      <c r="BB64" s="176"/>
      <c r="BC64" s="4"/>
      <c r="BD64" s="176"/>
      <c r="BE64" s="4"/>
      <c r="BF64" s="175"/>
      <c r="BH64" s="271"/>
    </row>
    <row r="65" spans="1:60" ht="12">
      <c r="A65" s="271"/>
      <c r="E65" s="327"/>
      <c r="G65" s="23"/>
      <c r="H65" s="7"/>
      <c r="I65" s="30"/>
      <c r="J65" s="7"/>
      <c r="K65" s="30"/>
      <c r="L65" s="7"/>
      <c r="M65" s="30"/>
      <c r="N65" s="7"/>
      <c r="O65" s="314"/>
      <c r="P65" s="7"/>
      <c r="Q65" s="30"/>
      <c r="R65" s="7"/>
      <c r="S65" s="23"/>
      <c r="T65" s="7"/>
      <c r="U65" s="23"/>
      <c r="V65" s="7"/>
      <c r="W65" s="23"/>
      <c r="X65" s="7"/>
      <c r="Y65" s="315"/>
      <c r="Z65" s="271"/>
      <c r="AB65" s="168"/>
      <c r="AC65" s="138"/>
      <c r="AD65" s="173"/>
      <c r="AE65" s="4"/>
      <c r="AF65" s="176"/>
      <c r="AG65" s="4"/>
      <c r="AH65" s="176"/>
      <c r="AI65" s="4"/>
      <c r="AJ65" s="176"/>
      <c r="AK65" s="4"/>
      <c r="AL65" s="175"/>
      <c r="AM65" s="4"/>
      <c r="AN65" s="176"/>
      <c r="AO65" s="4"/>
      <c r="AP65" s="176"/>
      <c r="AQ65" s="4"/>
      <c r="AR65" s="176"/>
      <c r="AS65" s="176"/>
      <c r="AT65" s="175"/>
      <c r="AU65" s="4"/>
      <c r="AV65" s="175"/>
      <c r="AW65" s="318"/>
      <c r="AX65" s="177"/>
      <c r="AZ65" s="168"/>
      <c r="BA65" s="138"/>
      <c r="BB65" s="176"/>
      <c r="BC65" s="4"/>
      <c r="BD65" s="176"/>
      <c r="BE65" s="4"/>
      <c r="BF65" s="175"/>
      <c r="BH65" s="271"/>
    </row>
    <row r="66" spans="1:60" ht="12">
      <c r="A66" s="271"/>
      <c r="C66" s="290" t="str">
        <f>G14&amp;"-year Nominal Levelized at "&amp;TEXT($G$18,"#.00%")</f>
        <v>35-year Nominal Levelized at 8.70%</v>
      </c>
      <c r="E66" s="327"/>
      <c r="G66" s="23">
        <f>+-PMT($G$18,$G$14,NPV($G$18,G28:G62))</f>
        <v>13140.000000000005</v>
      </c>
      <c r="H66" s="7"/>
      <c r="I66" s="30">
        <f>+-PMT($G$18,$G$14,NPV($G$18,I28:I62))</f>
        <v>201.29288001746093</v>
      </c>
      <c r="J66" s="7"/>
      <c r="K66" s="30">
        <f>+-PMT($G$18,$G$14,NPV($G$18,K28:K62))</f>
        <v>0</v>
      </c>
      <c r="L66" s="7"/>
      <c r="M66" s="30">
        <f>+-PMT($G$18,$G$14,NPV($G$18,M28:M62))</f>
        <v>0</v>
      </c>
      <c r="N66" s="7"/>
      <c r="O66" s="314">
        <f>+-PMT($G$18,$G$14,NPV($G$18,O28:O62))</f>
        <v>0</v>
      </c>
      <c r="P66" s="7"/>
      <c r="Q66" s="30">
        <f>+-PMT($G$18,$G$14,NPV($G$18,Q28:Q62))</f>
        <v>0</v>
      </c>
      <c r="R66" s="7"/>
      <c r="S66" s="23">
        <f>+-PMT($G$18,$G$14,NPV($G$18,S28:S62))</f>
        <v>51.351375492717658</v>
      </c>
      <c r="T66" s="7"/>
      <c r="U66" s="23">
        <f>+-PMT($G$18,$G$14,NPV($G$18,U28:U62))</f>
        <v>645.67385605629227</v>
      </c>
      <c r="V66" s="7"/>
      <c r="W66" s="23">
        <f>+-PMT($G$18,$G$14,NPV($G$18,W28:W62))</f>
        <v>-594.32248056357446</v>
      </c>
      <c r="X66" s="7"/>
      <c r="Y66" s="315">
        <f>+-PMT($G$18,$G$14,NPV($G$18,Y28:Y62))</f>
        <v>-45.230021351870242</v>
      </c>
      <c r="Z66" s="271"/>
      <c r="AB66" s="168"/>
      <c r="AC66" s="138"/>
      <c r="AD66" s="173">
        <f>+-PMT($G$18,$G$14,NPV($G$18,AD28:AD62))</f>
        <v>13140.000000000005</v>
      </c>
      <c r="AE66" s="4"/>
      <c r="AF66" s="176">
        <f>+-PMT($G$18,$G$14,NPV($G$18,AF28:AF62))</f>
        <v>71.338198608039065</v>
      </c>
      <c r="AG66" s="4"/>
      <c r="AH66" s="176">
        <f>+-PMT($G$18,$G$14,NPV($G$18,AH28:AH62))</f>
        <v>8.7541448600577514</v>
      </c>
      <c r="AI66" s="4"/>
      <c r="AJ66" s="176">
        <f>+-PMT($G$18,$G$14,NPV($G$18,AJ28:AJ62))</f>
        <v>2.0450510425621</v>
      </c>
      <c r="AK66" s="4"/>
      <c r="AL66" s="175">
        <f>+-PMT($G$18,$G$14,NPV($G$18,AL28:AL62))</f>
        <v>182.57673119317872</v>
      </c>
      <c r="AM66" s="4"/>
      <c r="AN66" s="176">
        <f>+-PMT($G$18,$G$14,NPV($G$18,AN28:AN62))</f>
        <v>4.6888464905821561</v>
      </c>
      <c r="AO66" s="4"/>
      <c r="AP66" s="176">
        <f>+-PMT($G$18,$G$14,NPV($G$18,AP28:AP62))</f>
        <v>33.58968086858075</v>
      </c>
      <c r="AQ66" s="4"/>
      <c r="AR66" s="176">
        <f>+-PMT($G$18,$G$14,NPV($G$18,AR28:AR62))</f>
        <v>4.1747709607793713</v>
      </c>
      <c r="AS66" s="176"/>
      <c r="AT66" s="175">
        <f>+-PMT($G$18,$G$14,NPV($G$18,AT28:AT62))</f>
        <v>149.44895901850032</v>
      </c>
      <c r="AU66" s="4"/>
      <c r="AV66" s="175">
        <f>+-PMT($G$18,$G$14,NPV($G$18,AV28:AV62))</f>
        <v>496.22489703779212</v>
      </c>
      <c r="AW66" s="318"/>
      <c r="AX66" s="177">
        <f>+-PMT($G$18,$G$14,NPV($G$18,AX28:AX62))</f>
        <v>645.67385605629227</v>
      </c>
      <c r="AZ66" s="168"/>
      <c r="BA66" s="138"/>
      <c r="BB66" s="176">
        <f>+-PMT($G$18,$G$14,NPV($G$18,BB28:BB62))</f>
        <v>61.278004642383742</v>
      </c>
      <c r="BC66" s="4"/>
      <c r="BD66" s="176">
        <f>+-PMT($G$18,$G$14,NPV($G$18,BD28:BD62))</f>
        <v>13.323092144219144</v>
      </c>
      <c r="BE66" s="4"/>
      <c r="BF66" s="175">
        <f>+-PMT($G$18,$G$14,NPV($G$18,BF28:BF62))</f>
        <v>33.127772174678398</v>
      </c>
      <c r="BH66" s="271"/>
    </row>
    <row r="67" spans="1:60">
      <c r="A67" s="271"/>
      <c r="E67" s="327"/>
      <c r="Z67" s="271"/>
      <c r="AA67" s="400"/>
      <c r="AX67" s="271"/>
      <c r="AY67" s="400"/>
      <c r="BH67" s="271"/>
    </row>
    <row r="68" spans="1:60">
      <c r="A68" s="271"/>
      <c r="E68" s="327"/>
      <c r="Z68" s="271"/>
      <c r="AA68" s="400"/>
      <c r="AX68" s="271"/>
      <c r="AY68" s="400"/>
      <c r="BH68" s="271"/>
    </row>
    <row r="69" spans="1:60">
      <c r="A69" s="271"/>
      <c r="B69" s="275"/>
      <c r="C69" s="325"/>
      <c r="D69" s="325"/>
      <c r="E69" s="326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278"/>
      <c r="AA69" s="400"/>
      <c r="AB69" s="27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278"/>
      <c r="AY69" s="400"/>
      <c r="AZ69" s="275"/>
      <c r="BA69" s="325"/>
      <c r="BB69" s="325"/>
      <c r="BC69" s="325"/>
      <c r="BD69" s="325"/>
      <c r="BE69" s="325"/>
      <c r="BF69" s="325"/>
      <c r="BG69" s="325"/>
      <c r="BH69" s="278"/>
    </row>
    <row r="70" spans="1:60">
      <c r="E70" s="327"/>
    </row>
    <row r="71" spans="1:60">
      <c r="E71" s="327"/>
    </row>
    <row r="72" spans="1:60">
      <c r="E72" s="327"/>
    </row>
    <row r="73" spans="1:60">
      <c r="E73" s="327"/>
    </row>
    <row r="74" spans="1:60">
      <c r="E74" s="327"/>
    </row>
    <row r="75" spans="1:60">
      <c r="E75" s="327"/>
    </row>
    <row r="76" spans="1:60">
      <c r="E76" s="327"/>
    </row>
    <row r="77" spans="1:60">
      <c r="E77" s="327"/>
    </row>
    <row r="78" spans="1:60">
      <c r="E78" s="327"/>
    </row>
    <row r="79" spans="1:60">
      <c r="E79" s="327"/>
    </row>
    <row r="80" spans="1:60">
      <c r="E80" s="327"/>
    </row>
  </sheetData>
  <pageMargins left="0.25" right="0.25" top="0.25" bottom="0.75" header="0.3" footer="0.3"/>
  <pageSetup paperSize="5" scale="4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4"/>
  <sheetViews>
    <sheetView topLeftCell="A34" workbookViewId="0">
      <selection activeCell="G10" sqref="G10"/>
    </sheetView>
  </sheetViews>
  <sheetFormatPr defaultRowHeight="11.25"/>
  <cols>
    <col min="1" max="1" width="8.1640625" style="157" customWidth="1"/>
    <col min="2" max="2" width="4.1640625" style="157" customWidth="1"/>
    <col min="3" max="3" width="11" style="157" customWidth="1"/>
    <col min="4" max="4" width="4.83203125" style="157" customWidth="1"/>
    <col min="5" max="5" width="10.83203125" style="157" customWidth="1"/>
    <col min="6" max="6" width="4.33203125" style="157" customWidth="1"/>
    <col min="7" max="7" width="17.33203125" style="157" customWidth="1"/>
    <col min="8" max="8" width="2.83203125" style="157" customWidth="1"/>
    <col min="9" max="9" width="13.5" style="157" customWidth="1"/>
    <col min="10" max="10" width="2.83203125" style="157" customWidth="1"/>
    <col min="11" max="11" width="13.5" style="157" customWidth="1"/>
    <col min="12" max="12" width="2.83203125" style="157" customWidth="1"/>
    <col min="13" max="13" width="15.33203125" style="157" customWidth="1"/>
    <col min="14" max="14" width="2.83203125" style="157" customWidth="1"/>
    <col min="15" max="15" width="13.1640625" style="157" customWidth="1"/>
    <col min="16" max="16" width="2.83203125" style="157" customWidth="1"/>
    <col min="17" max="17" width="13.83203125" style="157" customWidth="1"/>
    <col min="18" max="18" width="3.1640625" style="157" customWidth="1"/>
    <col min="19" max="19" width="13.1640625" style="157" customWidth="1"/>
    <col min="20" max="20" width="2.83203125" style="157" customWidth="1"/>
    <col min="21" max="21" width="15.1640625" style="157" customWidth="1"/>
    <col min="22" max="22" width="2.83203125" style="157" customWidth="1"/>
    <col min="23" max="23" width="14.1640625" style="157" customWidth="1"/>
    <col min="24" max="24" width="2.83203125" style="157" customWidth="1"/>
    <col min="25" max="25" width="14.6640625" style="157" customWidth="1"/>
    <col min="26" max="26" width="2.83203125" style="157" customWidth="1"/>
    <col min="27" max="27" width="2.6640625" style="157" customWidth="1"/>
    <col min="28" max="28" width="7.83203125" style="157" customWidth="1"/>
    <col min="29" max="29" width="3" style="157" customWidth="1"/>
    <col min="30" max="30" width="13" style="157" bestFit="1" customWidth="1"/>
    <col min="31" max="31" width="3.1640625" style="157" customWidth="1"/>
    <col min="32" max="32" width="12.1640625" style="157" customWidth="1"/>
    <col min="33" max="33" width="2.33203125" style="157" customWidth="1"/>
    <col min="34" max="34" width="14.5" style="157" customWidth="1"/>
    <col min="35" max="35" width="8.5" style="157" customWidth="1"/>
    <col min="36" max="36" width="13.1640625" style="157" customWidth="1"/>
    <col min="37" max="37" width="2.33203125" style="157" customWidth="1"/>
    <col min="38" max="38" width="13.6640625" style="157" customWidth="1"/>
    <col min="39" max="39" width="1.5" style="157" customWidth="1"/>
    <col min="40" max="40" width="9.33203125" style="157"/>
    <col min="41" max="41" width="1.33203125" style="157" customWidth="1"/>
    <col min="42" max="42" width="11.33203125" style="157" customWidth="1"/>
    <col min="43" max="43" width="2.5" style="157" customWidth="1"/>
    <col min="44" max="44" width="12.6640625" style="157" customWidth="1"/>
    <col min="45" max="45" width="4" style="157" customWidth="1"/>
    <col min="46" max="46" width="10.1640625" style="157" customWidth="1"/>
    <col min="47" max="47" width="3.33203125" style="157" customWidth="1"/>
    <col min="48" max="48" width="12" style="157" customWidth="1"/>
    <col min="49" max="49" width="1.5" style="157" customWidth="1"/>
    <col min="50" max="50" width="11.33203125" style="157" customWidth="1"/>
    <col min="51" max="51" width="1.83203125" style="157" customWidth="1"/>
    <col min="52" max="52" width="9.33203125" style="157"/>
    <col min="53" max="53" width="2.83203125" style="157" customWidth="1"/>
    <col min="54" max="54" width="9.33203125" style="157"/>
    <col min="55" max="55" width="4" style="157" customWidth="1"/>
    <col min="56" max="56" width="9.33203125" style="157"/>
    <col min="57" max="57" width="2.83203125" style="157" customWidth="1"/>
    <col min="58" max="58" width="10.5" style="157" bestFit="1" customWidth="1"/>
    <col min="59" max="59" width="2.33203125" style="157" customWidth="1"/>
    <col min="60" max="16384" width="9.33203125" style="157"/>
  </cols>
  <sheetData>
    <row r="1" spans="1:57" s="264" customFormat="1">
      <c r="A1" s="264" t="str">
        <f>+'Workpaper Index'!C3</f>
        <v>PACIFICORP</v>
      </c>
    </row>
    <row r="2" spans="1:57" s="264" customFormat="1">
      <c r="A2" s="264" t="str">
        <f>+'Workpaper Index'!C4</f>
        <v xml:space="preserve">WASHINGTON AUGUST 23, 2019 RENEWABLES REPORT </v>
      </c>
    </row>
    <row r="3" spans="1:57" s="264" customFormat="1">
      <c r="A3" s="264" t="str">
        <f>+'Workpaper Index'!C5</f>
        <v>EVALUATION OF RENEWABLE RESOURCE COST</v>
      </c>
    </row>
    <row r="4" spans="1:57" s="264" customFormat="1"/>
    <row r="5" spans="1:57" s="264" customFormat="1">
      <c r="A5" s="264" t="s">
        <v>233</v>
      </c>
    </row>
    <row r="8" spans="1:57">
      <c r="B8" s="280"/>
      <c r="C8" s="281" t="s">
        <v>109</v>
      </c>
      <c r="D8" s="281"/>
      <c r="E8" s="281"/>
      <c r="F8" s="282"/>
      <c r="G8" s="281"/>
      <c r="H8" s="283"/>
      <c r="AB8" s="284" t="s">
        <v>110</v>
      </c>
      <c r="AC8" s="285"/>
      <c r="AD8" s="285"/>
      <c r="AE8" s="285"/>
      <c r="AF8" s="285"/>
      <c r="AG8" s="285"/>
      <c r="AH8" s="285"/>
      <c r="AI8" s="285"/>
      <c r="AJ8" s="285"/>
      <c r="AK8" s="286"/>
      <c r="AZ8" s="284" t="s">
        <v>111</v>
      </c>
      <c r="BA8" s="285"/>
      <c r="BB8" s="285"/>
      <c r="BC8" s="285"/>
      <c r="BD8" s="285"/>
      <c r="BE8" s="286"/>
    </row>
    <row r="9" spans="1:57" ht="12">
      <c r="B9" s="287"/>
      <c r="C9" s="288"/>
      <c r="D9" s="288"/>
      <c r="E9" s="288"/>
      <c r="F9" s="288"/>
      <c r="G9" s="288"/>
      <c r="H9" s="289"/>
      <c r="J9" s="290"/>
      <c r="AB9" s="137"/>
      <c r="AC9" s="138"/>
      <c r="AD9" s="138"/>
      <c r="AE9" s="138"/>
      <c r="AF9" s="139"/>
      <c r="AG9" s="138"/>
      <c r="AH9" s="138"/>
      <c r="AI9" s="138"/>
      <c r="AJ9" s="140"/>
      <c r="AK9" s="141"/>
      <c r="AZ9" s="137"/>
      <c r="BA9" s="138"/>
      <c r="BB9" s="138"/>
      <c r="BC9" s="138"/>
      <c r="BD9" s="139"/>
      <c r="BE9" s="142"/>
    </row>
    <row r="10" spans="1:57" ht="12">
      <c r="B10" s="291"/>
      <c r="C10" s="292" t="s">
        <v>112</v>
      </c>
      <c r="D10" s="292"/>
      <c r="E10" s="292"/>
      <c r="F10" s="292"/>
      <c r="G10" s="293" t="s">
        <v>169</v>
      </c>
      <c r="H10" s="294"/>
      <c r="AB10" s="143"/>
      <c r="AC10" s="144"/>
      <c r="AD10" s="144"/>
      <c r="AE10" s="144"/>
      <c r="AF10" s="145"/>
      <c r="AG10" s="146"/>
      <c r="AH10" s="147"/>
      <c r="AI10" s="148"/>
      <c r="AJ10" s="4"/>
      <c r="AK10" s="271"/>
      <c r="AZ10" s="143"/>
      <c r="BA10" s="144"/>
      <c r="BB10" s="144"/>
      <c r="BC10" s="144"/>
      <c r="BD10" s="145"/>
      <c r="BE10" s="149"/>
    </row>
    <row r="11" spans="1:57" ht="12">
      <c r="B11" s="291"/>
      <c r="C11" s="292" t="s">
        <v>41</v>
      </c>
      <c r="D11" s="292"/>
      <c r="E11" s="292"/>
      <c r="F11" s="292"/>
      <c r="G11" s="330">
        <v>4.2</v>
      </c>
      <c r="H11" s="294"/>
      <c r="AB11" s="143" t="s">
        <v>113</v>
      </c>
      <c r="AC11" s="144"/>
      <c r="AD11" s="144"/>
      <c r="AE11" s="144"/>
      <c r="AF11" s="331">
        <f>+G11*(G12/AJ16)</f>
        <v>4.0329782182807907</v>
      </c>
      <c r="AG11" s="148"/>
      <c r="AH11" s="144" t="s">
        <v>114</v>
      </c>
      <c r="AI11" s="145"/>
      <c r="AJ11" s="188">
        <f>'(2.1)_Resources'!N44</f>
        <v>7.5808934397681389</v>
      </c>
      <c r="AK11" s="271"/>
      <c r="AZ11" s="143" t="s">
        <v>113</v>
      </c>
      <c r="BA11" s="144"/>
      <c r="BB11" s="144"/>
      <c r="BC11" s="144"/>
      <c r="BD11" s="155">
        <f>(AF11*AF13-G11*G19)</f>
        <v>2.0692795881438046</v>
      </c>
      <c r="BE11" s="151"/>
    </row>
    <row r="12" spans="1:57" ht="12">
      <c r="B12" s="291"/>
      <c r="C12" s="292" t="s">
        <v>42</v>
      </c>
      <c r="D12" s="292"/>
      <c r="E12" s="292"/>
      <c r="F12" s="292"/>
      <c r="G12" s="332">
        <v>0.4675472928897586</v>
      </c>
      <c r="H12" s="294"/>
      <c r="AB12" s="143" t="s">
        <v>42</v>
      </c>
      <c r="AC12" s="144"/>
      <c r="AD12" s="144"/>
      <c r="AE12" s="144"/>
      <c r="AF12" s="152">
        <f>+AD58/8760/AF11</f>
        <v>0.486910299003323</v>
      </c>
      <c r="AG12" s="148"/>
      <c r="AH12" s="138" t="s">
        <v>115</v>
      </c>
      <c r="AI12" s="139"/>
      <c r="AJ12" s="138">
        <v>2008</v>
      </c>
      <c r="AK12" s="271"/>
      <c r="AZ12" s="143"/>
      <c r="BA12" s="144"/>
      <c r="BB12" s="144"/>
      <c r="BC12" s="144"/>
      <c r="BD12" s="152"/>
      <c r="BE12" s="153"/>
    </row>
    <row r="13" spans="1:57" ht="12">
      <c r="B13" s="291"/>
      <c r="C13" s="292" t="s">
        <v>43</v>
      </c>
      <c r="D13" s="292"/>
      <c r="E13" s="292"/>
      <c r="F13" s="292"/>
      <c r="G13" s="293">
        <v>2009</v>
      </c>
      <c r="H13" s="294"/>
      <c r="AB13" s="143" t="s">
        <v>116</v>
      </c>
      <c r="AC13" s="144"/>
      <c r="AD13" s="144"/>
      <c r="AE13" s="144"/>
      <c r="AF13" s="154">
        <v>1</v>
      </c>
      <c r="AG13" s="148"/>
      <c r="AH13" s="138" t="s">
        <v>117</v>
      </c>
      <c r="AI13" s="139"/>
      <c r="AJ13" s="188">
        <f>'(2.1)_Resources'!$O$44</f>
        <v>2.8538881199911357</v>
      </c>
      <c r="AK13" s="271"/>
      <c r="AZ13" s="143" t="s">
        <v>116</v>
      </c>
      <c r="BA13" s="144"/>
      <c r="BB13" s="144"/>
      <c r="BC13" s="144"/>
      <c r="BD13" s="154">
        <v>1</v>
      </c>
      <c r="BE13" s="153"/>
    </row>
    <row r="14" spans="1:57" ht="12">
      <c r="B14" s="291"/>
      <c r="C14" s="292" t="s">
        <v>44</v>
      </c>
      <c r="D14" s="292"/>
      <c r="E14" s="292"/>
      <c r="F14" s="292"/>
      <c r="G14" s="293">
        <v>29</v>
      </c>
      <c r="H14" s="294"/>
      <c r="AB14" s="143" t="s">
        <v>118</v>
      </c>
      <c r="AC14" s="144"/>
      <c r="AD14" s="144"/>
      <c r="AE14" s="144"/>
      <c r="AF14" s="155">
        <f>'(2.1)_Resources'!H44*(1+E28)</f>
        <v>7306.0698954414556</v>
      </c>
      <c r="AG14" s="148"/>
      <c r="AH14" s="138" t="s">
        <v>171</v>
      </c>
      <c r="AI14" s="139"/>
      <c r="AJ14" s="188">
        <f>'(2.1)_Resources'!P44</f>
        <v>6.0023887836530019</v>
      </c>
      <c r="AK14" s="271"/>
      <c r="AL14" s="157" t="s">
        <v>216</v>
      </c>
      <c r="AZ14" s="143" t="s">
        <v>215</v>
      </c>
      <c r="BA14" s="144"/>
      <c r="BB14" s="144"/>
      <c r="BC14" s="144"/>
      <c r="BD14" s="189">
        <f>'(2.1)_Resources'!J45</f>
        <v>747</v>
      </c>
      <c r="BE14" s="153"/>
    </row>
    <row r="15" spans="1:57" ht="12">
      <c r="A15" s="157" t="s">
        <v>152</v>
      </c>
      <c r="B15" s="291"/>
      <c r="C15" s="292" t="s">
        <v>121</v>
      </c>
      <c r="D15" s="292"/>
      <c r="E15" s="292"/>
      <c r="F15" s="292"/>
      <c r="G15" s="333">
        <v>171.69496414373259</v>
      </c>
      <c r="H15" s="294"/>
      <c r="AB15" s="143" t="s">
        <v>215</v>
      </c>
      <c r="AC15" s="144"/>
      <c r="AD15" s="144"/>
      <c r="AE15" s="144"/>
      <c r="AF15" s="189">
        <f>'(2.1)_Resources'!J44</f>
        <v>1174.8198494434653</v>
      </c>
      <c r="AG15" s="148"/>
      <c r="AH15" s="138" t="s">
        <v>168</v>
      </c>
      <c r="AI15" s="139"/>
      <c r="AJ15" s="188">
        <f>'(2.1)_Resources'!$P$31</f>
        <v>2.302423580786026</v>
      </c>
      <c r="AK15" s="271"/>
      <c r="AZ15" s="143" t="s">
        <v>122</v>
      </c>
      <c r="BA15" s="144"/>
      <c r="BB15" s="144"/>
      <c r="BC15" s="144"/>
      <c r="BD15" s="158">
        <f>'(2.1)_Resources'!K45</f>
        <v>8.6199999999999999E-2</v>
      </c>
      <c r="BE15" s="153"/>
    </row>
    <row r="16" spans="1:57" ht="12">
      <c r="A16" s="157" t="s">
        <v>152</v>
      </c>
      <c r="B16" s="291"/>
      <c r="C16" s="292" t="s">
        <v>123</v>
      </c>
      <c r="D16" s="292"/>
      <c r="E16" s="292"/>
      <c r="F16" s="292"/>
      <c r="G16" s="333">
        <v>0</v>
      </c>
      <c r="H16" s="294"/>
      <c r="AB16" s="143" t="s">
        <v>122</v>
      </c>
      <c r="AC16" s="144"/>
      <c r="AD16" s="144"/>
      <c r="AE16" s="144"/>
      <c r="AF16" s="158">
        <f>'(2.1)_Resources'!K42</f>
        <v>8.5860000000000006E-2</v>
      </c>
      <c r="AG16" s="148"/>
      <c r="AH16" s="138" t="s">
        <v>124</v>
      </c>
      <c r="AI16" s="145"/>
      <c r="AJ16" s="159">
        <f>'(2.1)_Resources'!$D$31</f>
        <v>0.48691029900332239</v>
      </c>
      <c r="AK16" s="271"/>
      <c r="AZ16" s="143" t="s">
        <v>114</v>
      </c>
      <c r="BA16" s="145"/>
      <c r="BB16" s="188">
        <f>'(2.1)_Resources'!N45</f>
        <v>4.24</v>
      </c>
      <c r="BC16" s="4"/>
      <c r="BD16" s="4"/>
      <c r="BE16" s="151"/>
    </row>
    <row r="17" spans="1:60" ht="12">
      <c r="A17" s="157" t="s">
        <v>152</v>
      </c>
      <c r="B17" s="291"/>
      <c r="C17" s="292" t="s">
        <v>125</v>
      </c>
      <c r="D17" s="292"/>
      <c r="E17" s="292"/>
      <c r="F17" s="292"/>
      <c r="G17" s="333">
        <v>0</v>
      </c>
      <c r="H17" s="294"/>
      <c r="AB17" s="3"/>
      <c r="AG17" s="148"/>
      <c r="AH17" s="4"/>
      <c r="AI17" s="148"/>
      <c r="AJ17" s="144"/>
      <c r="AK17" s="151"/>
      <c r="AZ17" s="137" t="s">
        <v>115</v>
      </c>
      <c r="BA17" s="139"/>
      <c r="BB17" s="138">
        <v>2008</v>
      </c>
      <c r="BC17" s="4"/>
      <c r="BD17" s="4"/>
      <c r="BE17" s="149"/>
    </row>
    <row r="18" spans="1:60" ht="12">
      <c r="B18" s="291"/>
      <c r="C18" s="292" t="s">
        <v>126</v>
      </c>
      <c r="D18" s="292"/>
      <c r="E18" s="292"/>
      <c r="F18" s="292"/>
      <c r="G18" s="332">
        <v>7.3599999999999999E-2</v>
      </c>
      <c r="H18" s="29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2"/>
      <c r="AZ18" s="160"/>
      <c r="BA18" s="161"/>
      <c r="BB18" s="161"/>
      <c r="BC18" s="161"/>
      <c r="BD18" s="161"/>
      <c r="BE18" s="163"/>
    </row>
    <row r="19" spans="1:60">
      <c r="B19" s="298"/>
      <c r="C19" s="299" t="s">
        <v>116</v>
      </c>
      <c r="D19" s="299"/>
      <c r="E19" s="299"/>
      <c r="F19" s="299"/>
      <c r="G19" s="190">
        <v>0.4675472928897586</v>
      </c>
      <c r="H19" s="301"/>
      <c r="I19" s="334"/>
    </row>
    <row r="20" spans="1:60">
      <c r="B20" s="264"/>
      <c r="C20" s="264"/>
      <c r="D20" s="264"/>
      <c r="E20" s="264"/>
      <c r="F20" s="264"/>
      <c r="G20" s="264"/>
      <c r="H20" s="264"/>
    </row>
    <row r="23" spans="1:60">
      <c r="B23" s="284"/>
      <c r="C23" s="302" t="s">
        <v>128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3"/>
      <c r="AB23" s="284" t="s">
        <v>110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6"/>
      <c r="AZ23" s="284" t="s">
        <v>111</v>
      </c>
      <c r="BA23" s="285"/>
      <c r="BB23" s="285"/>
      <c r="BC23" s="285"/>
      <c r="BD23" s="285"/>
      <c r="BE23" s="285"/>
      <c r="BF23" s="285"/>
      <c r="BG23" s="285"/>
      <c r="BH23" s="286"/>
    </row>
    <row r="24" spans="1:60">
      <c r="B24" s="3"/>
      <c r="C24" s="4"/>
      <c r="D24" s="4"/>
      <c r="E24" s="4"/>
      <c r="F24" s="4"/>
      <c r="G24" s="304"/>
      <c r="H24" s="4"/>
      <c r="I24" s="304"/>
      <c r="J24" s="4"/>
      <c r="K24" s="304"/>
      <c r="L24" s="4"/>
      <c r="M24" s="4"/>
      <c r="N24" s="4"/>
      <c r="O24" s="304"/>
      <c r="P24" s="4"/>
      <c r="Q24" s="304"/>
      <c r="R24" s="4"/>
      <c r="S24" s="304"/>
      <c r="T24" s="4"/>
      <c r="U24" s="304"/>
      <c r="V24" s="4"/>
      <c r="W24" s="304"/>
      <c r="X24" s="4"/>
      <c r="Y24" s="304"/>
      <c r="Z24" s="271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71"/>
      <c r="AZ24" s="3"/>
      <c r="BA24" s="4"/>
      <c r="BB24" s="4"/>
      <c r="BC24" s="4"/>
      <c r="BD24" s="4"/>
      <c r="BE24" s="4"/>
      <c r="BF24" s="4"/>
      <c r="BG24" s="4"/>
      <c r="BH24" s="271"/>
    </row>
    <row r="25" spans="1:60" ht="60">
      <c r="B25" s="3"/>
      <c r="C25" s="4"/>
      <c r="D25" s="4"/>
      <c r="E25" s="304"/>
      <c r="F25" s="4"/>
      <c r="G25" s="305" t="s">
        <v>129</v>
      </c>
      <c r="H25" s="4"/>
      <c r="I25" s="305" t="s">
        <v>130</v>
      </c>
      <c r="J25" s="4"/>
      <c r="K25" s="305" t="s">
        <v>131</v>
      </c>
      <c r="L25" s="4"/>
      <c r="M25" s="305" t="s">
        <v>125</v>
      </c>
      <c r="N25" s="4"/>
      <c r="O25" s="305" t="s">
        <v>132</v>
      </c>
      <c r="P25" s="4"/>
      <c r="Q25" s="305" t="s">
        <v>133</v>
      </c>
      <c r="R25" s="4"/>
      <c r="S25" s="305" t="s">
        <v>30</v>
      </c>
      <c r="T25" s="4"/>
      <c r="U25" s="305" t="s">
        <v>134</v>
      </c>
      <c r="V25" s="4"/>
      <c r="W25" s="305" t="s">
        <v>135</v>
      </c>
      <c r="X25" s="270"/>
      <c r="Y25" s="305" t="s">
        <v>135</v>
      </c>
      <c r="Z25" s="271"/>
      <c r="AB25" s="164"/>
      <c r="AC25" s="139"/>
      <c r="AD25" s="306" t="s">
        <v>129</v>
      </c>
      <c r="AE25" s="4"/>
      <c r="AF25" s="165" t="s">
        <v>136</v>
      </c>
      <c r="AG25" s="166"/>
      <c r="AH25" s="165" t="s">
        <v>137</v>
      </c>
      <c r="AI25" s="4"/>
      <c r="AJ25" s="165" t="s">
        <v>138</v>
      </c>
      <c r="AK25" s="4"/>
      <c r="AL25" s="165" t="s">
        <v>139</v>
      </c>
      <c r="AM25" s="4"/>
      <c r="AN25" s="165" t="s">
        <v>140</v>
      </c>
      <c r="AO25" s="4"/>
      <c r="AP25" s="165" t="s">
        <v>217</v>
      </c>
      <c r="AQ25" s="4"/>
      <c r="AR25" s="165" t="s">
        <v>160</v>
      </c>
      <c r="AS25" s="165"/>
      <c r="AT25" s="165" t="s">
        <v>141</v>
      </c>
      <c r="AU25" s="4"/>
      <c r="AV25" s="165" t="s">
        <v>142</v>
      </c>
      <c r="AW25" s="4"/>
      <c r="AX25" s="165" t="s">
        <v>143</v>
      </c>
      <c r="AZ25" s="164"/>
      <c r="BA25" s="139"/>
      <c r="BB25" s="165" t="s">
        <v>136</v>
      </c>
      <c r="BC25" s="4"/>
      <c r="BD25" s="165" t="s">
        <v>137</v>
      </c>
      <c r="BE25" s="4"/>
      <c r="BF25" s="165" t="s">
        <v>139</v>
      </c>
      <c r="BG25" s="4"/>
      <c r="BH25" s="167"/>
    </row>
    <row r="26" spans="1:60" ht="22.5">
      <c r="B26" s="3"/>
      <c r="C26" s="308" t="s">
        <v>144</v>
      </c>
      <c r="D26" s="4"/>
      <c r="E26" s="305" t="s">
        <v>145</v>
      </c>
      <c r="F26" s="4"/>
      <c r="G26" s="304" t="s">
        <v>146</v>
      </c>
      <c r="H26" s="4"/>
      <c r="I26" s="304" t="s">
        <v>147</v>
      </c>
      <c r="J26" s="4"/>
      <c r="K26" s="304" t="str">
        <f>"($/MWH)"</f>
        <v>($/MWH)</v>
      </c>
      <c r="L26" s="4"/>
      <c r="M26" s="304" t="str">
        <f>"($/MWH)"</f>
        <v>($/MWH)</v>
      </c>
      <c r="N26" s="4"/>
      <c r="O26" s="304" t="str">
        <f>"($/MWH)"</f>
        <v>($/MWH)</v>
      </c>
      <c r="P26" s="4"/>
      <c r="Q26" s="304" t="str">
        <f>"($/MWH)"</f>
        <v>($/MWH)</v>
      </c>
      <c r="R26" s="4"/>
      <c r="S26" s="304" t="str">
        <f>"($000)"</f>
        <v>($000)</v>
      </c>
      <c r="T26" s="4"/>
      <c r="U26" s="304" t="str">
        <f>"($000)"</f>
        <v>($000)</v>
      </c>
      <c r="V26" s="4"/>
      <c r="W26" s="304" t="str">
        <f>"($000)"</f>
        <v>($000)</v>
      </c>
      <c r="X26" s="270"/>
      <c r="Y26" s="304" t="s">
        <v>148</v>
      </c>
      <c r="Z26" s="271"/>
      <c r="AB26" s="168" t="s">
        <v>90</v>
      </c>
      <c r="AC26" s="139"/>
      <c r="AD26" s="4" t="s">
        <v>146</v>
      </c>
      <c r="AE26" s="4"/>
      <c r="AF26" s="166" t="s">
        <v>147</v>
      </c>
      <c r="AG26" s="166"/>
      <c r="AH26" s="166" t="s">
        <v>147</v>
      </c>
      <c r="AI26" s="4"/>
      <c r="AJ26" s="166" t="s">
        <v>149</v>
      </c>
      <c r="AK26" s="4"/>
      <c r="AL26" s="166" t="s">
        <v>150</v>
      </c>
      <c r="AM26" s="4"/>
      <c r="AN26" s="166" t="s">
        <v>151</v>
      </c>
      <c r="AO26" s="4"/>
      <c r="AP26" s="166" t="s">
        <v>149</v>
      </c>
      <c r="AQ26" s="4"/>
      <c r="AR26" s="166" t="s">
        <v>149</v>
      </c>
      <c r="AS26" s="166"/>
      <c r="AT26" s="166" t="s">
        <v>150</v>
      </c>
      <c r="AU26" s="4"/>
      <c r="AV26" s="166" t="s">
        <v>150</v>
      </c>
      <c r="AW26" s="4"/>
      <c r="AX26" s="169" t="s">
        <v>150</v>
      </c>
      <c r="AZ26" s="168" t="s">
        <v>90</v>
      </c>
      <c r="BA26" s="139"/>
      <c r="BB26" s="166" t="s">
        <v>147</v>
      </c>
      <c r="BC26" s="4"/>
      <c r="BD26" s="166" t="s">
        <v>147</v>
      </c>
      <c r="BE26" s="4"/>
      <c r="BF26" s="166" t="s">
        <v>150</v>
      </c>
      <c r="BG26" s="4"/>
      <c r="BH26" s="169"/>
    </row>
    <row r="27" spans="1:60" ht="12">
      <c r="B27" s="3"/>
      <c r="C27" s="309" t="s">
        <v>48</v>
      </c>
      <c r="D27" s="4"/>
      <c r="E27" s="309" t="s">
        <v>48</v>
      </c>
      <c r="F27" s="4"/>
      <c r="G27" s="309" t="s">
        <v>48</v>
      </c>
      <c r="H27" s="4"/>
      <c r="I27" s="309" t="s">
        <v>48</v>
      </c>
      <c r="J27" s="4"/>
      <c r="K27" s="309" t="s">
        <v>48</v>
      </c>
      <c r="L27" s="4"/>
      <c r="M27" s="309" t="s">
        <v>48</v>
      </c>
      <c r="N27" s="4"/>
      <c r="O27" s="309" t="s">
        <v>48</v>
      </c>
      <c r="P27" s="4"/>
      <c r="Q27" s="309" t="s">
        <v>48</v>
      </c>
      <c r="R27" s="4"/>
      <c r="S27" s="309" t="s">
        <v>48</v>
      </c>
      <c r="T27" s="4"/>
      <c r="U27" s="309" t="s">
        <v>48</v>
      </c>
      <c r="V27" s="4"/>
      <c r="W27" s="309" t="s">
        <v>48</v>
      </c>
      <c r="X27" s="4"/>
      <c r="Y27" s="309" t="s">
        <v>48</v>
      </c>
      <c r="Z27" s="271"/>
      <c r="AB27" s="170" t="s">
        <v>48</v>
      </c>
      <c r="AC27" s="139"/>
      <c r="AD27" s="171" t="s">
        <v>48</v>
      </c>
      <c r="AE27" s="4"/>
      <c r="AF27" s="171" t="s">
        <v>48</v>
      </c>
      <c r="AG27" s="4"/>
      <c r="AH27" s="171" t="s">
        <v>48</v>
      </c>
      <c r="AI27" s="4"/>
      <c r="AJ27" s="171" t="s">
        <v>48</v>
      </c>
      <c r="AK27" s="4"/>
      <c r="AL27" s="171" t="s">
        <v>48</v>
      </c>
      <c r="AM27" s="4"/>
      <c r="AN27" s="171" t="s">
        <v>48</v>
      </c>
      <c r="AO27" s="310"/>
      <c r="AP27" s="171" t="s">
        <v>48</v>
      </c>
      <c r="AQ27" s="310"/>
      <c r="AR27" s="171" t="s">
        <v>48</v>
      </c>
      <c r="AS27" s="171"/>
      <c r="AT27" s="171"/>
      <c r="AU27" s="310"/>
      <c r="AV27" s="171" t="s">
        <v>48</v>
      </c>
      <c r="AW27" s="4"/>
      <c r="AX27" s="172" t="s">
        <v>48</v>
      </c>
      <c r="AZ27" s="170" t="s">
        <v>48</v>
      </c>
      <c r="BA27" s="139"/>
      <c r="BB27" s="171" t="s">
        <v>48</v>
      </c>
      <c r="BC27" s="4"/>
      <c r="BD27" s="171" t="s">
        <v>48</v>
      </c>
      <c r="BE27" s="4"/>
      <c r="BF27" s="171" t="s">
        <v>48</v>
      </c>
      <c r="BG27" s="4"/>
      <c r="BH27" s="172"/>
    </row>
    <row r="28" spans="1:60" ht="12">
      <c r="B28" s="3"/>
      <c r="C28" s="7">
        <f>+G13</f>
        <v>2009</v>
      </c>
      <c r="D28" s="7"/>
      <c r="E28" s="311">
        <f>+INDEX('(2.2)_Forward_Price_Curve'!$L:$L,MATCH($C28,'(2.2)_Forward_Price_Curve'!C:C,0))</f>
        <v>2.1999999999999999E-2</v>
      </c>
      <c r="F28" s="7"/>
      <c r="G28" s="23">
        <v>17202</v>
      </c>
      <c r="H28" s="7"/>
      <c r="I28" s="312">
        <f>$G$15*(1+E28)</f>
        <v>175.47225335489472</v>
      </c>
      <c r="J28" s="312"/>
      <c r="K28" s="312">
        <f>$G$16</f>
        <v>0</v>
      </c>
      <c r="L28" s="313"/>
      <c r="M28" s="312">
        <f>$G$17</f>
        <v>0</v>
      </c>
      <c r="N28" s="7"/>
      <c r="O28" s="314"/>
      <c r="P28" s="7"/>
      <c r="Q28" s="30"/>
      <c r="R28" s="7"/>
      <c r="S28" s="23">
        <f>(I28*$G$11*1000+(K28+M28+O28+Q28)*G28)/1000</f>
        <v>736.98346409055785</v>
      </c>
      <c r="T28" s="7"/>
      <c r="U28" s="23">
        <f t="shared" ref="U28:U56" si="0">AX28</f>
        <v>1983.1746272820424</v>
      </c>
      <c r="V28" s="7"/>
      <c r="W28" s="23">
        <f t="shared" ref="W28:W56" si="1">S28-U28</f>
        <v>-1246.1911631914845</v>
      </c>
      <c r="X28" s="7"/>
      <c r="Y28" s="315">
        <f>+W28*1000/G28</f>
        <v>-72.44455081917711</v>
      </c>
      <c r="Z28" s="271"/>
      <c r="AB28" s="168">
        <f>$C$28</f>
        <v>2009</v>
      </c>
      <c r="AC28" s="138"/>
      <c r="AD28" s="173">
        <f t="shared" ref="AD28:AD56" si="2">G28</f>
        <v>17202</v>
      </c>
      <c r="AE28" s="4"/>
      <c r="AF28" s="174">
        <f>$AF$15*$AF$16*(1+E28)</f>
        <v>103.08917298322669</v>
      </c>
      <c r="AG28" s="316"/>
      <c r="AH28" s="174">
        <f>$AJ$11*(1+E28)</f>
        <v>7.7476730954430382</v>
      </c>
      <c r="AI28" s="316"/>
      <c r="AJ28" s="174">
        <f>$AJ$13*(1+E28)</f>
        <v>2.9166736586309407</v>
      </c>
      <c r="AK28" s="317"/>
      <c r="AL28" s="175">
        <f>((AF28+AH28)*$AF$11*1000+AJ28*AD28)/1000</f>
        <v>497.17520629398507</v>
      </c>
      <c r="AM28" s="4"/>
      <c r="AN28" s="176">
        <f>INDEX('(2.2)_Forward_Price_Curve'!$J:$J,MATCH($AB28,'(2.2)_Forward_Price_Curve'!$C:$C,0),1)</f>
        <v>11.848729166666667</v>
      </c>
      <c r="AO28" s="329"/>
      <c r="AP28" s="176">
        <f>AN28*$AF$14/1000+$AJ$14/(1+E29)</f>
        <v>92.469697331721193</v>
      </c>
      <c r="AQ28" s="316"/>
      <c r="AR28" s="174">
        <f>$AJ$15*(1+E28)</f>
        <v>2.3530768995633187</v>
      </c>
      <c r="AS28" s="174"/>
      <c r="AT28" s="175">
        <f t="shared" ref="AT28:AT56" si="3">AL28-BF28</f>
        <v>352.03326495548623</v>
      </c>
      <c r="AU28" s="317"/>
      <c r="AV28" s="175">
        <f t="shared" ref="AV28:AV56" si="4">(AP28+AR28)*AD28/1000</f>
        <v>1631.1413623265562</v>
      </c>
      <c r="AW28" s="318"/>
      <c r="AX28" s="177">
        <f>AT28+AV28</f>
        <v>1983.1746272820424</v>
      </c>
      <c r="AZ28" s="168">
        <f>$C$28</f>
        <v>2009</v>
      </c>
      <c r="BA28" s="138"/>
      <c r="BB28" s="174">
        <f>$BD$14*$BD$15*(1+E28)</f>
        <v>65.808010800000005</v>
      </c>
      <c r="BC28" s="4"/>
      <c r="BD28" s="174">
        <f>$BB$16*(1+E28)</f>
        <v>4.3332800000000002</v>
      </c>
      <c r="BE28" s="316"/>
      <c r="BF28" s="175">
        <f>(BB28+BD28)*$BD$11</f>
        <v>145.14194133849884</v>
      </c>
      <c r="BG28" s="316"/>
      <c r="BH28" s="178"/>
    </row>
    <row r="29" spans="1:60" ht="12">
      <c r="B29" s="3"/>
      <c r="C29" s="7">
        <f>+IF(C28&gt;$G$13+$G$14,XX,C28+1)</f>
        <v>2010</v>
      </c>
      <c r="D29" s="7"/>
      <c r="E29" s="311">
        <f>+INDEX('(2.2)_Forward_Price_Curve'!$L:$L,MATCH($C29,'(2.2)_Forward_Price_Curve'!C:C,0))</f>
        <v>1.7000000000000001E-2</v>
      </c>
      <c r="F29" s="7"/>
      <c r="G29" s="23">
        <f>$G$28</f>
        <v>17202</v>
      </c>
      <c r="H29" s="7"/>
      <c r="I29" s="30">
        <f>I28*(1+$E29)</f>
        <v>178.4552816619279</v>
      </c>
      <c r="J29" s="7"/>
      <c r="K29" s="30">
        <f>K28*(1+$E29)</f>
        <v>0</v>
      </c>
      <c r="L29" s="7"/>
      <c r="M29" s="30">
        <f>M28*(1+$E29)</f>
        <v>0</v>
      </c>
      <c r="N29" s="7"/>
      <c r="O29" s="314"/>
      <c r="P29" s="7"/>
      <c r="Q29" s="30"/>
      <c r="R29" s="7"/>
      <c r="S29" s="23">
        <f t="shared" ref="S29:S56" si="5">(I29*$G$11*1000+(K29+M29+O29+Q29)*G29)/1000</f>
        <v>749.51218298009724</v>
      </c>
      <c r="T29" s="7"/>
      <c r="U29" s="23">
        <f t="shared" si="0"/>
        <v>1864.4044393732486</v>
      </c>
      <c r="V29" s="7"/>
      <c r="W29" s="23">
        <f t="shared" si="1"/>
        <v>-1114.8922563931515</v>
      </c>
      <c r="X29" s="7"/>
      <c r="Y29" s="315">
        <f t="shared" ref="Y29:Y56" si="6">+W29*1000/G29</f>
        <v>-64.811780978557806</v>
      </c>
      <c r="Z29" s="271"/>
      <c r="AB29" s="168">
        <f>+IF(AB28&gt;$G$13+$G$14,XX,AB28+1)</f>
        <v>2010</v>
      </c>
      <c r="AC29" s="138"/>
      <c r="AD29" s="173">
        <f t="shared" si="2"/>
        <v>17202</v>
      </c>
      <c r="AE29" s="4"/>
      <c r="AF29" s="176">
        <f>AF28*(1+$E29)</f>
        <v>104.84168892394153</v>
      </c>
      <c r="AG29" s="4"/>
      <c r="AH29" s="176">
        <f>AH28*(1+$E29)</f>
        <v>7.8793835380655688</v>
      </c>
      <c r="AI29" s="4"/>
      <c r="AJ29" s="176">
        <f>AJ28*(1+$E29)</f>
        <v>2.9662571108276663</v>
      </c>
      <c r="AK29" s="4"/>
      <c r="AL29" s="175">
        <f t="shared" ref="AL29:AL56" si="7">((AF29+AH29)*$AF$11*1000+AJ29*AD29)/1000</f>
        <v>505.62718480098283</v>
      </c>
      <c r="AM29" s="4"/>
      <c r="AN29" s="176">
        <f>INDEX('(2.2)_Forward_Price_Curve'!$J:$J,MATCH($AB29,'(2.2)_Forward_Price_Curve'!$C:$C,0),1)</f>
        <v>10.836874999999999</v>
      </c>
      <c r="AO29" s="4"/>
      <c r="AP29" s="176">
        <f>AN29*$AF$14/1000+$AJ$14</f>
        <v>85.177354981815128</v>
      </c>
      <c r="AQ29" s="4"/>
      <c r="AR29" s="176">
        <f>AR28*(1+$E29)</f>
        <v>2.3930792068558948</v>
      </c>
      <c r="AS29" s="176"/>
      <c r="AT29" s="175">
        <f t="shared" si="3"/>
        <v>358.01783045972957</v>
      </c>
      <c r="AU29" s="4"/>
      <c r="AV29" s="175">
        <f t="shared" si="4"/>
        <v>1506.386608913519</v>
      </c>
      <c r="AW29" s="318"/>
      <c r="AX29" s="177">
        <f t="shared" ref="AX29:AX56" si="8">AT29+AV29</f>
        <v>1864.4044393732486</v>
      </c>
      <c r="AZ29" s="168">
        <f>+IF(AZ28&gt;$G$13+$G$14,XX,AZ28+1)</f>
        <v>2010</v>
      </c>
      <c r="BA29" s="138"/>
      <c r="BB29" s="176">
        <f>BB28*(1+$E29)</f>
        <v>66.926746983599998</v>
      </c>
      <c r="BC29" s="4"/>
      <c r="BD29" s="176">
        <f>BD28*(1+$E29)</f>
        <v>4.4069457600000002</v>
      </c>
      <c r="BE29" s="4"/>
      <c r="BF29" s="175">
        <f t="shared" ref="BF29:BF51" si="9">(BB29+BD29)*$BD$11</f>
        <v>147.60935434125329</v>
      </c>
      <c r="BG29" s="4"/>
      <c r="BH29" s="179"/>
    </row>
    <row r="30" spans="1:60" ht="12">
      <c r="B30" s="3"/>
      <c r="C30" s="7">
        <f>+IF(C29&gt;$G$13+$G$14,XX,C29+1)</f>
        <v>2011</v>
      </c>
      <c r="D30" s="7"/>
      <c r="E30" s="311">
        <f>+INDEX('(2.2)_Forward_Price_Curve'!$L:$L,MATCH($C30,'(2.2)_Forward_Price_Curve'!C:C,0))</f>
        <v>1.9E-2</v>
      </c>
      <c r="F30" s="7"/>
      <c r="G30" s="23">
        <f t="shared" ref="G30:G56" si="10">$G$28</f>
        <v>17202</v>
      </c>
      <c r="H30" s="7"/>
      <c r="I30" s="30">
        <f t="shared" ref="I30:I56" si="11">I29*(1+$E30)</f>
        <v>181.84593201350452</v>
      </c>
      <c r="J30" s="7"/>
      <c r="K30" s="30">
        <f t="shared" ref="K30:K56" si="12">K29*(1+$E30)</f>
        <v>0</v>
      </c>
      <c r="L30" s="7"/>
      <c r="M30" s="30">
        <f t="shared" ref="M30:M56" si="13">M29*(1+$E30)</f>
        <v>0</v>
      </c>
      <c r="N30" s="7"/>
      <c r="O30" s="314"/>
      <c r="P30" s="7"/>
      <c r="Q30" s="30"/>
      <c r="R30" s="7"/>
      <c r="S30" s="23">
        <f t="shared" si="5"/>
        <v>763.75291445671905</v>
      </c>
      <c r="T30" s="7"/>
      <c r="U30" s="23">
        <f t="shared" si="0"/>
        <v>1821.4928391955316</v>
      </c>
      <c r="V30" s="7"/>
      <c r="W30" s="23">
        <f t="shared" si="1"/>
        <v>-1057.7399247388125</v>
      </c>
      <c r="X30" s="7"/>
      <c r="Y30" s="315">
        <f t="shared" si="6"/>
        <v>-61.48935732698596</v>
      </c>
      <c r="Z30" s="271"/>
      <c r="AB30" s="168">
        <f>+IF(AB29&gt;$G$13+$G$14,XX,AB29+1)</f>
        <v>2011</v>
      </c>
      <c r="AC30" s="138"/>
      <c r="AD30" s="173">
        <f t="shared" si="2"/>
        <v>17202</v>
      </c>
      <c r="AE30" s="4"/>
      <c r="AF30" s="176">
        <f t="shared" ref="AF30:AF56" si="14">AF29*(1+$E30)</f>
        <v>106.83368101349642</v>
      </c>
      <c r="AG30" s="4"/>
      <c r="AH30" s="176">
        <f t="shared" ref="AH30:AH56" si="15">AH29*(1+$E30)</f>
        <v>8.0290918252888144</v>
      </c>
      <c r="AI30" s="4"/>
      <c r="AJ30" s="176">
        <f t="shared" ref="AJ30:AJ56" si="16">AJ29*(1+$E30)</f>
        <v>3.0226159959333918</v>
      </c>
      <c r="AK30" s="4"/>
      <c r="AL30" s="175">
        <f t="shared" si="7"/>
        <v>515.23410131220146</v>
      </c>
      <c r="AM30" s="4"/>
      <c r="AN30" s="176">
        <f>INDEX('(2.2)_Forward_Price_Curve'!$J:$J,MATCH($AB30,'(2.2)_Forward_Price_Curve'!$C:$C,0),1)</f>
        <v>10.419479166666667</v>
      </c>
      <c r="AO30" s="4"/>
      <c r="AP30" s="176">
        <f>AN30*$AF$14/1000+$AJ$14*(1+E30)</f>
        <v>82.241877236305172</v>
      </c>
      <c r="AQ30" s="4"/>
      <c r="AR30" s="176">
        <f t="shared" ref="AR30:AR56" si="17">AR29*(1+$E30)</f>
        <v>2.4385477117861565</v>
      </c>
      <c r="AS30" s="176"/>
      <c r="AT30" s="175">
        <f t="shared" si="3"/>
        <v>364.82016923846436</v>
      </c>
      <c r="AU30" s="4"/>
      <c r="AV30" s="175">
        <f t="shared" si="4"/>
        <v>1456.6726699570672</v>
      </c>
      <c r="AW30" s="318"/>
      <c r="AX30" s="177">
        <f t="shared" si="8"/>
        <v>1821.4928391955316</v>
      </c>
      <c r="AZ30" s="168">
        <f>+IF(AZ29&gt;$G$13+$G$14,XX,AZ29+1)</f>
        <v>2011</v>
      </c>
      <c r="BA30" s="138"/>
      <c r="BB30" s="176">
        <f t="shared" ref="BB30:BB56" si="18">BB29*(1+$E30)</f>
        <v>68.198355176288388</v>
      </c>
      <c r="BC30" s="4"/>
      <c r="BD30" s="176">
        <f t="shared" ref="BD30:BD56" si="19">BD29*(1+$E30)</f>
        <v>4.4906777294399998</v>
      </c>
      <c r="BE30" s="4"/>
      <c r="BF30" s="175">
        <f t="shared" si="9"/>
        <v>150.4139320737371</v>
      </c>
      <c r="BG30" s="4"/>
      <c r="BH30" s="179"/>
    </row>
    <row r="31" spans="1:60" ht="12">
      <c r="B31" s="3"/>
      <c r="C31" s="7">
        <f>+IF(C30&gt;$G$13+$G$14,XX,C30+1)</f>
        <v>2012</v>
      </c>
      <c r="D31" s="7"/>
      <c r="E31" s="311">
        <f>+INDEX('(2.2)_Forward_Price_Curve'!$L:$L,MATCH($C31,'(2.2)_Forward_Price_Curve'!C:C,0))</f>
        <v>1.9E-2</v>
      </c>
      <c r="F31" s="7"/>
      <c r="G31" s="23">
        <f t="shared" si="10"/>
        <v>17202</v>
      </c>
      <c r="H31" s="7"/>
      <c r="I31" s="30">
        <f t="shared" si="11"/>
        <v>185.3010047217611</v>
      </c>
      <c r="J31" s="7"/>
      <c r="K31" s="30">
        <f t="shared" si="12"/>
        <v>0</v>
      </c>
      <c r="L31" s="7"/>
      <c r="M31" s="30">
        <f t="shared" si="13"/>
        <v>0</v>
      </c>
      <c r="N31" s="7"/>
      <c r="O31" s="314"/>
      <c r="P31" s="7"/>
      <c r="Q31" s="30"/>
      <c r="R31" s="7"/>
      <c r="S31" s="23">
        <f t="shared" si="5"/>
        <v>778.26421983139664</v>
      </c>
      <c r="T31" s="7"/>
      <c r="U31" s="23">
        <f t="shared" si="0"/>
        <v>1830.3780067938596</v>
      </c>
      <c r="V31" s="7"/>
      <c r="W31" s="23">
        <f t="shared" si="1"/>
        <v>-1052.1137869624631</v>
      </c>
      <c r="X31" s="7"/>
      <c r="Y31" s="315">
        <f t="shared" si="6"/>
        <v>-61.162294324059005</v>
      </c>
      <c r="Z31" s="271"/>
      <c r="AB31" s="168">
        <f>+IF(AB30&gt;$G$13+$G$14,XX,AB30+1)</f>
        <v>2012</v>
      </c>
      <c r="AC31" s="138"/>
      <c r="AD31" s="173">
        <f t="shared" si="2"/>
        <v>17202</v>
      </c>
      <c r="AE31" s="4"/>
      <c r="AF31" s="176">
        <f t="shared" si="14"/>
        <v>108.86352095275284</v>
      </c>
      <c r="AG31" s="4"/>
      <c r="AH31" s="176">
        <f t="shared" si="15"/>
        <v>8.1816445699693006</v>
      </c>
      <c r="AI31" s="4"/>
      <c r="AJ31" s="176">
        <f t="shared" si="16"/>
        <v>3.0800456998561261</v>
      </c>
      <c r="AK31" s="4"/>
      <c r="AL31" s="175">
        <f t="shared" si="7"/>
        <v>525.02354923713324</v>
      </c>
      <c r="AM31" s="4"/>
      <c r="AN31" s="176">
        <f>INDEX('(2.2)_Forward_Price_Curve'!$J:$J,MATCH($AB31,'(2.2)_Forward_Price_Curve'!$C:$C,0),1)</f>
        <v>10.428681771666666</v>
      </c>
      <c r="AO31" s="4"/>
      <c r="AP31" s="176">
        <f>AN31*$AF$14/1000+$AJ$14*(1+E31)</f>
        <v>82.309112111655296</v>
      </c>
      <c r="AQ31" s="4"/>
      <c r="AR31" s="176">
        <f t="shared" si="17"/>
        <v>2.4848801183100933</v>
      </c>
      <c r="AS31" s="176"/>
      <c r="AT31" s="175">
        <f t="shared" si="3"/>
        <v>371.75175245399515</v>
      </c>
      <c r="AU31" s="4"/>
      <c r="AV31" s="175">
        <f t="shared" si="4"/>
        <v>1458.6262543398645</v>
      </c>
      <c r="AW31" s="318"/>
      <c r="AX31" s="177">
        <f t="shared" si="8"/>
        <v>1830.3780067938596</v>
      </c>
      <c r="AZ31" s="168">
        <f>+IF(AZ30&gt;$G$13+$G$14,XX,AZ30+1)</f>
        <v>2012</v>
      </c>
      <c r="BA31" s="138"/>
      <c r="BB31" s="176">
        <f t="shared" si="18"/>
        <v>69.494123924637861</v>
      </c>
      <c r="BC31" s="4"/>
      <c r="BD31" s="176">
        <f t="shared" si="19"/>
        <v>4.5760006062993597</v>
      </c>
      <c r="BE31" s="4"/>
      <c r="BF31" s="175">
        <f t="shared" si="9"/>
        <v>153.27179678313809</v>
      </c>
      <c r="BG31" s="4"/>
      <c r="BH31" s="179"/>
    </row>
    <row r="32" spans="1:60" ht="12">
      <c r="B32" s="3"/>
      <c r="C32" s="7">
        <f>+IF(C31&gt;$G$13+$G$14,XX,C31+1)</f>
        <v>2013</v>
      </c>
      <c r="D32" s="7"/>
      <c r="E32" s="311">
        <f>+INDEX('(2.2)_Forward_Price_Curve'!$L:$L,MATCH($C32,'(2.2)_Forward_Price_Curve'!C:C,0))</f>
        <v>1.7999999999999999E-2</v>
      </c>
      <c r="F32" s="7"/>
      <c r="G32" s="23">
        <f t="shared" si="10"/>
        <v>17202</v>
      </c>
      <c r="H32" s="7"/>
      <c r="I32" s="30">
        <f t="shared" si="11"/>
        <v>188.63642280675282</v>
      </c>
      <c r="J32" s="7"/>
      <c r="K32" s="30">
        <f t="shared" si="12"/>
        <v>0</v>
      </c>
      <c r="L32" s="7"/>
      <c r="M32" s="30">
        <f t="shared" si="13"/>
        <v>0</v>
      </c>
      <c r="N32" s="7"/>
      <c r="O32" s="314"/>
      <c r="P32" s="7"/>
      <c r="Q32" s="30"/>
      <c r="R32" s="7"/>
      <c r="S32" s="23">
        <f t="shared" si="5"/>
        <v>792.27297578836192</v>
      </c>
      <c r="T32" s="7"/>
      <c r="U32" s="23">
        <f t="shared" si="0"/>
        <v>1863.3951590145209</v>
      </c>
      <c r="V32" s="7"/>
      <c r="W32" s="23">
        <f t="shared" si="1"/>
        <v>-1071.122183226159</v>
      </c>
      <c r="X32" s="7"/>
      <c r="Y32" s="315">
        <f t="shared" si="6"/>
        <v>-62.267305152084589</v>
      </c>
      <c r="Z32" s="271"/>
      <c r="AB32" s="168">
        <f>+IF(AB31&gt;$G$13+$G$14,XX,AB31+1)</f>
        <v>2013</v>
      </c>
      <c r="AC32" s="138"/>
      <c r="AD32" s="173">
        <f t="shared" si="2"/>
        <v>17202</v>
      </c>
      <c r="AE32" s="4"/>
      <c r="AF32" s="176">
        <f t="shared" si="14"/>
        <v>110.82306432990239</v>
      </c>
      <c r="AG32" s="4"/>
      <c r="AH32" s="176">
        <f t="shared" si="15"/>
        <v>8.3289141722287479</v>
      </c>
      <c r="AI32" s="4"/>
      <c r="AJ32" s="176">
        <f t="shared" si="16"/>
        <v>3.1354865224535362</v>
      </c>
      <c r="AK32" s="4"/>
      <c r="AL32" s="175">
        <f t="shared" si="7"/>
        <v>534.47397312340161</v>
      </c>
      <c r="AM32" s="4"/>
      <c r="AN32" s="176">
        <f>INDEX('(2.2)_Forward_Price_Curve'!$J:$J,MATCH($AB32,'(2.2)_Forward_Price_Curve'!$C:$C,0),1)</f>
        <v>10.632848438333333</v>
      </c>
      <c r="AO32" s="4"/>
      <c r="AP32" s="176">
        <f t="shared" ref="AP32:AP56" si="20">AN32*$AF$14/1000+$AJ$14*(1+E32)</f>
        <v>83.794765659857603</v>
      </c>
      <c r="AQ32" s="4"/>
      <c r="AR32" s="176">
        <f t="shared" si="17"/>
        <v>2.5296079604396748</v>
      </c>
      <c r="AS32" s="176"/>
      <c r="AT32" s="175">
        <f t="shared" si="3"/>
        <v>378.44328399816703</v>
      </c>
      <c r="AU32" s="4"/>
      <c r="AV32" s="175">
        <f t="shared" si="4"/>
        <v>1484.9518750163538</v>
      </c>
      <c r="AW32" s="318"/>
      <c r="AX32" s="177">
        <f t="shared" si="8"/>
        <v>1863.3951590145209</v>
      </c>
      <c r="AZ32" s="168">
        <f>+IF(AZ31&gt;$G$13+$G$14,XX,AZ31+1)</f>
        <v>2013</v>
      </c>
      <c r="BA32" s="138"/>
      <c r="BB32" s="176">
        <f t="shared" si="18"/>
        <v>70.745018155281343</v>
      </c>
      <c r="BC32" s="4"/>
      <c r="BD32" s="176">
        <f t="shared" si="19"/>
        <v>4.6583686172127479</v>
      </c>
      <c r="BE32" s="4"/>
      <c r="BF32" s="175">
        <f t="shared" si="9"/>
        <v>156.03068912523457</v>
      </c>
      <c r="BG32" s="4"/>
      <c r="BH32" s="179"/>
    </row>
    <row r="33" spans="2:60" ht="12">
      <c r="B33" s="3"/>
      <c r="C33" s="7">
        <f>+IF(C32&gt;$G$13+$G$14,XX,C32+1)</f>
        <v>2014</v>
      </c>
      <c r="D33" s="7"/>
      <c r="E33" s="311">
        <f>+INDEX('(2.2)_Forward_Price_Curve'!$L:$L,MATCH($C33,'(2.2)_Forward_Price_Curve'!C:C,0))</f>
        <v>1.7999999999999999E-2</v>
      </c>
      <c r="F33" s="7"/>
      <c r="G33" s="23">
        <f t="shared" si="10"/>
        <v>17202</v>
      </c>
      <c r="H33" s="7"/>
      <c r="I33" s="30">
        <f t="shared" si="11"/>
        <v>192.03187841727438</v>
      </c>
      <c r="J33" s="7"/>
      <c r="K33" s="30">
        <f t="shared" si="12"/>
        <v>0</v>
      </c>
      <c r="L33" s="7"/>
      <c r="M33" s="30">
        <f t="shared" si="13"/>
        <v>0</v>
      </c>
      <c r="N33" s="7"/>
      <c r="O33" s="314"/>
      <c r="P33" s="7"/>
      <c r="Q33" s="30"/>
      <c r="R33" s="7"/>
      <c r="S33" s="23">
        <f t="shared" si="5"/>
        <v>806.53388935255248</v>
      </c>
      <c r="T33" s="7"/>
      <c r="U33" s="23">
        <f t="shared" si="0"/>
        <v>1835.0595826874169</v>
      </c>
      <c r="V33" s="7"/>
      <c r="W33" s="23">
        <f t="shared" si="1"/>
        <v>-1028.5256933348644</v>
      </c>
      <c r="X33" s="7"/>
      <c r="Y33" s="315">
        <f t="shared" si="6"/>
        <v>-59.791052978424858</v>
      </c>
      <c r="Z33" s="271"/>
      <c r="AB33" s="168">
        <f>+IF(AB32&gt;$G$13+$G$14,XX,AB32+1)</f>
        <v>2014</v>
      </c>
      <c r="AC33" s="138"/>
      <c r="AD33" s="173">
        <f t="shared" si="2"/>
        <v>17202</v>
      </c>
      <c r="AE33" s="4"/>
      <c r="AF33" s="176">
        <f t="shared" si="14"/>
        <v>112.81787948784064</v>
      </c>
      <c r="AG33" s="4"/>
      <c r="AH33" s="176">
        <f t="shared" si="15"/>
        <v>8.4788346273288653</v>
      </c>
      <c r="AI33" s="4"/>
      <c r="AJ33" s="176">
        <f t="shared" si="16"/>
        <v>3.1919252798577</v>
      </c>
      <c r="AK33" s="4"/>
      <c r="AL33" s="175">
        <f t="shared" si="7"/>
        <v>544.09450463962287</v>
      </c>
      <c r="AM33" s="4"/>
      <c r="AN33" s="176">
        <f>INDEX('(2.2)_Forward_Price_Curve'!$J:$J,MATCH($AB33,'(2.2)_Forward_Price_Curve'!$C:$C,0),1)</f>
        <v>10.346954939583332</v>
      </c>
      <c r="AO33" s="4"/>
      <c r="AP33" s="176">
        <f t="shared" si="20"/>
        <v>81.70600777533781</v>
      </c>
      <c r="AQ33" s="4"/>
      <c r="AR33" s="176">
        <f t="shared" si="17"/>
        <v>2.575140903727589</v>
      </c>
      <c r="AS33" s="176"/>
      <c r="AT33" s="175">
        <f t="shared" si="3"/>
        <v>385.25526311013402</v>
      </c>
      <c r="AU33" s="4"/>
      <c r="AV33" s="175">
        <f t="shared" si="4"/>
        <v>1449.804319577283</v>
      </c>
      <c r="AW33" s="318"/>
      <c r="AX33" s="177">
        <f t="shared" si="8"/>
        <v>1835.0595826874169</v>
      </c>
      <c r="AZ33" s="168">
        <f>+IF(AZ32&gt;$G$13+$G$14,XX,AZ32+1)</f>
        <v>2014</v>
      </c>
      <c r="BA33" s="138"/>
      <c r="BB33" s="176">
        <f t="shared" si="18"/>
        <v>72.018428482076402</v>
      </c>
      <c r="BC33" s="4"/>
      <c r="BD33" s="176">
        <f t="shared" si="19"/>
        <v>4.7422192523225775</v>
      </c>
      <c r="BE33" s="4"/>
      <c r="BF33" s="175">
        <f t="shared" si="9"/>
        <v>158.83924152948882</v>
      </c>
      <c r="BG33" s="4"/>
      <c r="BH33" s="179"/>
    </row>
    <row r="34" spans="2:60" ht="12">
      <c r="B34" s="3"/>
      <c r="C34" s="7">
        <f>+IF(C33&gt;$G$13+$G$14,XX,C33+1)</f>
        <v>2015</v>
      </c>
      <c r="D34" s="7"/>
      <c r="E34" s="311">
        <f>+INDEX('(2.2)_Forward_Price_Curve'!$L:$L,MATCH($C34,'(2.2)_Forward_Price_Curve'!C:C,0))</f>
        <v>1.9E-2</v>
      </c>
      <c r="F34" s="7"/>
      <c r="G34" s="23">
        <f t="shared" si="10"/>
        <v>17202</v>
      </c>
      <c r="H34" s="7"/>
      <c r="I34" s="30">
        <f t="shared" si="11"/>
        <v>195.68048410720257</v>
      </c>
      <c r="J34" s="7"/>
      <c r="K34" s="30">
        <f t="shared" si="12"/>
        <v>0</v>
      </c>
      <c r="L34" s="7"/>
      <c r="M34" s="30">
        <f t="shared" si="13"/>
        <v>0</v>
      </c>
      <c r="N34" s="7"/>
      <c r="O34" s="314"/>
      <c r="P34" s="7"/>
      <c r="Q34" s="30"/>
      <c r="R34" s="7"/>
      <c r="S34" s="23">
        <f t="shared" si="5"/>
        <v>821.85803325025086</v>
      </c>
      <c r="T34" s="7"/>
      <c r="U34" s="23">
        <f t="shared" si="0"/>
        <v>1715.8937491705028</v>
      </c>
      <c r="V34" s="7"/>
      <c r="W34" s="23">
        <f t="shared" si="1"/>
        <v>-894.03571592025196</v>
      </c>
      <c r="X34" s="7"/>
      <c r="Y34" s="315">
        <f t="shared" si="6"/>
        <v>-51.972777346834782</v>
      </c>
      <c r="Z34" s="271"/>
      <c r="AB34" s="168">
        <f>+IF(AB33&gt;$G$13+$G$14,XX,AB33+1)</f>
        <v>2015</v>
      </c>
      <c r="AC34" s="138"/>
      <c r="AD34" s="173">
        <f t="shared" si="2"/>
        <v>17202</v>
      </c>
      <c r="AE34" s="4"/>
      <c r="AF34" s="176">
        <f t="shared" si="14"/>
        <v>114.96141919810961</v>
      </c>
      <c r="AG34" s="4"/>
      <c r="AH34" s="176">
        <f t="shared" si="15"/>
        <v>8.6399324852481136</v>
      </c>
      <c r="AI34" s="4"/>
      <c r="AJ34" s="176">
        <f t="shared" si="16"/>
        <v>3.2525718601749962</v>
      </c>
      <c r="AK34" s="4"/>
      <c r="AL34" s="175">
        <f t="shared" si="7"/>
        <v>554.43230022777573</v>
      </c>
      <c r="AM34" s="4"/>
      <c r="AN34" s="176">
        <f>INDEX('(2.2)_Forward_Price_Curve'!$J:$J,MATCH($AB34,'(2.2)_Forward_Price_Curve'!$C:$C,0),1)</f>
        <v>9.3330180370833329</v>
      </c>
      <c r="AO34" s="4"/>
      <c r="AP34" s="176">
        <f t="shared" si="20"/>
        <v>74.304116284889062</v>
      </c>
      <c r="AQ34" s="4"/>
      <c r="AR34" s="176">
        <f t="shared" si="17"/>
        <v>2.6240685808984128</v>
      </c>
      <c r="AS34" s="176"/>
      <c r="AT34" s="175">
        <f t="shared" si="3"/>
        <v>392.57511310922666</v>
      </c>
      <c r="AU34" s="4"/>
      <c r="AV34" s="175">
        <f t="shared" si="4"/>
        <v>1323.318636061276</v>
      </c>
      <c r="AW34" s="318"/>
      <c r="AX34" s="177">
        <f t="shared" si="8"/>
        <v>1715.8937491705028</v>
      </c>
      <c r="AZ34" s="168">
        <f>+IF(AZ33&gt;$G$13+$G$14,XX,AZ33+1)</f>
        <v>2015</v>
      </c>
      <c r="BA34" s="138"/>
      <c r="BB34" s="176">
        <f t="shared" si="18"/>
        <v>73.386778623235841</v>
      </c>
      <c r="BC34" s="4"/>
      <c r="BD34" s="176">
        <f t="shared" si="19"/>
        <v>4.832321418116706</v>
      </c>
      <c r="BE34" s="4"/>
      <c r="BF34" s="175">
        <f t="shared" si="9"/>
        <v>161.85718711854906</v>
      </c>
      <c r="BG34" s="4"/>
      <c r="BH34" s="179"/>
    </row>
    <row r="35" spans="2:60" ht="12">
      <c r="B35" s="3"/>
      <c r="C35" s="7">
        <f>+IF(C34&gt;$G$13+$G$14,XX,C34+1)</f>
        <v>2016</v>
      </c>
      <c r="D35" s="7"/>
      <c r="E35" s="311">
        <f>+INDEX('(2.2)_Forward_Price_Curve'!$L:$L,MATCH($C35,'(2.2)_Forward_Price_Curve'!C:C,0))</f>
        <v>0.02</v>
      </c>
      <c r="F35" s="7"/>
      <c r="G35" s="23">
        <f t="shared" si="10"/>
        <v>17202</v>
      </c>
      <c r="H35" s="7"/>
      <c r="I35" s="30">
        <f t="shared" si="11"/>
        <v>199.59409378934663</v>
      </c>
      <c r="J35" s="7"/>
      <c r="K35" s="30">
        <f t="shared" si="12"/>
        <v>0</v>
      </c>
      <c r="L35" s="7"/>
      <c r="M35" s="30">
        <f t="shared" si="13"/>
        <v>0</v>
      </c>
      <c r="N35" s="7"/>
      <c r="O35" s="314"/>
      <c r="P35" s="7"/>
      <c r="Q35" s="30"/>
      <c r="R35" s="7"/>
      <c r="S35" s="23">
        <f t="shared" si="5"/>
        <v>838.29519391525594</v>
      </c>
      <c r="T35" s="7"/>
      <c r="U35" s="23">
        <f t="shared" si="0"/>
        <v>1677.1376222632666</v>
      </c>
      <c r="V35" s="7"/>
      <c r="W35" s="23">
        <f t="shared" si="1"/>
        <v>-838.84242834801069</v>
      </c>
      <c r="X35" s="7"/>
      <c r="Y35" s="315">
        <f t="shared" si="6"/>
        <v>-48.764238364609383</v>
      </c>
      <c r="Z35" s="271"/>
      <c r="AB35" s="168">
        <f>+IF(AB34&gt;$G$13+$G$14,XX,AB34+1)</f>
        <v>2016</v>
      </c>
      <c r="AC35" s="138"/>
      <c r="AD35" s="173">
        <f t="shared" si="2"/>
        <v>17202</v>
      </c>
      <c r="AE35" s="4"/>
      <c r="AF35" s="176">
        <f t="shared" si="14"/>
        <v>117.2606475820718</v>
      </c>
      <c r="AG35" s="4"/>
      <c r="AH35" s="176">
        <f t="shared" si="15"/>
        <v>8.8127311349530757</v>
      </c>
      <c r="AI35" s="4"/>
      <c r="AJ35" s="176">
        <f t="shared" si="16"/>
        <v>3.3176232973784963</v>
      </c>
      <c r="AK35" s="4"/>
      <c r="AL35" s="175">
        <f t="shared" si="7"/>
        <v>565.5209462323312</v>
      </c>
      <c r="AM35" s="4"/>
      <c r="AN35" s="176">
        <f>INDEX('(2.2)_Forward_Price_Curve'!$J:$J,MATCH($AB35,'(2.2)_Forward_Price_Curve'!$C:$C,0),1)</f>
        <v>8.9541666666666657</v>
      </c>
      <c r="AO35" s="4"/>
      <c r="AP35" s="176">
        <f t="shared" si="20"/>
        <v>71.542204081424757</v>
      </c>
      <c r="AQ35" s="4"/>
      <c r="AR35" s="176">
        <f t="shared" si="17"/>
        <v>2.6765499525163809</v>
      </c>
      <c r="AS35" s="176"/>
      <c r="AT35" s="175">
        <f t="shared" si="3"/>
        <v>400.42661537141117</v>
      </c>
      <c r="AU35" s="4"/>
      <c r="AV35" s="175">
        <f t="shared" si="4"/>
        <v>1276.7110068918555</v>
      </c>
      <c r="AW35" s="318"/>
      <c r="AX35" s="177">
        <f t="shared" si="8"/>
        <v>1677.1376222632666</v>
      </c>
      <c r="AZ35" s="168">
        <f>+IF(AZ34&gt;$G$13+$G$14,XX,AZ34+1)</f>
        <v>2016</v>
      </c>
      <c r="BA35" s="138"/>
      <c r="BB35" s="176">
        <f t="shared" si="18"/>
        <v>74.85451419570056</v>
      </c>
      <c r="BC35" s="4"/>
      <c r="BD35" s="176">
        <f t="shared" si="19"/>
        <v>4.9289678464790398</v>
      </c>
      <c r="BE35" s="4"/>
      <c r="BF35" s="175">
        <f t="shared" si="9"/>
        <v>165.09433086092002</v>
      </c>
      <c r="BG35" s="4"/>
      <c r="BH35" s="179"/>
    </row>
    <row r="36" spans="2:60" ht="12">
      <c r="B36" s="3"/>
      <c r="C36" s="7">
        <f>+IF(C35&gt;$G$13+$G$14,XX,C35+1)</f>
        <v>2017</v>
      </c>
      <c r="D36" s="7"/>
      <c r="E36" s="311">
        <f>+INDEX('(2.2)_Forward_Price_Curve'!$L:$L,MATCH($C36,'(2.2)_Forward_Price_Curve'!C:C,0))</f>
        <v>0.02</v>
      </c>
      <c r="F36" s="7"/>
      <c r="G36" s="23">
        <f t="shared" si="10"/>
        <v>17202</v>
      </c>
      <c r="H36" s="7"/>
      <c r="I36" s="30">
        <f t="shared" si="11"/>
        <v>203.58597566513356</v>
      </c>
      <c r="J36" s="7"/>
      <c r="K36" s="30">
        <f t="shared" si="12"/>
        <v>0</v>
      </c>
      <c r="L36" s="7"/>
      <c r="M36" s="30">
        <f t="shared" si="13"/>
        <v>0</v>
      </c>
      <c r="N36" s="7"/>
      <c r="O36" s="314"/>
      <c r="P36" s="7"/>
      <c r="Q36" s="30"/>
      <c r="R36" s="7"/>
      <c r="S36" s="23">
        <f t="shared" si="5"/>
        <v>855.06109779356098</v>
      </c>
      <c r="T36" s="7"/>
      <c r="U36" s="23">
        <f t="shared" si="0"/>
        <v>1772.5236834320358</v>
      </c>
      <c r="V36" s="7"/>
      <c r="W36" s="23">
        <f t="shared" si="1"/>
        <v>-917.46258563847482</v>
      </c>
      <c r="X36" s="7"/>
      <c r="Y36" s="315">
        <f t="shared" si="6"/>
        <v>-53.334646299178864</v>
      </c>
      <c r="Z36" s="271"/>
      <c r="AB36" s="168">
        <f>+IF(AB35&gt;$G$13+$G$14,XX,AB35+1)</f>
        <v>2017</v>
      </c>
      <c r="AC36" s="138"/>
      <c r="AD36" s="173">
        <f t="shared" si="2"/>
        <v>17202</v>
      </c>
      <c r="AE36" s="4"/>
      <c r="AF36" s="176">
        <f t="shared" si="14"/>
        <v>119.60586053371324</v>
      </c>
      <c r="AG36" s="4"/>
      <c r="AH36" s="176">
        <f t="shared" si="15"/>
        <v>8.9889857576521379</v>
      </c>
      <c r="AI36" s="4"/>
      <c r="AJ36" s="176">
        <f t="shared" si="16"/>
        <v>3.3839757633260663</v>
      </c>
      <c r="AK36" s="4"/>
      <c r="AL36" s="175">
        <f t="shared" si="7"/>
        <v>576.83136515697788</v>
      </c>
      <c r="AM36" s="4"/>
      <c r="AN36" s="176">
        <f>INDEX('(2.2)_Forward_Price_Curve'!$J:$J,MATCH($AB36,'(2.2)_Forward_Price_Curve'!$C:$C,0),1)</f>
        <v>9.6420833333333338</v>
      </c>
      <c r="AO36" s="4"/>
      <c r="AP36" s="176">
        <f t="shared" si="20"/>
        <v>76.568171330330529</v>
      </c>
      <c r="AQ36" s="4"/>
      <c r="AR36" s="176">
        <f t="shared" si="17"/>
        <v>2.7300809515667086</v>
      </c>
      <c r="AS36" s="176"/>
      <c r="AT36" s="175">
        <f t="shared" si="3"/>
        <v>408.43514767883943</v>
      </c>
      <c r="AU36" s="4"/>
      <c r="AV36" s="175">
        <f t="shared" si="4"/>
        <v>1364.0885357531963</v>
      </c>
      <c r="AW36" s="318"/>
      <c r="AX36" s="177">
        <f t="shared" si="8"/>
        <v>1772.5236834320358</v>
      </c>
      <c r="AZ36" s="168">
        <f>+IF(AZ35&gt;$G$13+$G$14,XX,AZ35+1)</f>
        <v>2017</v>
      </c>
      <c r="BA36" s="138"/>
      <c r="BB36" s="176">
        <f t="shared" si="18"/>
        <v>76.351604479614579</v>
      </c>
      <c r="BC36" s="4"/>
      <c r="BD36" s="176">
        <f t="shared" si="19"/>
        <v>5.0275472034086208</v>
      </c>
      <c r="BE36" s="4"/>
      <c r="BF36" s="175">
        <f t="shared" si="9"/>
        <v>168.39621747813845</v>
      </c>
      <c r="BG36" s="4"/>
      <c r="BH36" s="179"/>
    </row>
    <row r="37" spans="2:60" ht="12">
      <c r="B37" s="3"/>
      <c r="C37" s="7">
        <f>+IF(C36&gt;$G$13+$G$14,XX,C36+1)</f>
        <v>2018</v>
      </c>
      <c r="D37" s="7"/>
      <c r="E37" s="311">
        <f>+INDEX('(2.2)_Forward_Price_Curve'!$L:$L,MATCH($C37,'(2.2)_Forward_Price_Curve'!C:C,0))</f>
        <v>0.02</v>
      </c>
      <c r="F37" s="7"/>
      <c r="G37" s="23">
        <f t="shared" si="10"/>
        <v>17202</v>
      </c>
      <c r="H37" s="7"/>
      <c r="I37" s="30">
        <f t="shared" si="11"/>
        <v>207.65769517843623</v>
      </c>
      <c r="J37" s="7"/>
      <c r="K37" s="30">
        <f t="shared" si="12"/>
        <v>0</v>
      </c>
      <c r="L37" s="7"/>
      <c r="M37" s="30">
        <f t="shared" si="13"/>
        <v>0</v>
      </c>
      <c r="N37" s="7"/>
      <c r="O37" s="314"/>
      <c r="P37" s="7"/>
      <c r="Q37" s="30"/>
      <c r="R37" s="7"/>
      <c r="S37" s="23">
        <f t="shared" si="5"/>
        <v>872.16231974943219</v>
      </c>
      <c r="T37" s="7"/>
      <c r="U37" s="23">
        <f t="shared" si="0"/>
        <v>1990.7824698026425</v>
      </c>
      <c r="V37" s="7"/>
      <c r="W37" s="23">
        <f t="shared" si="1"/>
        <v>-1118.6201500532102</v>
      </c>
      <c r="X37" s="7"/>
      <c r="Y37" s="315">
        <f t="shared" si="6"/>
        <v>-65.028493782886301</v>
      </c>
      <c r="Z37" s="271"/>
      <c r="AB37" s="168">
        <f>+IF(AB36&gt;$G$13+$G$14,XX,AB36+1)</f>
        <v>2018</v>
      </c>
      <c r="AC37" s="138"/>
      <c r="AD37" s="173">
        <f t="shared" si="2"/>
        <v>17202</v>
      </c>
      <c r="AE37" s="4"/>
      <c r="AF37" s="176">
        <f t="shared" si="14"/>
        <v>121.99797774438751</v>
      </c>
      <c r="AG37" s="4"/>
      <c r="AH37" s="176">
        <f t="shared" si="15"/>
        <v>9.1687654728051804</v>
      </c>
      <c r="AI37" s="4"/>
      <c r="AJ37" s="176">
        <f t="shared" si="16"/>
        <v>3.4516552785925878</v>
      </c>
      <c r="AK37" s="4"/>
      <c r="AL37" s="175">
        <f t="shared" si="7"/>
        <v>588.36799246011753</v>
      </c>
      <c r="AM37" s="4"/>
      <c r="AN37" s="176">
        <f>INDEX('(2.2)_Forward_Price_Curve'!$J:$J,MATCH($AB37,'(2.2)_Forward_Price_Curve'!$C:$C,0),1)</f>
        <v>11.30625</v>
      </c>
      <c r="AO37" s="4"/>
      <c r="AP37" s="176">
        <f t="shared" si="20"/>
        <v>88.72668931466103</v>
      </c>
      <c r="AQ37" s="4"/>
      <c r="AR37" s="176">
        <f t="shared" si="17"/>
        <v>2.7846825705980427</v>
      </c>
      <c r="AS37" s="176"/>
      <c r="AT37" s="175">
        <f t="shared" si="3"/>
        <v>416.60385063241631</v>
      </c>
      <c r="AU37" s="4"/>
      <c r="AV37" s="175">
        <f t="shared" si="4"/>
        <v>1574.1786191702263</v>
      </c>
      <c r="AW37" s="318"/>
      <c r="AX37" s="177">
        <f t="shared" si="8"/>
        <v>1990.7824698026425</v>
      </c>
      <c r="AZ37" s="168">
        <f>+IF(AZ36&gt;$G$13+$G$14,XX,AZ36+1)</f>
        <v>2018</v>
      </c>
      <c r="BA37" s="138"/>
      <c r="BB37" s="176">
        <f t="shared" si="18"/>
        <v>77.878636569206876</v>
      </c>
      <c r="BC37" s="4"/>
      <c r="BD37" s="176">
        <f t="shared" si="19"/>
        <v>5.128098147476793</v>
      </c>
      <c r="BE37" s="4"/>
      <c r="BF37" s="175">
        <f t="shared" si="9"/>
        <v>171.76414182770122</v>
      </c>
      <c r="BG37" s="4"/>
      <c r="BH37" s="179"/>
    </row>
    <row r="38" spans="2:60" ht="12">
      <c r="B38" s="3"/>
      <c r="C38" s="7">
        <f>+IF(C37&gt;$G$13+$G$14,XX,C37+1)</f>
        <v>2019</v>
      </c>
      <c r="D38" s="7"/>
      <c r="E38" s="311">
        <f>+INDEX('(2.2)_Forward_Price_Curve'!$L:$L,MATCH($C38,'(2.2)_Forward_Price_Curve'!C:C,0))</f>
        <v>0.02</v>
      </c>
      <c r="F38" s="7"/>
      <c r="G38" s="23">
        <f t="shared" si="10"/>
        <v>17202</v>
      </c>
      <c r="H38" s="7"/>
      <c r="I38" s="30">
        <f t="shared" si="11"/>
        <v>211.81084908200495</v>
      </c>
      <c r="J38" s="7"/>
      <c r="K38" s="30">
        <f t="shared" si="12"/>
        <v>0</v>
      </c>
      <c r="L38" s="7"/>
      <c r="M38" s="30">
        <f t="shared" si="13"/>
        <v>0</v>
      </c>
      <c r="N38" s="7"/>
      <c r="O38" s="314"/>
      <c r="P38" s="7"/>
      <c r="Q38" s="30"/>
      <c r="R38" s="7"/>
      <c r="S38" s="23">
        <f t="shared" si="5"/>
        <v>889.60556614442078</v>
      </c>
      <c r="T38" s="7"/>
      <c r="U38" s="23">
        <f t="shared" si="0"/>
        <v>2056.104482900746</v>
      </c>
      <c r="V38" s="7"/>
      <c r="W38" s="23">
        <f t="shared" si="1"/>
        <v>-1166.4989167563253</v>
      </c>
      <c r="X38" s="7"/>
      <c r="Y38" s="315">
        <f t="shared" si="6"/>
        <v>-67.811819367301794</v>
      </c>
      <c r="Z38" s="271"/>
      <c r="AB38" s="168">
        <f>+IF(AB37&gt;$G$13+$G$14,XX,AB37+1)</f>
        <v>2019</v>
      </c>
      <c r="AC38" s="138"/>
      <c r="AD38" s="173">
        <f t="shared" si="2"/>
        <v>17202</v>
      </c>
      <c r="AE38" s="4"/>
      <c r="AF38" s="176">
        <f t="shared" si="14"/>
        <v>124.43793729927526</v>
      </c>
      <c r="AG38" s="4"/>
      <c r="AH38" s="176">
        <f t="shared" si="15"/>
        <v>9.3521407822612836</v>
      </c>
      <c r="AI38" s="4"/>
      <c r="AJ38" s="176">
        <f t="shared" si="16"/>
        <v>3.5206883841644396</v>
      </c>
      <c r="AK38" s="4"/>
      <c r="AL38" s="175">
        <f t="shared" si="7"/>
        <v>600.13535230931973</v>
      </c>
      <c r="AM38" s="4"/>
      <c r="AN38" s="176">
        <f>INDEX('(2.2)_Forward_Price_Curve'!$J:$J,MATCH($AB38,'(2.2)_Forward_Price_Curve'!$C:$C,0),1)</f>
        <v>11.752083333333331</v>
      </c>
      <c r="AO38" s="4"/>
      <c r="AP38" s="176">
        <f t="shared" si="20"/>
        <v>91.983978809711985</v>
      </c>
      <c r="AQ38" s="4"/>
      <c r="AR38" s="176">
        <f t="shared" si="17"/>
        <v>2.8403762220100037</v>
      </c>
      <c r="AS38" s="176"/>
      <c r="AT38" s="175">
        <f t="shared" si="3"/>
        <v>424.93592764506445</v>
      </c>
      <c r="AU38" s="4"/>
      <c r="AV38" s="175">
        <f t="shared" si="4"/>
        <v>1631.1685552556817</v>
      </c>
      <c r="AW38" s="318"/>
      <c r="AX38" s="177">
        <f t="shared" si="8"/>
        <v>2056.104482900746</v>
      </c>
      <c r="AZ38" s="168">
        <f>+IF(AZ37&gt;$G$13+$G$14,XX,AZ37+1)</f>
        <v>2019</v>
      </c>
      <c r="BA38" s="138"/>
      <c r="BB38" s="176">
        <f t="shared" si="18"/>
        <v>79.436209300591017</v>
      </c>
      <c r="BC38" s="4"/>
      <c r="BD38" s="176">
        <f t="shared" si="19"/>
        <v>5.2306601104263288</v>
      </c>
      <c r="BE38" s="4"/>
      <c r="BF38" s="175">
        <f t="shared" si="9"/>
        <v>175.19942466425528</v>
      </c>
      <c r="BG38" s="4"/>
      <c r="BH38" s="179"/>
    </row>
    <row r="39" spans="2:60" ht="12">
      <c r="B39" s="3"/>
      <c r="C39" s="7">
        <f>+IF(C38&gt;$G$13+$G$14,XX,C38+1)</f>
        <v>2020</v>
      </c>
      <c r="D39" s="7"/>
      <c r="E39" s="311">
        <f>+INDEX('(2.2)_Forward_Price_Curve'!$L:$L,MATCH($C39,'(2.2)_Forward_Price_Curve'!C:C,0))</f>
        <v>0.02</v>
      </c>
      <c r="F39" s="7"/>
      <c r="G39" s="23">
        <f t="shared" si="10"/>
        <v>17202</v>
      </c>
      <c r="H39" s="7"/>
      <c r="I39" s="30">
        <f t="shared" si="11"/>
        <v>216.04706606364505</v>
      </c>
      <c r="J39" s="7"/>
      <c r="K39" s="30">
        <f t="shared" si="12"/>
        <v>0</v>
      </c>
      <c r="L39" s="7"/>
      <c r="M39" s="30">
        <f t="shared" si="13"/>
        <v>0</v>
      </c>
      <c r="N39" s="7"/>
      <c r="O39" s="314"/>
      <c r="P39" s="7"/>
      <c r="Q39" s="30"/>
      <c r="R39" s="7"/>
      <c r="S39" s="23">
        <f t="shared" si="5"/>
        <v>907.39767746730922</v>
      </c>
      <c r="T39" s="7"/>
      <c r="U39" s="23">
        <f t="shared" si="0"/>
        <v>2030.5997454973831</v>
      </c>
      <c r="V39" s="7"/>
      <c r="W39" s="23">
        <f t="shared" si="1"/>
        <v>-1123.2020680300739</v>
      </c>
      <c r="X39" s="7"/>
      <c r="Y39" s="315">
        <f t="shared" si="6"/>
        <v>-65.294853390889074</v>
      </c>
      <c r="Z39" s="271"/>
      <c r="AB39" s="168">
        <f>+IF(AB38&gt;$G$13+$G$14,XX,AB38+1)</f>
        <v>2020</v>
      </c>
      <c r="AC39" s="138"/>
      <c r="AD39" s="173">
        <f t="shared" si="2"/>
        <v>17202</v>
      </c>
      <c r="AE39" s="4"/>
      <c r="AF39" s="176">
        <f t="shared" si="14"/>
        <v>126.92669604526077</v>
      </c>
      <c r="AG39" s="4"/>
      <c r="AH39" s="176">
        <f t="shared" si="15"/>
        <v>9.5391835979065096</v>
      </c>
      <c r="AI39" s="4"/>
      <c r="AJ39" s="176">
        <f t="shared" si="16"/>
        <v>3.5911021518477284</v>
      </c>
      <c r="AK39" s="4"/>
      <c r="AL39" s="175">
        <f t="shared" si="7"/>
        <v>612.13805935550624</v>
      </c>
      <c r="AM39" s="4"/>
      <c r="AN39" s="176">
        <f>INDEX('(2.2)_Forward_Price_Curve'!$J:$J,MATCH($AB39,'(2.2)_Forward_Price_Curve'!$C:$C,0),1)</f>
        <v>11.473750000000003</v>
      </c>
      <c r="AO39" s="4"/>
      <c r="AP39" s="176">
        <f t="shared" si="20"/>
        <v>89.950456022147478</v>
      </c>
      <c r="AQ39" s="4"/>
      <c r="AR39" s="176">
        <f t="shared" si="17"/>
        <v>2.8971837464502039</v>
      </c>
      <c r="AS39" s="176"/>
      <c r="AT39" s="175">
        <f t="shared" si="3"/>
        <v>433.43464619796589</v>
      </c>
      <c r="AU39" s="4"/>
      <c r="AV39" s="175">
        <f t="shared" si="4"/>
        <v>1597.1650992994173</v>
      </c>
      <c r="AW39" s="318"/>
      <c r="AX39" s="177">
        <f t="shared" si="8"/>
        <v>2030.5997454973831</v>
      </c>
      <c r="AZ39" s="168">
        <f>+IF(AZ38&gt;$G$13+$G$14,XX,AZ38+1)</f>
        <v>2020</v>
      </c>
      <c r="BA39" s="138"/>
      <c r="BB39" s="176">
        <f t="shared" si="18"/>
        <v>81.024933486602833</v>
      </c>
      <c r="BC39" s="4"/>
      <c r="BD39" s="176">
        <f t="shared" si="19"/>
        <v>5.3352733126348557</v>
      </c>
      <c r="BE39" s="4"/>
      <c r="BF39" s="175">
        <f t="shared" si="9"/>
        <v>178.70341315754035</v>
      </c>
      <c r="BG39" s="4"/>
      <c r="BH39" s="179"/>
    </row>
    <row r="40" spans="2:60" ht="12">
      <c r="B40" s="3"/>
      <c r="C40" s="7">
        <f>+IF(C39&gt;$G$13+$G$14,XX,C39+1)</f>
        <v>2021</v>
      </c>
      <c r="D40" s="7"/>
      <c r="E40" s="311">
        <f>+INDEX('(2.2)_Forward_Price_Curve'!$L:$L,MATCH($C40,'(2.2)_Forward_Price_Curve'!C:C,0))</f>
        <v>1.9E-2</v>
      </c>
      <c r="F40" s="7"/>
      <c r="G40" s="23">
        <f t="shared" si="10"/>
        <v>17202</v>
      </c>
      <c r="H40" s="7"/>
      <c r="I40" s="30">
        <f t="shared" si="11"/>
        <v>220.15196031885429</v>
      </c>
      <c r="J40" s="7"/>
      <c r="K40" s="30">
        <f t="shared" si="12"/>
        <v>0</v>
      </c>
      <c r="L40" s="7"/>
      <c r="M40" s="30">
        <f t="shared" si="13"/>
        <v>0</v>
      </c>
      <c r="N40" s="7"/>
      <c r="O40" s="314"/>
      <c r="P40" s="7"/>
      <c r="Q40" s="30"/>
      <c r="R40" s="7"/>
      <c r="S40" s="23">
        <f t="shared" si="5"/>
        <v>924.6382333391881</v>
      </c>
      <c r="T40" s="7"/>
      <c r="U40" s="23">
        <f t="shared" si="0"/>
        <v>2067.1185785558127</v>
      </c>
      <c r="V40" s="7"/>
      <c r="W40" s="23">
        <f t="shared" si="1"/>
        <v>-1142.4803452166248</v>
      </c>
      <c r="X40" s="7"/>
      <c r="Y40" s="315">
        <f t="shared" si="6"/>
        <v>-66.415553145949573</v>
      </c>
      <c r="Z40" s="271"/>
      <c r="AB40" s="168">
        <f>+IF(AB39&gt;$G$13+$G$14,XX,AB39+1)</f>
        <v>2021</v>
      </c>
      <c r="AC40" s="138"/>
      <c r="AD40" s="173">
        <f t="shared" si="2"/>
        <v>17202</v>
      </c>
      <c r="AE40" s="4"/>
      <c r="AF40" s="176">
        <f t="shared" si="14"/>
        <v>129.33830327012072</v>
      </c>
      <c r="AG40" s="4"/>
      <c r="AH40" s="176">
        <f t="shared" si="15"/>
        <v>9.7204280862667325</v>
      </c>
      <c r="AI40" s="4"/>
      <c r="AJ40" s="176">
        <f t="shared" si="16"/>
        <v>3.6593330927328349</v>
      </c>
      <c r="AK40" s="4"/>
      <c r="AL40" s="175">
        <f t="shared" si="7"/>
        <v>623.76868248326082</v>
      </c>
      <c r="AM40" s="4"/>
      <c r="AN40" s="176">
        <f>INDEX('(2.2)_Forward_Price_Curve'!$J:$J,MATCH($AB40,'(2.2)_Forward_Price_Curve'!$C:$C,0),1)</f>
        <v>11.692083333333334</v>
      </c>
      <c r="AO40" s="4"/>
      <c r="AP40" s="176">
        <f t="shared" si="20"/>
        <v>91.539612227201872</v>
      </c>
      <c r="AQ40" s="4"/>
      <c r="AR40" s="176">
        <f t="shared" si="17"/>
        <v>2.9522302376327576</v>
      </c>
      <c r="AS40" s="176"/>
      <c r="AT40" s="175">
        <f t="shared" si="3"/>
        <v>441.66990447572721</v>
      </c>
      <c r="AU40" s="4"/>
      <c r="AV40" s="175">
        <f t="shared" si="4"/>
        <v>1625.4486740800855</v>
      </c>
      <c r="AW40" s="318"/>
      <c r="AX40" s="177">
        <f t="shared" si="8"/>
        <v>2067.1185785558127</v>
      </c>
      <c r="AZ40" s="168">
        <f>+IF(AZ39&gt;$G$13+$G$14,XX,AZ39+1)</f>
        <v>2021</v>
      </c>
      <c r="BA40" s="138"/>
      <c r="BB40" s="176">
        <f t="shared" si="18"/>
        <v>82.564407222848274</v>
      </c>
      <c r="BC40" s="4"/>
      <c r="BD40" s="176">
        <f t="shared" si="19"/>
        <v>5.4366435055749172</v>
      </c>
      <c r="BE40" s="4"/>
      <c r="BF40" s="175">
        <f t="shared" si="9"/>
        <v>182.09877800753361</v>
      </c>
      <c r="BG40" s="4"/>
      <c r="BH40" s="179"/>
    </row>
    <row r="41" spans="2:60" ht="12">
      <c r="B41" s="3"/>
      <c r="C41" s="7">
        <f>+IF(C40&gt;$G$13+$G$14,XX,C40+1)</f>
        <v>2022</v>
      </c>
      <c r="D41" s="7"/>
      <c r="E41" s="311">
        <f>+INDEX('(2.2)_Forward_Price_Curve'!$L:$L,MATCH($C41,'(2.2)_Forward_Price_Curve'!C:C,0))</f>
        <v>1.9E-2</v>
      </c>
      <c r="F41" s="7"/>
      <c r="G41" s="23">
        <f t="shared" si="10"/>
        <v>17202</v>
      </c>
      <c r="H41" s="7"/>
      <c r="I41" s="30">
        <f t="shared" si="11"/>
        <v>224.33484756491251</v>
      </c>
      <c r="J41" s="7"/>
      <c r="K41" s="30">
        <f t="shared" si="12"/>
        <v>0</v>
      </c>
      <c r="L41" s="7"/>
      <c r="M41" s="30">
        <f t="shared" si="13"/>
        <v>0</v>
      </c>
      <c r="N41" s="7"/>
      <c r="O41" s="314"/>
      <c r="P41" s="7"/>
      <c r="Q41" s="30"/>
      <c r="R41" s="7"/>
      <c r="S41" s="23">
        <f t="shared" si="5"/>
        <v>942.2063597726326</v>
      </c>
      <c r="T41" s="7"/>
      <c r="U41" s="23">
        <f t="shared" si="0"/>
        <v>2104.2293234343142</v>
      </c>
      <c r="V41" s="7"/>
      <c r="W41" s="23">
        <f t="shared" si="1"/>
        <v>-1162.0229636616816</v>
      </c>
      <c r="X41" s="7"/>
      <c r="Y41" s="315">
        <f t="shared" si="6"/>
        <v>-67.551619791982418</v>
      </c>
      <c r="Z41" s="271"/>
      <c r="AB41" s="168">
        <f>+IF(AB40&gt;$G$13+$G$14,XX,AB40+1)</f>
        <v>2022</v>
      </c>
      <c r="AC41" s="138"/>
      <c r="AD41" s="173">
        <f t="shared" si="2"/>
        <v>17202</v>
      </c>
      <c r="AE41" s="4"/>
      <c r="AF41" s="176">
        <f t="shared" si="14"/>
        <v>131.795731032253</v>
      </c>
      <c r="AG41" s="4"/>
      <c r="AH41" s="176">
        <f t="shared" si="15"/>
        <v>9.9051162199057998</v>
      </c>
      <c r="AI41" s="4"/>
      <c r="AJ41" s="176">
        <f t="shared" si="16"/>
        <v>3.7288604214947583</v>
      </c>
      <c r="AK41" s="4"/>
      <c r="AL41" s="175">
        <f t="shared" si="7"/>
        <v>635.62028745044279</v>
      </c>
      <c r="AM41" s="4"/>
      <c r="AN41" s="176">
        <f>INDEX('(2.2)_Forward_Price_Curve'!$J:$J,MATCH($AB41,'(2.2)_Forward_Price_Curve'!$C:$C,0),1)</f>
        <v>11.912916666666668</v>
      </c>
      <c r="AO41" s="4"/>
      <c r="AP41" s="176">
        <f t="shared" si="20"/>
        <v>93.153035995778509</v>
      </c>
      <c r="AQ41" s="4"/>
      <c r="AR41" s="176">
        <f t="shared" si="17"/>
        <v>3.0083226121477797</v>
      </c>
      <c r="AS41" s="176"/>
      <c r="AT41" s="175">
        <f t="shared" si="3"/>
        <v>450.06163266076607</v>
      </c>
      <c r="AU41" s="4"/>
      <c r="AV41" s="175">
        <f t="shared" si="4"/>
        <v>1654.1676907735482</v>
      </c>
      <c r="AW41" s="318"/>
      <c r="AX41" s="177">
        <f t="shared" si="8"/>
        <v>2104.2293234343142</v>
      </c>
      <c r="AZ41" s="168">
        <f>+IF(AZ40&gt;$G$13+$G$14,XX,AZ40+1)</f>
        <v>2022</v>
      </c>
      <c r="BA41" s="138"/>
      <c r="BB41" s="176">
        <f t="shared" si="18"/>
        <v>84.133130960082383</v>
      </c>
      <c r="BC41" s="4"/>
      <c r="BD41" s="176">
        <f t="shared" si="19"/>
        <v>5.5399397321808399</v>
      </c>
      <c r="BE41" s="4"/>
      <c r="BF41" s="175">
        <f t="shared" si="9"/>
        <v>185.55865478967672</v>
      </c>
      <c r="BG41" s="4"/>
      <c r="BH41" s="179"/>
    </row>
    <row r="42" spans="2:60" ht="12">
      <c r="B42" s="3"/>
      <c r="C42" s="7">
        <f>+IF(C41&gt;$G$13+$G$14,XX,C41+1)</f>
        <v>2023</v>
      </c>
      <c r="D42" s="7"/>
      <c r="E42" s="311">
        <f>+INDEX('(2.2)_Forward_Price_Curve'!$L:$L,MATCH($C42,'(2.2)_Forward_Price_Curve'!C:C,0))</f>
        <v>1.9E-2</v>
      </c>
      <c r="F42" s="7"/>
      <c r="G42" s="23">
        <f t="shared" si="10"/>
        <v>17202</v>
      </c>
      <c r="H42" s="7"/>
      <c r="I42" s="30">
        <f t="shared" si="11"/>
        <v>228.59720966864583</v>
      </c>
      <c r="J42" s="7"/>
      <c r="K42" s="30">
        <f t="shared" si="12"/>
        <v>0</v>
      </c>
      <c r="L42" s="7"/>
      <c r="M42" s="30">
        <f t="shared" si="13"/>
        <v>0</v>
      </c>
      <c r="N42" s="7"/>
      <c r="O42" s="314"/>
      <c r="P42" s="7"/>
      <c r="Q42" s="30"/>
      <c r="R42" s="7"/>
      <c r="S42" s="23">
        <f t="shared" si="5"/>
        <v>960.1082806083125</v>
      </c>
      <c r="T42" s="7"/>
      <c r="U42" s="23">
        <f t="shared" si="0"/>
        <v>2142.1986055955158</v>
      </c>
      <c r="V42" s="7"/>
      <c r="W42" s="23">
        <f t="shared" si="1"/>
        <v>-1182.0903249872033</v>
      </c>
      <c r="X42" s="7"/>
      <c r="Y42" s="315">
        <f t="shared" si="6"/>
        <v>-68.718191197953928</v>
      </c>
      <c r="Z42" s="271"/>
      <c r="AB42" s="168">
        <f>+IF(AB41&gt;$G$13+$G$14,XX,AB41+1)</f>
        <v>2023</v>
      </c>
      <c r="AC42" s="138"/>
      <c r="AD42" s="173">
        <f t="shared" si="2"/>
        <v>17202</v>
      </c>
      <c r="AE42" s="4"/>
      <c r="AF42" s="176">
        <f t="shared" si="14"/>
        <v>134.29984992186579</v>
      </c>
      <c r="AG42" s="4"/>
      <c r="AH42" s="176">
        <f t="shared" si="15"/>
        <v>10.093313428084009</v>
      </c>
      <c r="AI42" s="4"/>
      <c r="AJ42" s="176">
        <f t="shared" si="16"/>
        <v>3.7997087695031584</v>
      </c>
      <c r="AK42" s="4"/>
      <c r="AL42" s="175">
        <f t="shared" si="7"/>
        <v>647.69707291200098</v>
      </c>
      <c r="AM42" s="4"/>
      <c r="AN42" s="176">
        <f>INDEX('(2.2)_Forward_Price_Curve'!$J:$J,MATCH($AB42,'(2.2)_Forward_Price_Curve'!$C:$C,0),1)</f>
        <v>12.139166666666668</v>
      </c>
      <c r="AO42" s="4"/>
      <c r="AP42" s="176">
        <f t="shared" si="20"/>
        <v>94.806034309622149</v>
      </c>
      <c r="AQ42" s="4"/>
      <c r="AR42" s="176">
        <f t="shared" si="17"/>
        <v>3.0654807417785874</v>
      </c>
      <c r="AS42" s="176"/>
      <c r="AT42" s="175">
        <f t="shared" si="3"/>
        <v>458.61280368132043</v>
      </c>
      <c r="AU42" s="4"/>
      <c r="AV42" s="175">
        <f t="shared" si="4"/>
        <v>1683.5858019141956</v>
      </c>
      <c r="AW42" s="318"/>
      <c r="AX42" s="177">
        <f t="shared" si="8"/>
        <v>2142.1986055955158</v>
      </c>
      <c r="AZ42" s="168">
        <f>+IF(AZ41&gt;$G$13+$G$14,XX,AZ41+1)</f>
        <v>2023</v>
      </c>
      <c r="BA42" s="138"/>
      <c r="BB42" s="176">
        <f t="shared" si="18"/>
        <v>85.731660448323936</v>
      </c>
      <c r="BC42" s="4"/>
      <c r="BD42" s="176">
        <f t="shared" si="19"/>
        <v>5.645198587092275</v>
      </c>
      <c r="BE42" s="4"/>
      <c r="BF42" s="175">
        <f t="shared" si="9"/>
        <v>189.08426923068058</v>
      </c>
      <c r="BG42" s="4"/>
      <c r="BH42" s="179"/>
    </row>
    <row r="43" spans="2:60" ht="12">
      <c r="B43" s="3"/>
      <c r="C43" s="7">
        <f>+IF(C42&gt;$G$13+$G$14,XX,C42+1)</f>
        <v>2024</v>
      </c>
      <c r="D43" s="7"/>
      <c r="E43" s="311">
        <f>+INDEX('(2.2)_Forward_Price_Curve'!$L:$L,MATCH($C43,'(2.2)_Forward_Price_Curve'!C:C,0))</f>
        <v>1.9E-2</v>
      </c>
      <c r="F43" s="7"/>
      <c r="G43" s="23">
        <f t="shared" si="10"/>
        <v>17202</v>
      </c>
      <c r="H43" s="7"/>
      <c r="I43" s="30">
        <f t="shared" si="11"/>
        <v>232.94055665235007</v>
      </c>
      <c r="J43" s="7"/>
      <c r="K43" s="30">
        <f t="shared" si="12"/>
        <v>0</v>
      </c>
      <c r="L43" s="7"/>
      <c r="M43" s="30">
        <f t="shared" si="13"/>
        <v>0</v>
      </c>
      <c r="N43" s="7"/>
      <c r="O43" s="314"/>
      <c r="P43" s="7"/>
      <c r="Q43" s="30"/>
      <c r="R43" s="7"/>
      <c r="S43" s="23">
        <f t="shared" si="5"/>
        <v>978.35033793987031</v>
      </c>
      <c r="T43" s="7"/>
      <c r="U43" s="23">
        <f t="shared" si="0"/>
        <v>2181.0821690385392</v>
      </c>
      <c r="V43" s="7"/>
      <c r="W43" s="23">
        <f t="shared" si="1"/>
        <v>-1202.7318310986689</v>
      </c>
      <c r="X43" s="7"/>
      <c r="Y43" s="315">
        <f t="shared" si="6"/>
        <v>-69.918139233732646</v>
      </c>
      <c r="Z43" s="271"/>
      <c r="AB43" s="168">
        <f>+IF(AB42&gt;$G$13+$G$14,XX,AB42+1)</f>
        <v>2024</v>
      </c>
      <c r="AC43" s="138"/>
      <c r="AD43" s="173">
        <f t="shared" si="2"/>
        <v>17202</v>
      </c>
      <c r="AE43" s="4"/>
      <c r="AF43" s="176">
        <f t="shared" si="14"/>
        <v>136.85154707038123</v>
      </c>
      <c r="AG43" s="4"/>
      <c r="AH43" s="176">
        <f t="shared" si="15"/>
        <v>10.285086383217605</v>
      </c>
      <c r="AI43" s="4"/>
      <c r="AJ43" s="176">
        <f t="shared" si="16"/>
        <v>3.871903236123718</v>
      </c>
      <c r="AK43" s="4"/>
      <c r="AL43" s="175">
        <f t="shared" si="7"/>
        <v>660.00331729732909</v>
      </c>
      <c r="AM43" s="4"/>
      <c r="AN43" s="176">
        <f>INDEX('(2.2)_Forward_Price_Curve'!$J:$J,MATCH($AB43,'(2.2)_Forward_Price_Curve'!$C:$C,0),1)</f>
        <v>12.371250000000002</v>
      </c>
      <c r="AO43" s="4"/>
      <c r="AP43" s="176">
        <f t="shared" si="20"/>
        <v>96.50165136452253</v>
      </c>
      <c r="AQ43" s="4"/>
      <c r="AR43" s="176">
        <f t="shared" si="17"/>
        <v>3.1237248758723801</v>
      </c>
      <c r="AS43" s="176"/>
      <c r="AT43" s="175">
        <f t="shared" si="3"/>
        <v>467.32644695126567</v>
      </c>
      <c r="AU43" s="4"/>
      <c r="AV43" s="175">
        <f t="shared" si="4"/>
        <v>1713.7557220872734</v>
      </c>
      <c r="AW43" s="318"/>
      <c r="AX43" s="177">
        <f t="shared" si="8"/>
        <v>2181.0821690385392</v>
      </c>
      <c r="AZ43" s="168">
        <f>+IF(AZ42&gt;$G$13+$G$14,XX,AZ42+1)</f>
        <v>2024</v>
      </c>
      <c r="BA43" s="138"/>
      <c r="BB43" s="176">
        <f t="shared" si="18"/>
        <v>87.36056199684208</v>
      </c>
      <c r="BC43" s="4"/>
      <c r="BD43" s="176">
        <f t="shared" si="19"/>
        <v>5.7524573602470275</v>
      </c>
      <c r="BE43" s="4"/>
      <c r="BF43" s="175">
        <f t="shared" si="9"/>
        <v>192.67687034606345</v>
      </c>
      <c r="BG43" s="4"/>
      <c r="BH43" s="179"/>
    </row>
    <row r="44" spans="2:60" ht="12">
      <c r="B44" s="3"/>
      <c r="C44" s="7">
        <f>+IF(C43&gt;$G$13+$G$14,XX,C43+1)</f>
        <v>2025</v>
      </c>
      <c r="D44" s="7"/>
      <c r="E44" s="311">
        <f>+INDEX('(2.2)_Forward_Price_Curve'!$L:$L,MATCH($C44,'(2.2)_Forward_Price_Curve'!C:C,0))</f>
        <v>1.7999999999999999E-2</v>
      </c>
      <c r="F44" s="7"/>
      <c r="G44" s="23">
        <f t="shared" si="10"/>
        <v>17202</v>
      </c>
      <c r="H44" s="7"/>
      <c r="I44" s="30">
        <f t="shared" si="11"/>
        <v>237.13348667209237</v>
      </c>
      <c r="J44" s="7"/>
      <c r="K44" s="30">
        <f t="shared" si="12"/>
        <v>0</v>
      </c>
      <c r="L44" s="7"/>
      <c r="M44" s="30">
        <f t="shared" si="13"/>
        <v>0</v>
      </c>
      <c r="N44" s="7"/>
      <c r="O44" s="314"/>
      <c r="P44" s="7"/>
      <c r="Q44" s="30"/>
      <c r="R44" s="7"/>
      <c r="S44" s="23">
        <f t="shared" si="5"/>
        <v>995.96064402278796</v>
      </c>
      <c r="T44" s="7"/>
      <c r="U44" s="23">
        <f t="shared" si="0"/>
        <v>2218.2168578464775</v>
      </c>
      <c r="V44" s="7"/>
      <c r="W44" s="23">
        <f t="shared" si="1"/>
        <v>-1222.2562138236894</v>
      </c>
      <c r="X44" s="7"/>
      <c r="Y44" s="315">
        <f t="shared" si="6"/>
        <v>-71.053145786750918</v>
      </c>
      <c r="Z44" s="271"/>
      <c r="AB44" s="168">
        <f>+IF(AB43&gt;$G$13+$G$14,XX,AB43+1)</f>
        <v>2025</v>
      </c>
      <c r="AC44" s="138"/>
      <c r="AD44" s="173">
        <f t="shared" si="2"/>
        <v>17202</v>
      </c>
      <c r="AE44" s="4"/>
      <c r="AF44" s="176">
        <f t="shared" si="14"/>
        <v>139.3148749176481</v>
      </c>
      <c r="AG44" s="4"/>
      <c r="AH44" s="176">
        <f t="shared" si="15"/>
        <v>10.470217938115521</v>
      </c>
      <c r="AI44" s="4"/>
      <c r="AJ44" s="176">
        <f t="shared" si="16"/>
        <v>3.9415974943739451</v>
      </c>
      <c r="AK44" s="4"/>
      <c r="AL44" s="175">
        <f t="shared" si="7"/>
        <v>671.88337700868101</v>
      </c>
      <c r="AM44" s="4"/>
      <c r="AN44" s="176">
        <f>INDEX('(2.2)_Forward_Price_Curve'!$J:$J,MATCH($AB44,'(2.2)_Forward_Price_Curve'!$C:$C,0),1)</f>
        <v>12.592916666666667</v>
      </c>
      <c r="AO44" s="4"/>
      <c r="AP44" s="176">
        <f t="shared" si="20"/>
        <v>98.11516113589505</v>
      </c>
      <c r="AQ44" s="4"/>
      <c r="AR44" s="176">
        <f t="shared" si="17"/>
        <v>3.1799519236380829</v>
      </c>
      <c r="AS44" s="176"/>
      <c r="AT44" s="175">
        <f t="shared" si="3"/>
        <v>475.73832299638843</v>
      </c>
      <c r="AU44" s="4"/>
      <c r="AV44" s="175">
        <f t="shared" si="4"/>
        <v>1742.4785348500891</v>
      </c>
      <c r="AW44" s="318"/>
      <c r="AX44" s="177">
        <f t="shared" si="8"/>
        <v>2218.2168578464775</v>
      </c>
      <c r="AZ44" s="168">
        <f>+IF(AZ43&gt;$G$13+$G$14,XX,AZ43+1)</f>
        <v>2025</v>
      </c>
      <c r="BA44" s="138"/>
      <c r="BB44" s="176">
        <f t="shared" si="18"/>
        <v>88.933052112785234</v>
      </c>
      <c r="BC44" s="4"/>
      <c r="BD44" s="176">
        <f t="shared" si="19"/>
        <v>5.8560015927314737</v>
      </c>
      <c r="BE44" s="4"/>
      <c r="BF44" s="175">
        <f t="shared" si="9"/>
        <v>196.1450540122926</v>
      </c>
      <c r="BG44" s="4"/>
      <c r="BH44" s="179"/>
    </row>
    <row r="45" spans="2:60" ht="12">
      <c r="B45" s="3"/>
      <c r="C45" s="7">
        <f>+IF(C44&gt;$G$13+$G$14,XX,C44+1)</f>
        <v>2026</v>
      </c>
      <c r="D45" s="7"/>
      <c r="E45" s="311">
        <f>+INDEX('(2.2)_Forward_Price_Curve'!$L:$L,MATCH($C45,'(2.2)_Forward_Price_Curve'!C:C,0))</f>
        <v>1.7999999999999999E-2</v>
      </c>
      <c r="F45" s="7"/>
      <c r="G45" s="23">
        <f t="shared" si="10"/>
        <v>17202</v>
      </c>
      <c r="H45" s="7"/>
      <c r="I45" s="30">
        <f t="shared" si="11"/>
        <v>241.40188943219005</v>
      </c>
      <c r="J45" s="7"/>
      <c r="K45" s="30">
        <f t="shared" si="12"/>
        <v>0</v>
      </c>
      <c r="L45" s="7"/>
      <c r="M45" s="30">
        <f t="shared" si="13"/>
        <v>0</v>
      </c>
      <c r="N45" s="7"/>
      <c r="O45" s="314"/>
      <c r="P45" s="7"/>
      <c r="Q45" s="30"/>
      <c r="R45" s="7"/>
      <c r="S45" s="23">
        <f t="shared" si="5"/>
        <v>1013.8879356151982</v>
      </c>
      <c r="T45" s="7"/>
      <c r="U45" s="23">
        <f t="shared" si="0"/>
        <v>2256.1996522489781</v>
      </c>
      <c r="V45" s="7"/>
      <c r="W45" s="23">
        <f t="shared" si="1"/>
        <v>-1242.3117166337797</v>
      </c>
      <c r="X45" s="7"/>
      <c r="Y45" s="315">
        <f t="shared" si="6"/>
        <v>-72.219027824309947</v>
      </c>
      <c r="Z45" s="271"/>
      <c r="AB45" s="168">
        <f>+IF(AB44&gt;$G$13+$G$14,XX,AB44+1)</f>
        <v>2026</v>
      </c>
      <c r="AC45" s="138"/>
      <c r="AD45" s="173">
        <f t="shared" si="2"/>
        <v>17202</v>
      </c>
      <c r="AE45" s="4"/>
      <c r="AF45" s="176">
        <f t="shared" si="14"/>
        <v>141.82254266616576</v>
      </c>
      <c r="AG45" s="4"/>
      <c r="AH45" s="176">
        <f t="shared" si="15"/>
        <v>10.6586818610016</v>
      </c>
      <c r="AI45" s="4"/>
      <c r="AJ45" s="176">
        <f t="shared" si="16"/>
        <v>4.0125462492726758</v>
      </c>
      <c r="AK45" s="4"/>
      <c r="AL45" s="175">
        <f t="shared" si="7"/>
        <v>683.97727779483716</v>
      </c>
      <c r="AM45" s="4"/>
      <c r="AN45" s="176">
        <f>INDEX('(2.2)_Forward_Price_Curve'!$J:$J,MATCH($AB45,'(2.2)_Forward_Price_Curve'!$C:$C,0),1)</f>
        <v>12.819166666666668</v>
      </c>
      <c r="AO45" s="4"/>
      <c r="AP45" s="176">
        <f t="shared" si="20"/>
        <v>99.768159449738704</v>
      </c>
      <c r="AQ45" s="4"/>
      <c r="AR45" s="176">
        <f t="shared" si="17"/>
        <v>3.2371910582635683</v>
      </c>
      <c r="AS45" s="176"/>
      <c r="AT45" s="175">
        <f t="shared" si="3"/>
        <v>484.30161281032332</v>
      </c>
      <c r="AU45" s="4"/>
      <c r="AV45" s="175">
        <f t="shared" si="4"/>
        <v>1771.8980394386549</v>
      </c>
      <c r="AW45" s="318"/>
      <c r="AX45" s="177">
        <f t="shared" si="8"/>
        <v>2256.1996522489781</v>
      </c>
      <c r="AZ45" s="168">
        <f>+IF(AZ44&gt;$G$13+$G$14,XX,AZ44+1)</f>
        <v>2026</v>
      </c>
      <c r="BA45" s="138"/>
      <c r="BB45" s="176">
        <f t="shared" si="18"/>
        <v>90.533847050815368</v>
      </c>
      <c r="BC45" s="4"/>
      <c r="BD45" s="176">
        <f t="shared" si="19"/>
        <v>5.96140962140064</v>
      </c>
      <c r="BE45" s="4"/>
      <c r="BF45" s="175">
        <f t="shared" si="9"/>
        <v>199.67566498451384</v>
      </c>
      <c r="BG45" s="4"/>
      <c r="BH45" s="179"/>
    </row>
    <row r="46" spans="2:60" ht="12">
      <c r="B46" s="3"/>
      <c r="C46" s="7">
        <f>+IF(C45&gt;$G$13+$G$14,XX,C45+1)</f>
        <v>2027</v>
      </c>
      <c r="D46" s="7"/>
      <c r="E46" s="311">
        <f>+INDEX('(2.2)_Forward_Price_Curve'!$L:$L,MATCH($C46,'(2.2)_Forward_Price_Curve'!C:C,0))</f>
        <v>1.9E-2</v>
      </c>
      <c r="F46" s="7"/>
      <c r="G46" s="23">
        <f t="shared" si="10"/>
        <v>17202</v>
      </c>
      <c r="H46" s="7"/>
      <c r="I46" s="30">
        <f t="shared" si="11"/>
        <v>245.98852533140163</v>
      </c>
      <c r="J46" s="7"/>
      <c r="K46" s="30">
        <f t="shared" si="12"/>
        <v>0</v>
      </c>
      <c r="L46" s="7"/>
      <c r="M46" s="30">
        <f t="shared" si="13"/>
        <v>0</v>
      </c>
      <c r="N46" s="7"/>
      <c r="O46" s="314"/>
      <c r="P46" s="7"/>
      <c r="Q46" s="30"/>
      <c r="R46" s="7"/>
      <c r="S46" s="23">
        <f t="shared" si="5"/>
        <v>1033.1518063918868</v>
      </c>
      <c r="T46" s="7"/>
      <c r="U46" s="23">
        <f t="shared" si="0"/>
        <v>2297.3016652929946</v>
      </c>
      <c r="V46" s="7"/>
      <c r="W46" s="23">
        <f t="shared" si="1"/>
        <v>-1264.1498589011078</v>
      </c>
      <c r="X46" s="7"/>
      <c r="Y46" s="315">
        <f t="shared" si="6"/>
        <v>-73.488539640803836</v>
      </c>
      <c r="Z46" s="271"/>
      <c r="AB46" s="168">
        <f>+IF(AB45&gt;$G$13+$G$14,XX,AB45+1)</f>
        <v>2027</v>
      </c>
      <c r="AC46" s="138"/>
      <c r="AD46" s="173">
        <f t="shared" si="2"/>
        <v>17202</v>
      </c>
      <c r="AE46" s="4"/>
      <c r="AF46" s="176">
        <f t="shared" si="14"/>
        <v>144.51717097682288</v>
      </c>
      <c r="AG46" s="4"/>
      <c r="AH46" s="176">
        <f t="shared" si="15"/>
        <v>10.86119681636063</v>
      </c>
      <c r="AI46" s="4"/>
      <c r="AJ46" s="176">
        <f t="shared" si="16"/>
        <v>4.088784628008856</v>
      </c>
      <c r="AK46" s="4"/>
      <c r="AL46" s="175">
        <f t="shared" si="7"/>
        <v>696.97284607293898</v>
      </c>
      <c r="AM46" s="4"/>
      <c r="AN46" s="176">
        <f>INDEX('(2.2)_Forward_Price_Curve'!$J:$J,MATCH($AB46,'(2.2)_Forward_Price_Curve'!$C:$C,0),1)</f>
        <v>13.063749999999999</v>
      </c>
      <c r="AO46" s="4"/>
      <c r="AP46" s="176">
        <f t="shared" si="20"/>
        <v>101.56110476711572</v>
      </c>
      <c r="AQ46" s="4"/>
      <c r="AR46" s="176">
        <f t="shared" si="17"/>
        <v>3.2986976883705759</v>
      </c>
      <c r="AS46" s="176"/>
      <c r="AT46" s="175">
        <f t="shared" si="3"/>
        <v>493.50334345371937</v>
      </c>
      <c r="AU46" s="4"/>
      <c r="AV46" s="175">
        <f t="shared" si="4"/>
        <v>1803.7983218392753</v>
      </c>
      <c r="AW46" s="318"/>
      <c r="AX46" s="177">
        <f t="shared" si="8"/>
        <v>2297.3016652929946</v>
      </c>
      <c r="AZ46" s="168">
        <f>+IF(AZ45&gt;$G$13+$G$14,XX,AZ45+1)</f>
        <v>2027</v>
      </c>
      <c r="BA46" s="138"/>
      <c r="BB46" s="176">
        <f t="shared" si="18"/>
        <v>92.253990144780857</v>
      </c>
      <c r="BC46" s="4"/>
      <c r="BD46" s="176">
        <f t="shared" si="19"/>
        <v>6.0746764042072519</v>
      </c>
      <c r="BE46" s="4"/>
      <c r="BF46" s="175">
        <f t="shared" si="9"/>
        <v>203.46950261921961</v>
      </c>
      <c r="BG46" s="4"/>
      <c r="BH46" s="179"/>
    </row>
    <row r="47" spans="2:60" ht="12">
      <c r="B47" s="3"/>
      <c r="C47" s="7">
        <f>+IF(C46&gt;$G$13+$G$14,XX,C46+1)</f>
        <v>2028</v>
      </c>
      <c r="D47" s="7"/>
      <c r="E47" s="311">
        <f>+INDEX('(2.2)_Forward_Price_Curve'!$L:$L,MATCH($C47,'(2.2)_Forward_Price_Curve'!C:C,0))</f>
        <v>1.9E-2</v>
      </c>
      <c r="F47" s="7"/>
      <c r="G47" s="23">
        <f t="shared" si="10"/>
        <v>17202</v>
      </c>
      <c r="H47" s="7"/>
      <c r="I47" s="30">
        <f t="shared" si="11"/>
        <v>250.66230731269823</v>
      </c>
      <c r="J47" s="7"/>
      <c r="K47" s="30">
        <f t="shared" si="12"/>
        <v>0</v>
      </c>
      <c r="L47" s="7"/>
      <c r="M47" s="30">
        <f t="shared" si="13"/>
        <v>0</v>
      </c>
      <c r="N47" s="7"/>
      <c r="O47" s="314"/>
      <c r="P47" s="7"/>
      <c r="Q47" s="30"/>
      <c r="R47" s="7"/>
      <c r="S47" s="23">
        <f t="shared" si="5"/>
        <v>1052.7816907133326</v>
      </c>
      <c r="T47" s="7"/>
      <c r="U47" s="23">
        <f t="shared" si="0"/>
        <v>2338.914290879155</v>
      </c>
      <c r="V47" s="7"/>
      <c r="W47" s="23">
        <f t="shared" si="1"/>
        <v>-1286.1326001658224</v>
      </c>
      <c r="X47" s="7"/>
      <c r="Y47" s="315">
        <f t="shared" si="6"/>
        <v>-74.766457398315453</v>
      </c>
      <c r="Z47" s="271"/>
      <c r="AB47" s="168">
        <f>+IF(AB46&gt;$G$13+$G$14,XX,AB46+1)</f>
        <v>2028</v>
      </c>
      <c r="AC47" s="138"/>
      <c r="AD47" s="173">
        <f t="shared" si="2"/>
        <v>17202</v>
      </c>
      <c r="AE47" s="4"/>
      <c r="AF47" s="176">
        <f t="shared" si="14"/>
        <v>147.26299722538249</v>
      </c>
      <c r="AG47" s="4"/>
      <c r="AH47" s="176">
        <f t="shared" si="15"/>
        <v>11.067559555871481</v>
      </c>
      <c r="AI47" s="4"/>
      <c r="AJ47" s="176">
        <f t="shared" si="16"/>
        <v>4.1664715359410236</v>
      </c>
      <c r="AK47" s="4"/>
      <c r="AL47" s="175">
        <f t="shared" si="7"/>
        <v>710.2153301483246</v>
      </c>
      <c r="AM47" s="4"/>
      <c r="AN47" s="176">
        <f>INDEX('(2.2)_Forward_Price_Curve'!$J:$J,MATCH($AB47,'(2.2)_Forward_Price_Curve'!$C:$C,0),1)</f>
        <v>13.311666666666667</v>
      </c>
      <c r="AO47" s="4"/>
      <c r="AP47" s="176">
        <f t="shared" si="20"/>
        <v>103.37240126202725</v>
      </c>
      <c r="AQ47" s="4"/>
      <c r="AR47" s="176">
        <f t="shared" si="17"/>
        <v>3.3613729444496165</v>
      </c>
      <c r="AS47" s="176"/>
      <c r="AT47" s="175">
        <f t="shared" si="3"/>
        <v>502.87990697933981</v>
      </c>
      <c r="AU47" s="4"/>
      <c r="AV47" s="175">
        <f t="shared" si="4"/>
        <v>1836.0343838998151</v>
      </c>
      <c r="AW47" s="318"/>
      <c r="AX47" s="177">
        <f t="shared" si="8"/>
        <v>2338.914290879155</v>
      </c>
      <c r="AZ47" s="168">
        <f>+IF(AZ46&gt;$G$13+$G$14,XX,AZ46+1)</f>
        <v>2028</v>
      </c>
      <c r="BA47" s="138"/>
      <c r="BB47" s="176">
        <f t="shared" si="18"/>
        <v>94.006815957531686</v>
      </c>
      <c r="BC47" s="4"/>
      <c r="BD47" s="176">
        <f t="shared" si="19"/>
        <v>6.1900952558871891</v>
      </c>
      <c r="BE47" s="4"/>
      <c r="BF47" s="175">
        <f t="shared" si="9"/>
        <v>207.33542316898476</v>
      </c>
      <c r="BG47" s="4"/>
      <c r="BH47" s="179"/>
    </row>
    <row r="48" spans="2:60" ht="12">
      <c r="B48" s="3"/>
      <c r="C48" s="7">
        <f>+IF(C47&gt;$G$13+$G$14,XX,C47+1)</f>
        <v>2029</v>
      </c>
      <c r="D48" s="7"/>
      <c r="E48" s="311">
        <f>+INDEX('(2.2)_Forward_Price_Curve'!$L:$L,MATCH($C48,'(2.2)_Forward_Price_Curve'!C:C,0))</f>
        <v>1.9E-2</v>
      </c>
      <c r="F48" s="7"/>
      <c r="G48" s="23">
        <f t="shared" si="10"/>
        <v>17202</v>
      </c>
      <c r="H48" s="7"/>
      <c r="I48" s="30">
        <f t="shared" si="11"/>
        <v>255.42489115163949</v>
      </c>
      <c r="J48" s="7"/>
      <c r="K48" s="30">
        <f t="shared" si="12"/>
        <v>0</v>
      </c>
      <c r="L48" s="7"/>
      <c r="M48" s="30">
        <f t="shared" si="13"/>
        <v>0</v>
      </c>
      <c r="N48" s="7"/>
      <c r="O48" s="314"/>
      <c r="P48" s="7"/>
      <c r="Q48" s="30"/>
      <c r="R48" s="7"/>
      <c r="S48" s="23">
        <f t="shared" si="5"/>
        <v>1072.784542836886</v>
      </c>
      <c r="T48" s="7"/>
      <c r="U48" s="23">
        <f t="shared" si="0"/>
        <v>2381.5110496672824</v>
      </c>
      <c r="V48" s="7"/>
      <c r="W48" s="23">
        <f t="shared" si="1"/>
        <v>-1308.7265068303964</v>
      </c>
      <c r="X48" s="7"/>
      <c r="Y48" s="315">
        <f t="shared" si="6"/>
        <v>-76.079903896662969</v>
      </c>
      <c r="Z48" s="271"/>
      <c r="AB48" s="168">
        <f>+IF(AB47&gt;$G$13+$G$14,XX,AB47+1)</f>
        <v>2029</v>
      </c>
      <c r="AC48" s="138"/>
      <c r="AD48" s="173">
        <f t="shared" si="2"/>
        <v>17202</v>
      </c>
      <c r="AE48" s="4"/>
      <c r="AF48" s="176">
        <f t="shared" si="14"/>
        <v>150.06099417266475</v>
      </c>
      <c r="AG48" s="4"/>
      <c r="AH48" s="176">
        <f t="shared" si="15"/>
        <v>11.277843187433039</v>
      </c>
      <c r="AI48" s="4"/>
      <c r="AJ48" s="176">
        <f t="shared" si="16"/>
        <v>4.2456344951239027</v>
      </c>
      <c r="AK48" s="4"/>
      <c r="AL48" s="175">
        <f t="shared" si="7"/>
        <v>723.70942142114279</v>
      </c>
      <c r="AM48" s="4"/>
      <c r="AN48" s="176">
        <f>INDEX('(2.2)_Forward_Price_Curve'!$J:$J,MATCH($AB48,'(2.2)_Forward_Price_Curve'!$C:$C,0),1)</f>
        <v>13.565833333333336</v>
      </c>
      <c r="AO48" s="4"/>
      <c r="AP48" s="176">
        <f t="shared" si="20"/>
        <v>105.22936069378531</v>
      </c>
      <c r="AQ48" s="4"/>
      <c r="AR48" s="176">
        <f t="shared" si="17"/>
        <v>3.4252390303941591</v>
      </c>
      <c r="AS48" s="176"/>
      <c r="AT48" s="175">
        <f t="shared" si="3"/>
        <v>512.43462521194738</v>
      </c>
      <c r="AU48" s="4"/>
      <c r="AV48" s="175">
        <f t="shared" si="4"/>
        <v>1869.0764244553352</v>
      </c>
      <c r="AW48" s="318"/>
      <c r="AX48" s="177">
        <f t="shared" si="8"/>
        <v>2381.5110496672824</v>
      </c>
      <c r="AZ48" s="168">
        <f>+IF(AZ47&gt;$G$13+$G$14,XX,AZ47+1)</f>
        <v>2029</v>
      </c>
      <c r="BA48" s="138"/>
      <c r="BB48" s="176">
        <f t="shared" si="18"/>
        <v>95.792945460724781</v>
      </c>
      <c r="BC48" s="4"/>
      <c r="BD48" s="176">
        <f t="shared" si="19"/>
        <v>6.3077070657490451</v>
      </c>
      <c r="BE48" s="4"/>
      <c r="BF48" s="175">
        <f t="shared" si="9"/>
        <v>211.27479620919547</v>
      </c>
      <c r="BG48" s="4"/>
      <c r="BH48" s="179"/>
    </row>
    <row r="49" spans="2:60" ht="12">
      <c r="B49" s="3"/>
      <c r="C49" s="7">
        <f>+IF(C48&gt;$G$13+$G$14,XX,C48+1)</f>
        <v>2030</v>
      </c>
      <c r="D49" s="7"/>
      <c r="E49" s="311">
        <f>+INDEX('(2.2)_Forward_Price_Curve'!$L:$L,MATCH($C49,'(2.2)_Forward_Price_Curve'!C:C,0))</f>
        <v>1.9E-2</v>
      </c>
      <c r="F49" s="7"/>
      <c r="G49" s="23">
        <f t="shared" si="10"/>
        <v>17202</v>
      </c>
      <c r="H49" s="7"/>
      <c r="I49" s="30">
        <f t="shared" si="11"/>
        <v>260.2779640835206</v>
      </c>
      <c r="J49" s="7"/>
      <c r="K49" s="30">
        <f t="shared" si="12"/>
        <v>0</v>
      </c>
      <c r="L49" s="7"/>
      <c r="M49" s="30">
        <f t="shared" si="13"/>
        <v>0</v>
      </c>
      <c r="N49" s="7"/>
      <c r="O49" s="314"/>
      <c r="P49" s="7"/>
      <c r="Q49" s="30"/>
      <c r="R49" s="7"/>
      <c r="S49" s="23">
        <f t="shared" si="5"/>
        <v>1093.1674491507865</v>
      </c>
      <c r="T49" s="7"/>
      <c r="U49" s="23">
        <f t="shared" si="0"/>
        <v>2424.5720532455043</v>
      </c>
      <c r="V49" s="7"/>
      <c r="W49" s="23">
        <f t="shared" si="1"/>
        <v>-1331.4046040947178</v>
      </c>
      <c r="X49" s="7"/>
      <c r="Y49" s="315">
        <f t="shared" si="6"/>
        <v>-77.398244628224504</v>
      </c>
      <c r="Z49" s="271"/>
      <c r="AB49" s="168">
        <f>+IF(AB48&gt;$G$13+$G$14,XX,AB48+1)</f>
        <v>2030</v>
      </c>
      <c r="AC49" s="138"/>
      <c r="AD49" s="173">
        <f t="shared" si="2"/>
        <v>17202</v>
      </c>
      <c r="AE49" s="4"/>
      <c r="AF49" s="176">
        <f t="shared" si="14"/>
        <v>152.91215306194536</v>
      </c>
      <c r="AG49" s="4"/>
      <c r="AH49" s="176">
        <f t="shared" si="15"/>
        <v>11.492122207994266</v>
      </c>
      <c r="AI49" s="4"/>
      <c r="AJ49" s="176">
        <f t="shared" si="16"/>
        <v>4.3263015505312561</v>
      </c>
      <c r="AK49" s="4"/>
      <c r="AL49" s="175">
        <f t="shared" si="7"/>
        <v>737.45990042814435</v>
      </c>
      <c r="AM49" s="4"/>
      <c r="AN49" s="176">
        <f>INDEX('(2.2)_Forward_Price_Curve'!$J:$J,MATCH($AB49,'(2.2)_Forward_Price_Curve'!$C:$C,0),1)</f>
        <v>13.822083333333332</v>
      </c>
      <c r="AO49" s="4"/>
      <c r="AP49" s="176">
        <f t="shared" si="20"/>
        <v>107.10154110449216</v>
      </c>
      <c r="AQ49" s="4"/>
      <c r="AR49" s="176">
        <f t="shared" si="17"/>
        <v>3.4903185719716476</v>
      </c>
      <c r="AS49" s="176"/>
      <c r="AT49" s="175">
        <f t="shared" si="3"/>
        <v>522.17088309097414</v>
      </c>
      <c r="AU49" s="4"/>
      <c r="AV49" s="175">
        <f t="shared" si="4"/>
        <v>1902.4011701545303</v>
      </c>
      <c r="AW49" s="318"/>
      <c r="AX49" s="177">
        <f t="shared" si="8"/>
        <v>2424.5720532455043</v>
      </c>
      <c r="AZ49" s="168">
        <f>+IF(AZ48&gt;$G$13+$G$14,XX,AZ48+1)</f>
        <v>2030</v>
      </c>
      <c r="BA49" s="138"/>
      <c r="BB49" s="176">
        <f t="shared" si="18"/>
        <v>97.613011424478543</v>
      </c>
      <c r="BC49" s="4"/>
      <c r="BD49" s="176">
        <f t="shared" si="19"/>
        <v>6.4275534999982762</v>
      </c>
      <c r="BE49" s="4"/>
      <c r="BF49" s="175">
        <f t="shared" si="9"/>
        <v>215.28901733717018</v>
      </c>
      <c r="BG49" s="4"/>
      <c r="BH49" s="179"/>
    </row>
    <row r="50" spans="2:60" ht="12">
      <c r="B50" s="3"/>
      <c r="C50" s="7">
        <f>+IF(C49&gt;$G$13+$G$14,XX,C49+1)</f>
        <v>2031</v>
      </c>
      <c r="D50" s="7"/>
      <c r="E50" s="311">
        <f>+INDEX('(2.2)_Forward_Price_Curve'!$L:$L,MATCH($C50,'(2.2)_Forward_Price_Curve'!C:C,0))</f>
        <v>1.9E-2</v>
      </c>
      <c r="F50" s="7"/>
      <c r="G50" s="23">
        <f t="shared" si="10"/>
        <v>17202</v>
      </c>
      <c r="H50" s="7"/>
      <c r="I50" s="30">
        <f t="shared" si="11"/>
        <v>265.22324540110748</v>
      </c>
      <c r="J50" s="7"/>
      <c r="K50" s="30">
        <f t="shared" si="12"/>
        <v>0</v>
      </c>
      <c r="L50" s="7"/>
      <c r="M50" s="30">
        <f t="shared" si="13"/>
        <v>0</v>
      </c>
      <c r="N50" s="7"/>
      <c r="O50" s="314"/>
      <c r="P50" s="7"/>
      <c r="Q50" s="30"/>
      <c r="R50" s="7"/>
      <c r="S50" s="23">
        <f t="shared" si="5"/>
        <v>1113.9376306846514</v>
      </c>
      <c r="T50" s="7"/>
      <c r="U50" s="23">
        <f t="shared" si="0"/>
        <v>2468.6771762862481</v>
      </c>
      <c r="V50" s="7"/>
      <c r="W50" s="23">
        <f t="shared" si="1"/>
        <v>-1354.7395456015968</v>
      </c>
      <c r="X50" s="7"/>
      <c r="Y50" s="315">
        <f t="shared" si="6"/>
        <v>-78.754769538518588</v>
      </c>
      <c r="Z50" s="271"/>
      <c r="AB50" s="168">
        <f>+IF(AB49&gt;$G$13+$G$14,XX,AB49+1)</f>
        <v>2031</v>
      </c>
      <c r="AC50" s="138"/>
      <c r="AD50" s="173">
        <f t="shared" si="2"/>
        <v>17202</v>
      </c>
      <c r="AE50" s="4"/>
      <c r="AF50" s="176">
        <f t="shared" si="14"/>
        <v>155.81748397012231</v>
      </c>
      <c r="AG50" s="4"/>
      <c r="AH50" s="176">
        <f t="shared" si="15"/>
        <v>11.710472529946156</v>
      </c>
      <c r="AI50" s="4"/>
      <c r="AJ50" s="176">
        <f t="shared" si="16"/>
        <v>4.4085012799913494</v>
      </c>
      <c r="AK50" s="4"/>
      <c r="AL50" s="175">
        <f t="shared" si="7"/>
        <v>751.4716385362791</v>
      </c>
      <c r="AM50" s="4"/>
      <c r="AN50" s="176">
        <f>INDEX('(2.2)_Forward_Price_Curve'!$J:$J,MATCH($AB50,'(2.2)_Forward_Price_Curve'!$C:$C,0),1)</f>
        <v>14.084999999999999</v>
      </c>
      <c r="AO50" s="4"/>
      <c r="AP50" s="176">
        <f t="shared" si="20"/>
        <v>109.02242864783531</v>
      </c>
      <c r="AQ50" s="4"/>
      <c r="AR50" s="176">
        <f t="shared" si="17"/>
        <v>3.5566346248391087</v>
      </c>
      <c r="AS50" s="176"/>
      <c r="AT50" s="175">
        <f t="shared" si="3"/>
        <v>532.09212986970272</v>
      </c>
      <c r="AU50" s="4"/>
      <c r="AV50" s="175">
        <f t="shared" si="4"/>
        <v>1936.5850464165453</v>
      </c>
      <c r="AW50" s="318"/>
      <c r="AX50" s="177">
        <f t="shared" si="8"/>
        <v>2468.6771762862481</v>
      </c>
      <c r="AZ50" s="168">
        <f>+IF(AZ49&gt;$G$13+$G$14,XX,AZ49+1)</f>
        <v>2031</v>
      </c>
      <c r="BA50" s="138"/>
      <c r="BB50" s="176">
        <f t="shared" si="18"/>
        <v>99.467658641543622</v>
      </c>
      <c r="BC50" s="4"/>
      <c r="BD50" s="176">
        <f t="shared" si="19"/>
        <v>6.5496770164982427</v>
      </c>
      <c r="BE50" s="4"/>
      <c r="BF50" s="175">
        <f t="shared" si="9"/>
        <v>219.37950866657636</v>
      </c>
      <c r="BG50" s="4"/>
      <c r="BH50" s="179"/>
    </row>
    <row r="51" spans="2:60" ht="12">
      <c r="B51" s="3"/>
      <c r="C51" s="7">
        <f>+IF(C50&gt;$G$13+$G$14,XX,C50+1)</f>
        <v>2032</v>
      </c>
      <c r="D51" s="7"/>
      <c r="E51" s="311">
        <f>+INDEX('(2.2)_Forward_Price_Curve'!$L:$L,MATCH($C51,'(2.2)_Forward_Price_Curve'!C:C,0))</f>
        <v>1.9E-2</v>
      </c>
      <c r="F51" s="7"/>
      <c r="G51" s="23">
        <f t="shared" si="10"/>
        <v>17202</v>
      </c>
      <c r="H51" s="7"/>
      <c r="I51" s="30">
        <f t="shared" si="11"/>
        <v>270.26248706372849</v>
      </c>
      <c r="J51" s="7"/>
      <c r="K51" s="30">
        <f t="shared" si="12"/>
        <v>0</v>
      </c>
      <c r="L51" s="7"/>
      <c r="M51" s="30">
        <f t="shared" si="13"/>
        <v>0</v>
      </c>
      <c r="N51" s="7"/>
      <c r="O51" s="314"/>
      <c r="P51" s="7"/>
      <c r="Q51" s="30"/>
      <c r="R51" s="7"/>
      <c r="S51" s="23">
        <f t="shared" si="5"/>
        <v>1135.1024456676596</v>
      </c>
      <c r="T51" s="7"/>
      <c r="U51" s="23">
        <f t="shared" si="0"/>
        <v>2513.4637739256541</v>
      </c>
      <c r="V51" s="7"/>
      <c r="W51" s="23">
        <f t="shared" si="1"/>
        <v>-1378.3613282579945</v>
      </c>
      <c r="X51" s="7"/>
      <c r="Y51" s="315">
        <f t="shared" si="6"/>
        <v>-80.127969320892603</v>
      </c>
      <c r="Z51" s="271"/>
      <c r="AB51" s="168">
        <f>+IF(AB50&gt;$G$13+$G$14,XX,AB50+1)</f>
        <v>2032</v>
      </c>
      <c r="AC51" s="138"/>
      <c r="AD51" s="173">
        <f t="shared" si="2"/>
        <v>17202</v>
      </c>
      <c r="AE51" s="4"/>
      <c r="AF51" s="176">
        <f t="shared" si="14"/>
        <v>158.77801616555462</v>
      </c>
      <c r="AG51" s="4"/>
      <c r="AH51" s="176">
        <f t="shared" si="15"/>
        <v>11.932971508015131</v>
      </c>
      <c r="AI51" s="4"/>
      <c r="AJ51" s="176">
        <f t="shared" si="16"/>
        <v>4.492262804311185</v>
      </c>
      <c r="AK51" s="4"/>
      <c r="AL51" s="175">
        <f t="shared" si="7"/>
        <v>765.74959966846836</v>
      </c>
      <c r="AM51" s="4"/>
      <c r="AN51" s="176">
        <f>INDEX('(2.2)_Forward_Price_Curve'!$J:$J,MATCH($AB51,'(2.2)_Forward_Price_Curve'!$C:$C,0),1)</f>
        <v>14.351666666666667</v>
      </c>
      <c r="AO51" s="4"/>
      <c r="AP51" s="176">
        <f t="shared" si="20"/>
        <v>110.97071395328635</v>
      </c>
      <c r="AQ51" s="4"/>
      <c r="AR51" s="176">
        <f t="shared" si="17"/>
        <v>3.6242106827110514</v>
      </c>
      <c r="AS51" s="176"/>
      <c r="AT51" s="175">
        <f t="shared" si="3"/>
        <v>542.20188033722707</v>
      </c>
      <c r="AU51" s="4"/>
      <c r="AV51" s="175">
        <f t="shared" si="4"/>
        <v>1971.2618935884273</v>
      </c>
      <c r="AW51" s="318"/>
      <c r="AX51" s="177">
        <f t="shared" si="8"/>
        <v>2513.4637739256541</v>
      </c>
      <c r="AZ51" s="168">
        <f>+IF(AZ50&gt;$G$13+$G$14,XX,AZ50+1)</f>
        <v>2032</v>
      </c>
      <c r="BA51" s="138"/>
      <c r="BB51" s="176">
        <f t="shared" si="18"/>
        <v>101.35754415573294</v>
      </c>
      <c r="BC51" s="4"/>
      <c r="BD51" s="176">
        <f t="shared" si="19"/>
        <v>6.6741208798117091</v>
      </c>
      <c r="BE51" s="4"/>
      <c r="BF51" s="175">
        <f t="shared" si="9"/>
        <v>223.5477193312413</v>
      </c>
      <c r="BG51" s="4"/>
      <c r="BH51" s="179"/>
    </row>
    <row r="52" spans="2:60" ht="12">
      <c r="B52" s="3"/>
      <c r="C52" s="7">
        <f>+IF(C51&gt;$G$13+$G$14,XX,C51+1)</f>
        <v>2033</v>
      </c>
      <c r="D52" s="7"/>
      <c r="E52" s="311">
        <f>+INDEX('(2.2)_Forward_Price_Curve'!$L:$L,MATCH($C52,'(2.2)_Forward_Price_Curve'!C:C,0))</f>
        <v>1.7999999999999999E-2</v>
      </c>
      <c r="F52" s="7"/>
      <c r="G52" s="23">
        <f t="shared" si="10"/>
        <v>17202</v>
      </c>
      <c r="H52" s="7"/>
      <c r="I52" s="30">
        <f t="shared" si="11"/>
        <v>275.12721183087558</v>
      </c>
      <c r="J52" s="7"/>
      <c r="K52" s="30">
        <f t="shared" si="12"/>
        <v>0</v>
      </c>
      <c r="L52" s="7"/>
      <c r="M52" s="30">
        <f t="shared" si="13"/>
        <v>0</v>
      </c>
      <c r="N52" s="7"/>
      <c r="O52" s="314"/>
      <c r="P52" s="7"/>
      <c r="Q52" s="30"/>
      <c r="R52" s="7"/>
      <c r="S52" s="23">
        <f t="shared" si="5"/>
        <v>1155.5342896896775</v>
      </c>
      <c r="T52" s="7"/>
      <c r="U52" s="23">
        <f t="shared" si="0"/>
        <v>2556.8141519956289</v>
      </c>
      <c r="V52" s="7"/>
      <c r="W52" s="23">
        <f t="shared" si="1"/>
        <v>-1401.2798623059514</v>
      </c>
      <c r="X52" s="7"/>
      <c r="Y52" s="315">
        <f t="shared" si="6"/>
        <v>-81.460287309961132</v>
      </c>
      <c r="Z52" s="271"/>
      <c r="AB52" s="168">
        <f>+IF(AB51&gt;$G$13+$G$14,XX,AB51+1)</f>
        <v>2033</v>
      </c>
      <c r="AC52" s="138"/>
      <c r="AD52" s="173">
        <f t="shared" si="2"/>
        <v>17202</v>
      </c>
      <c r="AE52" s="4"/>
      <c r="AF52" s="176">
        <f t="shared" si="14"/>
        <v>161.6360204565346</v>
      </c>
      <c r="AG52" s="4"/>
      <c r="AH52" s="176">
        <f t="shared" si="15"/>
        <v>12.147764995159402</v>
      </c>
      <c r="AI52" s="4"/>
      <c r="AJ52" s="176">
        <f t="shared" si="16"/>
        <v>4.5731235347887864</v>
      </c>
      <c r="AK52" s="4"/>
      <c r="AL52" s="175">
        <f t="shared" si="7"/>
        <v>779.5330924625008</v>
      </c>
      <c r="AM52" s="4"/>
      <c r="AN52" s="176">
        <f>INDEX('(2.2)_Forward_Price_Curve'!$J:$J,MATCH($AB52,'(2.2)_Forward_Price_Curve'!$C:$C,0),1)</f>
        <v>14.610833333333332</v>
      </c>
      <c r="AO52" s="4"/>
      <c r="AP52" s="176">
        <f t="shared" si="20"/>
        <v>112.85820134573794</v>
      </c>
      <c r="AQ52" s="4"/>
      <c r="AR52" s="176">
        <f t="shared" si="17"/>
        <v>3.6894464749998503</v>
      </c>
      <c r="AS52" s="176"/>
      <c r="AT52" s="175">
        <f t="shared" si="3"/>
        <v>551.96151418329714</v>
      </c>
      <c r="AU52" s="4"/>
      <c r="AV52" s="175">
        <f t="shared" si="4"/>
        <v>2004.8526378123315</v>
      </c>
      <c r="AW52" s="318"/>
      <c r="AX52" s="177">
        <f t="shared" si="8"/>
        <v>2556.8141519956289</v>
      </c>
      <c r="AZ52" s="168">
        <f>+IF(AZ51&gt;$G$13+$G$14,XX,AZ51+1)</f>
        <v>2033</v>
      </c>
      <c r="BA52" s="138"/>
      <c r="BB52" s="176">
        <f t="shared" si="18"/>
        <v>103.18197995053613</v>
      </c>
      <c r="BC52" s="4"/>
      <c r="BD52" s="176">
        <f t="shared" si="19"/>
        <v>6.7942550556483203</v>
      </c>
      <c r="BE52" s="4"/>
      <c r="BF52" s="175">
        <f>(BB52+BD52)*$BD$11</f>
        <v>227.57157827920364</v>
      </c>
      <c r="BG52" s="4"/>
      <c r="BH52" s="179"/>
    </row>
    <row r="53" spans="2:60" ht="12">
      <c r="B53" s="3"/>
      <c r="C53" s="7">
        <f>+IF(C52&gt;$G$13+$G$14,XX,C52+1)</f>
        <v>2034</v>
      </c>
      <c r="D53" s="7"/>
      <c r="E53" s="311">
        <f>+INDEX('(2.2)_Forward_Price_Curve'!$L:$L,MATCH($C53,'(2.2)_Forward_Price_Curve'!C:C,0))</f>
        <v>1.7999999999999999E-2</v>
      </c>
      <c r="F53" s="7"/>
      <c r="G53" s="23">
        <f t="shared" si="10"/>
        <v>17202</v>
      </c>
      <c r="H53" s="7"/>
      <c r="I53" s="30">
        <f t="shared" si="11"/>
        <v>280.07950164383135</v>
      </c>
      <c r="J53" s="7"/>
      <c r="K53" s="30">
        <f t="shared" si="12"/>
        <v>0</v>
      </c>
      <c r="L53" s="7"/>
      <c r="M53" s="30">
        <f t="shared" si="13"/>
        <v>0</v>
      </c>
      <c r="N53" s="7"/>
      <c r="O53" s="314"/>
      <c r="P53" s="7"/>
      <c r="Q53" s="30"/>
      <c r="R53" s="7"/>
      <c r="S53" s="23">
        <f t="shared" si="5"/>
        <v>1176.3339069040917</v>
      </c>
      <c r="T53" s="7"/>
      <c r="U53" s="23">
        <f t="shared" si="0"/>
        <v>2601.0920509881771</v>
      </c>
      <c r="V53" s="7"/>
      <c r="W53" s="23">
        <f t="shared" si="1"/>
        <v>-1424.7581440840854</v>
      </c>
      <c r="X53" s="7"/>
      <c r="Y53" s="315">
        <f t="shared" si="6"/>
        <v>-82.825144988029621</v>
      </c>
      <c r="Z53" s="271"/>
      <c r="AB53" s="168">
        <f>+IF(AB52&gt;$G$13+$G$14,XX,AB52+1)</f>
        <v>2034</v>
      </c>
      <c r="AC53" s="138"/>
      <c r="AD53" s="173">
        <f t="shared" si="2"/>
        <v>17202</v>
      </c>
      <c r="AE53" s="4"/>
      <c r="AF53" s="176">
        <f t="shared" si="14"/>
        <v>164.54546882475222</v>
      </c>
      <c r="AG53" s="4"/>
      <c r="AH53" s="176">
        <f t="shared" si="15"/>
        <v>12.366424765072273</v>
      </c>
      <c r="AI53" s="4"/>
      <c r="AJ53" s="176">
        <f t="shared" si="16"/>
        <v>4.6554397584149845</v>
      </c>
      <c r="AK53" s="4"/>
      <c r="AL53" s="175">
        <f t="shared" si="7"/>
        <v>793.5646881268259</v>
      </c>
      <c r="AM53" s="4"/>
      <c r="AN53" s="176">
        <f>INDEX('(2.2)_Forward_Price_Curve'!$J:$J,MATCH($AB53,'(2.2)_Forward_Price_Curve'!$C:$C,0),1)</f>
        <v>14.875000000000002</v>
      </c>
      <c r="AO53" s="4"/>
      <c r="AP53" s="176">
        <f t="shared" si="20"/>
        <v>114.78822147645042</v>
      </c>
      <c r="AQ53" s="4"/>
      <c r="AR53" s="176">
        <f t="shared" si="17"/>
        <v>3.7558565115498479</v>
      </c>
      <c r="AS53" s="176"/>
      <c r="AT53" s="175">
        <f t="shared" si="3"/>
        <v>561.89682143859659</v>
      </c>
      <c r="AU53" s="4"/>
      <c r="AV53" s="175">
        <f t="shared" si="4"/>
        <v>2039.1952295495807</v>
      </c>
      <c r="AW53" s="318"/>
      <c r="AX53" s="177">
        <f t="shared" si="8"/>
        <v>2601.0920509881771</v>
      </c>
      <c r="AZ53" s="168">
        <f>+IF(AZ52&gt;$G$13+$G$14,XX,AZ52+1)</f>
        <v>2034</v>
      </c>
      <c r="BA53" s="138"/>
      <c r="BB53" s="176">
        <f t="shared" si="18"/>
        <v>105.03925558964579</v>
      </c>
      <c r="BC53" s="4"/>
      <c r="BD53" s="176">
        <f t="shared" si="19"/>
        <v>6.9165516466499906</v>
      </c>
      <c r="BE53" s="4"/>
      <c r="BF53" s="175">
        <f>(BB53+BD53)*$BD$11</f>
        <v>231.66786668822931</v>
      </c>
      <c r="BG53" s="4"/>
      <c r="BH53" s="179"/>
    </row>
    <row r="54" spans="2:60" ht="12">
      <c r="B54" s="3"/>
      <c r="C54" s="7">
        <f>+IF(C53&gt;$G$13+$G$14,XX,C53+1)</f>
        <v>2035</v>
      </c>
      <c r="D54" s="7"/>
      <c r="E54" s="311">
        <f>+INDEX('(2.2)_Forward_Price_Curve'!$L:$L,MATCH($C54,'(2.2)_Forward_Price_Curve'!C:C,0))</f>
        <v>1.7999999999999999E-2</v>
      </c>
      <c r="F54" s="7"/>
      <c r="G54" s="23">
        <f t="shared" si="10"/>
        <v>17202</v>
      </c>
      <c r="H54" s="7"/>
      <c r="I54" s="30">
        <f t="shared" si="11"/>
        <v>285.12093267342033</v>
      </c>
      <c r="J54" s="7"/>
      <c r="K54" s="30">
        <f t="shared" si="12"/>
        <v>0</v>
      </c>
      <c r="L54" s="7"/>
      <c r="M54" s="30">
        <f t="shared" si="13"/>
        <v>0</v>
      </c>
      <c r="N54" s="7"/>
      <c r="O54" s="314"/>
      <c r="P54" s="7"/>
      <c r="Q54" s="30"/>
      <c r="R54" s="7"/>
      <c r="S54" s="23">
        <f t="shared" si="5"/>
        <v>1197.5079172283654</v>
      </c>
      <c r="T54" s="7"/>
      <c r="U54" s="23">
        <f t="shared" si="0"/>
        <v>2645.7788134732996</v>
      </c>
      <c r="V54" s="7"/>
      <c r="W54" s="23">
        <f t="shared" si="1"/>
        <v>-1448.2708962449342</v>
      </c>
      <c r="X54" s="7"/>
      <c r="Y54" s="315">
        <f t="shared" si="6"/>
        <v>-84.192006525109534</v>
      </c>
      <c r="Z54" s="271"/>
      <c r="AB54" s="168">
        <f>+IF(AB53&gt;$G$13+$G$14,XX,AB53+1)</f>
        <v>2035</v>
      </c>
      <c r="AC54" s="138"/>
      <c r="AD54" s="173">
        <f t="shared" si="2"/>
        <v>17202</v>
      </c>
      <c r="AE54" s="4"/>
      <c r="AF54" s="176">
        <f t="shared" si="14"/>
        <v>167.50728726359776</v>
      </c>
      <c r="AG54" s="4"/>
      <c r="AH54" s="176">
        <f t="shared" si="15"/>
        <v>12.589020410843574</v>
      </c>
      <c r="AI54" s="4"/>
      <c r="AJ54" s="176">
        <f t="shared" si="16"/>
        <v>4.7392376740664544</v>
      </c>
      <c r="AK54" s="4"/>
      <c r="AL54" s="175">
        <f t="shared" si="7"/>
        <v>807.84885251310868</v>
      </c>
      <c r="AM54" s="4"/>
      <c r="AN54" s="176">
        <f>INDEX('(2.2)_Forward_Price_Curve'!$J:$J,MATCH($AB54,'(2.2)_Forward_Price_Curve'!$C:$C,0),1)</f>
        <v>15.140833333333333</v>
      </c>
      <c r="AO54" s="4"/>
      <c r="AP54" s="176">
        <f t="shared" si="20"/>
        <v>116.73041839032192</v>
      </c>
      <c r="AQ54" s="4"/>
      <c r="AR54" s="176">
        <f t="shared" si="17"/>
        <v>3.8234619287577454</v>
      </c>
      <c r="AS54" s="176"/>
      <c r="AT54" s="175">
        <f t="shared" si="3"/>
        <v>572.0109642244912</v>
      </c>
      <c r="AU54" s="4"/>
      <c r="AV54" s="175">
        <f t="shared" si="4"/>
        <v>2073.7678492488085</v>
      </c>
      <c r="AW54" s="318"/>
      <c r="AX54" s="177">
        <f t="shared" si="8"/>
        <v>2645.7788134732996</v>
      </c>
      <c r="AZ54" s="168">
        <f>+IF(AZ53&gt;$G$13+$G$14,XX,AZ53+1)</f>
        <v>2035</v>
      </c>
      <c r="BA54" s="138"/>
      <c r="BB54" s="176">
        <f t="shared" si="18"/>
        <v>106.92996219025942</v>
      </c>
      <c r="BC54" s="4"/>
      <c r="BD54" s="176">
        <f t="shared" si="19"/>
        <v>7.0410495762896907</v>
      </c>
      <c r="BE54" s="4"/>
      <c r="BF54" s="175">
        <f>(BB54+BD54)*$BD$11</f>
        <v>235.83788828861745</v>
      </c>
      <c r="BG54" s="4"/>
      <c r="BH54" s="179"/>
    </row>
    <row r="55" spans="2:60" ht="12">
      <c r="B55" s="3"/>
      <c r="C55" s="7">
        <f>+IF(C54&gt;$G$13+$G$14,XX,C54+1)</f>
        <v>2036</v>
      </c>
      <c r="D55" s="7"/>
      <c r="E55" s="311">
        <f>+INDEX('(2.2)_Forward_Price_Curve'!$L:$L,MATCH($C55,'(2.2)_Forward_Price_Curve'!C:C,0))</f>
        <v>1.7999999999999999E-2</v>
      </c>
      <c r="F55" s="7"/>
      <c r="G55" s="23">
        <f t="shared" si="10"/>
        <v>17202</v>
      </c>
      <c r="H55" s="7"/>
      <c r="I55" s="30">
        <f t="shared" si="11"/>
        <v>290.2531094615419</v>
      </c>
      <c r="J55" s="7"/>
      <c r="K55" s="30">
        <f t="shared" si="12"/>
        <v>0</v>
      </c>
      <c r="L55" s="7"/>
      <c r="M55" s="30">
        <f t="shared" si="13"/>
        <v>0</v>
      </c>
      <c r="N55" s="7"/>
      <c r="O55" s="314"/>
      <c r="P55" s="7"/>
      <c r="Q55" s="30"/>
      <c r="R55" s="7"/>
      <c r="S55" s="23">
        <f t="shared" si="5"/>
        <v>1219.0630597384761</v>
      </c>
      <c r="T55" s="7"/>
      <c r="U55" s="23">
        <f t="shared" si="0"/>
        <v>2691.5587899511165</v>
      </c>
      <c r="V55" s="7"/>
      <c r="W55" s="23">
        <f t="shared" si="1"/>
        <v>-1472.4957302126404</v>
      </c>
      <c r="X55" s="7"/>
      <c r="Y55" s="315">
        <f t="shared" si="6"/>
        <v>-85.600263353833299</v>
      </c>
      <c r="Z55" s="271"/>
      <c r="AB55" s="168">
        <f>+IF(AB54&gt;$G$13+$G$14,XX,AB54+1)</f>
        <v>2036</v>
      </c>
      <c r="AC55" s="138"/>
      <c r="AD55" s="173">
        <f t="shared" si="2"/>
        <v>17202</v>
      </c>
      <c r="AE55" s="4"/>
      <c r="AF55" s="176">
        <f t="shared" si="14"/>
        <v>170.52241843434251</v>
      </c>
      <c r="AG55" s="4"/>
      <c r="AH55" s="176">
        <f t="shared" si="15"/>
        <v>12.815622778238758</v>
      </c>
      <c r="AI55" s="4"/>
      <c r="AJ55" s="176">
        <f t="shared" si="16"/>
        <v>4.8245439521996509</v>
      </c>
      <c r="AK55" s="4"/>
      <c r="AL55" s="175">
        <f t="shared" si="7"/>
        <v>822.39013185834449</v>
      </c>
      <c r="AM55" s="4"/>
      <c r="AN55" s="176">
        <f>INDEX('(2.2)_Forward_Price_Curve'!$J:$J,MATCH($AB55,'(2.2)_Forward_Price_Curve'!$C:$C,0),1)</f>
        <v>15.413750000000002</v>
      </c>
      <c r="AO55" s="4"/>
      <c r="AP55" s="176">
        <f t="shared" si="20"/>
        <v>118.72436663261951</v>
      </c>
      <c r="AQ55" s="4"/>
      <c r="AR55" s="176">
        <f t="shared" si="17"/>
        <v>3.8922842434753848</v>
      </c>
      <c r="AS55" s="176"/>
      <c r="AT55" s="175">
        <f t="shared" si="3"/>
        <v>582.3071615805319</v>
      </c>
      <c r="AU55" s="4"/>
      <c r="AV55" s="175">
        <f t="shared" si="4"/>
        <v>2109.2516283705845</v>
      </c>
      <c r="AW55" s="318"/>
      <c r="AX55" s="177">
        <f t="shared" si="8"/>
        <v>2691.5587899511165</v>
      </c>
      <c r="AZ55" s="168">
        <f>+IF(AZ54&gt;$G$13+$G$14,XX,AZ54+1)</f>
        <v>2036</v>
      </c>
      <c r="BA55" s="138"/>
      <c r="BB55" s="176">
        <f t="shared" si="18"/>
        <v>108.85470150968409</v>
      </c>
      <c r="BC55" s="4"/>
      <c r="BD55" s="176">
        <f t="shared" si="19"/>
        <v>7.1677884686629056</v>
      </c>
      <c r="BE55" s="4"/>
      <c r="BF55" s="175">
        <f>(BB55+BD55)*$BD$11</f>
        <v>240.08297027781256</v>
      </c>
      <c r="BG55" s="4"/>
      <c r="BH55" s="179"/>
    </row>
    <row r="56" spans="2:60" ht="12">
      <c r="B56" s="3"/>
      <c r="C56" s="7">
        <f>+IF(C55&gt;$G$13+$G$14,XX,C55+1)</f>
        <v>2037</v>
      </c>
      <c r="D56" s="7"/>
      <c r="E56" s="311">
        <f>+INDEX('(2.2)_Forward_Price_Curve'!$L:$L,MATCH($C56,'(2.2)_Forward_Price_Curve'!C:C,0))</f>
        <v>1.9E-2</v>
      </c>
      <c r="F56" s="7"/>
      <c r="G56" s="23">
        <f t="shared" si="10"/>
        <v>17202</v>
      </c>
      <c r="H56" s="7"/>
      <c r="I56" s="30">
        <f t="shared" si="11"/>
        <v>295.76791854131119</v>
      </c>
      <c r="J56" s="7"/>
      <c r="K56" s="30">
        <f t="shared" si="12"/>
        <v>0</v>
      </c>
      <c r="L56" s="7"/>
      <c r="M56" s="30">
        <f t="shared" si="13"/>
        <v>0</v>
      </c>
      <c r="N56" s="7"/>
      <c r="O56" s="314"/>
      <c r="P56" s="7"/>
      <c r="Q56" s="30"/>
      <c r="R56" s="7"/>
      <c r="S56" s="23">
        <f t="shared" si="5"/>
        <v>1242.225257873507</v>
      </c>
      <c r="T56" s="7"/>
      <c r="U56" s="23">
        <f t="shared" si="0"/>
        <v>2740.8638697173778</v>
      </c>
      <c r="V56" s="7"/>
      <c r="W56" s="23">
        <f t="shared" si="1"/>
        <v>-1498.6386118438709</v>
      </c>
      <c r="X56" s="7"/>
      <c r="Y56" s="315">
        <f t="shared" si="6"/>
        <v>-87.12002161631618</v>
      </c>
      <c r="Z56" s="271"/>
      <c r="AB56" s="168">
        <f>+IF(AB55&gt;$G$13+$G$14,XX,AB55+1)</f>
        <v>2037</v>
      </c>
      <c r="AC56" s="138"/>
      <c r="AD56" s="173">
        <f t="shared" si="2"/>
        <v>17202</v>
      </c>
      <c r="AE56" s="4"/>
      <c r="AF56" s="176">
        <f t="shared" si="14"/>
        <v>173.762344384595</v>
      </c>
      <c r="AG56" s="4"/>
      <c r="AH56" s="176">
        <f t="shared" si="15"/>
        <v>13.059119611025293</v>
      </c>
      <c r="AI56" s="4"/>
      <c r="AJ56" s="176">
        <f t="shared" si="16"/>
        <v>4.9162102872914435</v>
      </c>
      <c r="AK56" s="4"/>
      <c r="AL56" s="175">
        <f t="shared" si="7"/>
        <v>838.01554436365302</v>
      </c>
      <c r="AM56" s="4"/>
      <c r="AN56" s="176">
        <f>INDEX('(2.2)_Forward_Price_Curve'!$J:$J,MATCH($AB56,'(2.2)_Forward_Price_Curve'!$C:$C,0),1)</f>
        <v>15.707083333333335</v>
      </c>
      <c r="AO56" s="4"/>
      <c r="AP56" s="176">
        <f t="shared" si="20"/>
        <v>120.87348285739932</v>
      </c>
      <c r="AQ56" s="4"/>
      <c r="AR56" s="176">
        <f t="shared" si="17"/>
        <v>3.9662376441014167</v>
      </c>
      <c r="AS56" s="176"/>
      <c r="AT56" s="175">
        <f t="shared" si="3"/>
        <v>593.370997650562</v>
      </c>
      <c r="AU56" s="4"/>
      <c r="AV56" s="175">
        <f t="shared" si="4"/>
        <v>2147.4928720668158</v>
      </c>
      <c r="AW56" s="318"/>
      <c r="AX56" s="177">
        <f t="shared" si="8"/>
        <v>2740.8638697173778</v>
      </c>
      <c r="AZ56" s="168">
        <f>+IF(AZ55&gt;$G$13+$G$14,XX,AZ55+1)</f>
        <v>2037</v>
      </c>
      <c r="BA56" s="138"/>
      <c r="BB56" s="176">
        <f t="shared" si="18"/>
        <v>110.92294083836808</v>
      </c>
      <c r="BC56" s="4"/>
      <c r="BD56" s="176">
        <f t="shared" si="19"/>
        <v>7.3039764495675001</v>
      </c>
      <c r="BE56" s="4"/>
      <c r="BF56" s="175">
        <f>(BB56+BD56)*$BD$11</f>
        <v>244.64454671309099</v>
      </c>
      <c r="BG56" s="4"/>
      <c r="BH56" s="179"/>
    </row>
    <row r="57" spans="2:60">
      <c r="B57" s="3"/>
      <c r="C57" s="4"/>
      <c r="D57" s="4"/>
      <c r="E57" s="192"/>
      <c r="F57" s="4"/>
      <c r="G57" s="309"/>
      <c r="H57" s="4"/>
      <c r="I57" s="309"/>
      <c r="J57" s="4"/>
      <c r="K57" s="309"/>
      <c r="L57" s="4"/>
      <c r="M57" s="309"/>
      <c r="N57" s="4"/>
      <c r="O57" s="309"/>
      <c r="P57" s="4"/>
      <c r="Q57" s="309"/>
      <c r="R57" s="4"/>
      <c r="S57" s="309"/>
      <c r="T57" s="4"/>
      <c r="U57" s="309"/>
      <c r="V57" s="4"/>
      <c r="W57" s="309"/>
      <c r="X57" s="4"/>
      <c r="Y57" s="319"/>
      <c r="Z57" s="271"/>
      <c r="AB57" s="3"/>
      <c r="AC57" s="4"/>
      <c r="AD57" s="4"/>
      <c r="AE57" s="4"/>
      <c r="AF57" s="320"/>
      <c r="AG57" s="4"/>
      <c r="AH57" s="320"/>
      <c r="AI57" s="4"/>
      <c r="AJ57" s="320"/>
      <c r="AK57" s="4"/>
      <c r="AL57" s="318"/>
      <c r="AM57" s="4"/>
      <c r="AN57" s="320"/>
      <c r="AO57" s="4"/>
      <c r="AP57" s="320"/>
      <c r="AQ57" s="4"/>
      <c r="AR57" s="320"/>
      <c r="AS57" s="320"/>
      <c r="AT57" s="320"/>
      <c r="AU57" s="4"/>
      <c r="AV57" s="318"/>
      <c r="AW57" s="318"/>
      <c r="AX57" s="321"/>
      <c r="AZ57" s="3"/>
      <c r="BA57" s="4"/>
      <c r="BB57" s="320"/>
      <c r="BC57" s="4"/>
      <c r="BD57" s="4"/>
      <c r="BE57" s="4"/>
      <c r="BF57" s="318"/>
      <c r="BG57" s="4"/>
      <c r="BH57" s="271"/>
    </row>
    <row r="58" spans="2:60" ht="12">
      <c r="B58" s="3"/>
      <c r="C58" s="322" t="str">
        <f>G14&amp;"-year Nominal Levelized at "&amp;TEXT($G$18,"#.00%")</f>
        <v>29-year Nominal Levelized at 7.36%</v>
      </c>
      <c r="E58" s="192"/>
      <c r="F58" s="4"/>
      <c r="G58" s="23">
        <f>+-PMT($G$18,$G$14,NPV($G$18,G28:G56))</f>
        <v>17202.000000000022</v>
      </c>
      <c r="H58" s="7"/>
      <c r="I58" s="30">
        <f>+-PMT($G$18,$G$14,NPV($G$18,I28:I56))</f>
        <v>211.12827369393707</v>
      </c>
      <c r="J58" s="30"/>
      <c r="K58" s="30">
        <f>+-PMT($G$18,$G$14,NPV($G$18,K28:K56))</f>
        <v>0</v>
      </c>
      <c r="L58" s="7"/>
      <c r="M58" s="30">
        <f>+-PMT($G$18,$G$14,NPV($G$18,M28:M56))</f>
        <v>0</v>
      </c>
      <c r="N58" s="7"/>
      <c r="O58" s="30">
        <f>+-PMT($G$18,$G$14,NPV($G$18,O28:O56))</f>
        <v>0</v>
      </c>
      <c r="P58" s="7"/>
      <c r="Q58" s="30">
        <f>+-PMT($G$18,$G$14,NPV($G$18,Q28:Q56))</f>
        <v>0</v>
      </c>
      <c r="R58" s="7"/>
      <c r="S58" s="23">
        <f>+-PMT($G$18,$G$14,NPV($G$18,S28:S56))</f>
        <v>886.73874951453615</v>
      </c>
      <c r="T58" s="7"/>
      <c r="U58" s="23">
        <f>+-PMT($G$18,$G$14,NPV($G$18,U28:U56))</f>
        <v>2021.1465687017583</v>
      </c>
      <c r="V58" s="4"/>
      <c r="W58" s="23">
        <f>+-PMT($G$18,$G$14,NPV($G$18,W28:W56))</f>
        <v>-1134.4078191872218</v>
      </c>
      <c r="X58" s="4"/>
      <c r="Y58" s="315">
        <f>+-PMT($G$18,$G$14,NPV($G$18,Y28:Y56))</f>
        <v>-65.946274804512385</v>
      </c>
      <c r="Z58" s="271"/>
      <c r="AB58" s="3"/>
      <c r="AC58" s="4"/>
      <c r="AD58" s="173">
        <f>+-PMT($G$18,$G$14,NPV($G$18,AD28:AD56))</f>
        <v>17202.000000000022</v>
      </c>
      <c r="AE58" s="4"/>
      <c r="AF58" s="176">
        <f>+-PMT($G$18,$G$14,NPV($G$18,AF28:AF56))</f>
        <v>124.03692727683998</v>
      </c>
      <c r="AG58" s="4"/>
      <c r="AH58" s="176">
        <f>+-PMT($G$18,$G$14,NPV($G$18,AH28:AH56))</f>
        <v>9.3220028495190128</v>
      </c>
      <c r="AI58" s="4"/>
      <c r="AJ58" s="176">
        <f>+-PMT($G$18,$G$14,NPV($G$18,AJ28:AJ56))</f>
        <v>3.5093427177337424</v>
      </c>
      <c r="AK58" s="4"/>
      <c r="AL58" s="175">
        <f>+-PMT($G$18,$G$14,NPV($G$18,AL28:AL56))</f>
        <v>598.20137384329155</v>
      </c>
      <c r="AM58" s="4"/>
      <c r="AN58" s="176">
        <f>+-PMT($G$18,$G$14,NPV($G$18,AN28:AN56))</f>
        <v>11.490354307318551</v>
      </c>
      <c r="AO58" s="4"/>
      <c r="AP58" s="176">
        <f>+-PMT($G$18,$G$14,NPV($G$18,AP28:AP56))</f>
        <v>90.040537759639932</v>
      </c>
      <c r="AQ58" s="4"/>
      <c r="AR58" s="176">
        <f>+-PMT($G$18,$G$14,NPV($G$18,AR28:AR56))</f>
        <v>2.8312229094653443</v>
      </c>
      <c r="AS58" s="176"/>
      <c r="AT58" s="175">
        <f>+-PMT($G$18,$G$14,NPV($G$18,AT28:AT56))</f>
        <v>423.56654167180881</v>
      </c>
      <c r="AU58" s="4"/>
      <c r="AV58" s="175">
        <f>+-PMT($G$18,$G$14,NPV($G$18,AV28:AV56))</f>
        <v>1597.5800270299487</v>
      </c>
      <c r="AW58" s="318"/>
      <c r="AX58" s="177">
        <f>+-PMT($G$18,$G$14,NPV($G$18,AX28:AX56))</f>
        <v>2021.1465687017583</v>
      </c>
      <c r="AZ58" s="3"/>
      <c r="BA58" s="4"/>
      <c r="BB58" s="176">
        <f>+-PMT($G$18,$G$14,NPV($G$18,BB28:BB56))</f>
        <v>79.180220518028733</v>
      </c>
      <c r="BC58" s="4"/>
      <c r="BD58" s="176">
        <f>+-PMT($G$18,$G$14,NPV($G$18,BD28:BD56))</f>
        <v>5.213803939601279</v>
      </c>
      <c r="BE58" s="4"/>
      <c r="BF58" s="175">
        <f>+-PMT($G$18,$G$14,NPV($G$18,BF28:BF56))</f>
        <v>174.63483217148286</v>
      </c>
      <c r="BG58" s="4"/>
      <c r="BH58" s="179"/>
    </row>
    <row r="59" spans="2:60">
      <c r="B59" s="3"/>
      <c r="C59" s="4"/>
      <c r="D59" s="4"/>
      <c r="E59" s="19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23"/>
      <c r="X59" s="4"/>
      <c r="Y59" s="324"/>
      <c r="Z59" s="271"/>
      <c r="AB59" s="3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318"/>
      <c r="AU59" s="4"/>
      <c r="AV59" s="4"/>
      <c r="AW59" s="4"/>
      <c r="AX59" s="271"/>
      <c r="AZ59" s="3"/>
      <c r="BA59" s="4"/>
      <c r="BB59" s="4"/>
      <c r="BC59" s="4"/>
      <c r="BD59" s="4"/>
      <c r="BE59" s="4"/>
      <c r="BF59" s="4"/>
      <c r="BG59" s="4"/>
      <c r="BH59" s="271"/>
    </row>
    <row r="60" spans="2:60">
      <c r="B60" s="275"/>
      <c r="C60" s="325"/>
      <c r="D60" s="325"/>
      <c r="E60" s="326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278"/>
      <c r="AB60" s="27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278"/>
      <c r="AZ60" s="275"/>
      <c r="BA60" s="325"/>
      <c r="BB60" s="325"/>
      <c r="BC60" s="325"/>
      <c r="BD60" s="325"/>
      <c r="BE60" s="325"/>
      <c r="BF60" s="325"/>
      <c r="BG60" s="325"/>
      <c r="BH60" s="278"/>
    </row>
    <row r="61" spans="2:60">
      <c r="E61" s="327"/>
    </row>
    <row r="62" spans="2:60">
      <c r="E62" s="327"/>
      <c r="G62" s="328"/>
      <c r="I62" s="328"/>
      <c r="K62" s="328"/>
      <c r="O62" s="328"/>
      <c r="Q62" s="328"/>
      <c r="S62" s="328"/>
      <c r="U62" s="328"/>
      <c r="W62" s="328"/>
    </row>
    <row r="63" spans="2:60">
      <c r="E63" s="327"/>
    </row>
    <row r="64" spans="2:60">
      <c r="E64" s="327"/>
    </row>
    <row r="65" spans="5:5">
      <c r="E65" s="327"/>
    </row>
    <row r="66" spans="5:5">
      <c r="E66" s="327"/>
    </row>
    <row r="67" spans="5:5">
      <c r="E67" s="327"/>
    </row>
    <row r="68" spans="5:5">
      <c r="E68" s="327"/>
    </row>
    <row r="69" spans="5:5">
      <c r="E69" s="327"/>
    </row>
    <row r="70" spans="5:5">
      <c r="E70" s="327"/>
    </row>
    <row r="71" spans="5:5">
      <c r="E71" s="327"/>
    </row>
    <row r="72" spans="5:5">
      <c r="E72" s="327"/>
    </row>
    <row r="73" spans="5:5">
      <c r="E73" s="327"/>
    </row>
    <row r="74" spans="5:5">
      <c r="E74" s="327"/>
    </row>
    <row r="75" spans="5:5">
      <c r="E75" s="327"/>
    </row>
    <row r="76" spans="5:5">
      <c r="E76" s="327"/>
    </row>
    <row r="77" spans="5:5">
      <c r="E77" s="327"/>
    </row>
    <row r="78" spans="5:5">
      <c r="E78" s="327"/>
    </row>
    <row r="79" spans="5:5">
      <c r="E79" s="327"/>
    </row>
    <row r="80" spans="5:5">
      <c r="E80" s="327"/>
    </row>
    <row r="81" spans="5:5">
      <c r="E81" s="327"/>
    </row>
    <row r="82" spans="5:5">
      <c r="E82" s="327"/>
    </row>
    <row r="83" spans="5:5">
      <c r="E83" s="327"/>
    </row>
    <row r="84" spans="5:5">
      <c r="E84" s="327"/>
    </row>
  </sheetData>
  <pageMargins left="0.25" right="0.25" top="0.25" bottom="0.75" header="0.3" footer="0.3"/>
  <pageSetup paperSize="5" scale="4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3"/>
  <sheetViews>
    <sheetView workbookViewId="0">
      <selection activeCell="G10" sqref="G10"/>
    </sheetView>
  </sheetViews>
  <sheetFormatPr defaultRowHeight="11.25"/>
  <cols>
    <col min="1" max="1" width="8.1640625" style="157" customWidth="1"/>
    <col min="2" max="2" width="4.1640625" style="157" customWidth="1"/>
    <col min="3" max="3" width="11" style="157" customWidth="1"/>
    <col min="4" max="4" width="4.83203125" style="157" customWidth="1"/>
    <col min="5" max="5" width="10.83203125" style="157" customWidth="1"/>
    <col min="6" max="6" width="4.33203125" style="157" customWidth="1"/>
    <col min="7" max="7" width="17.33203125" style="157" customWidth="1"/>
    <col min="8" max="8" width="2.83203125" style="157" customWidth="1"/>
    <col min="9" max="9" width="13.5" style="157" customWidth="1"/>
    <col min="10" max="10" width="2.83203125" style="157" customWidth="1"/>
    <col min="11" max="11" width="13.5" style="157" customWidth="1"/>
    <col min="12" max="12" width="2.83203125" style="157" customWidth="1"/>
    <col min="13" max="13" width="15.33203125" style="157" customWidth="1"/>
    <col min="14" max="14" width="2.83203125" style="157" customWidth="1"/>
    <col min="15" max="15" width="13.1640625" style="157" customWidth="1"/>
    <col min="16" max="16" width="2.83203125" style="157" customWidth="1"/>
    <col min="17" max="17" width="13.83203125" style="157" customWidth="1"/>
    <col min="18" max="18" width="3.1640625" style="157" customWidth="1"/>
    <col min="19" max="19" width="13.1640625" style="157" customWidth="1"/>
    <col min="20" max="20" width="2.83203125" style="157" customWidth="1"/>
    <col min="21" max="21" width="15.1640625" style="157" customWidth="1"/>
    <col min="22" max="22" width="2.83203125" style="157" customWidth="1"/>
    <col min="23" max="23" width="14.1640625" style="157" customWidth="1"/>
    <col min="24" max="24" width="2.83203125" style="157" customWidth="1"/>
    <col min="25" max="25" width="14.6640625" style="157" customWidth="1"/>
    <col min="26" max="26" width="2.83203125" style="157" customWidth="1"/>
    <col min="27" max="27" width="2.6640625" style="157" customWidth="1"/>
    <col min="28" max="28" width="7.83203125" style="157" customWidth="1"/>
    <col min="29" max="29" width="3" style="157" customWidth="1"/>
    <col min="30" max="30" width="15.1640625" style="157" customWidth="1"/>
    <col min="31" max="31" width="3.1640625" style="157" customWidth="1"/>
    <col min="32" max="32" width="12.1640625" style="157" customWidth="1"/>
    <col min="33" max="33" width="2.33203125" style="157" customWidth="1"/>
    <col min="34" max="34" width="14.5" style="157" customWidth="1"/>
    <col min="35" max="35" width="3" style="157" customWidth="1"/>
    <col min="36" max="36" width="13.1640625" style="157" customWidth="1"/>
    <col min="37" max="37" width="2.33203125" style="157" customWidth="1"/>
    <col min="38" max="38" width="13.6640625" style="157" customWidth="1"/>
    <col min="39" max="39" width="1.5" style="157" customWidth="1"/>
    <col min="40" max="40" width="9.33203125" style="157"/>
    <col min="41" max="41" width="1.33203125" style="157" customWidth="1"/>
    <col min="42" max="42" width="11.33203125" style="157" customWidth="1"/>
    <col min="43" max="43" width="2.5" style="157" customWidth="1"/>
    <col min="44" max="44" width="12.6640625" style="157" customWidth="1"/>
    <col min="45" max="45" width="4" style="157" customWidth="1"/>
    <col min="46" max="46" width="10.1640625" style="157" customWidth="1"/>
    <col min="47" max="47" width="3.33203125" style="157" customWidth="1"/>
    <col min="48" max="48" width="12" style="157" customWidth="1"/>
    <col min="49" max="49" width="1.5" style="157" customWidth="1"/>
    <col min="50" max="50" width="11.33203125" style="157" customWidth="1"/>
    <col min="51" max="51" width="1.83203125" style="157" customWidth="1"/>
    <col min="52" max="52" width="9.33203125" style="157"/>
    <col min="53" max="53" width="2.83203125" style="157" customWidth="1"/>
    <col min="54" max="54" width="9.33203125" style="157"/>
    <col min="55" max="55" width="4" style="157" customWidth="1"/>
    <col min="56" max="56" width="9.33203125" style="157"/>
    <col min="57" max="57" width="2.83203125" style="157" customWidth="1"/>
    <col min="58" max="58" width="10.5" style="157" bestFit="1" customWidth="1"/>
    <col min="59" max="59" width="2.33203125" style="157" customWidth="1"/>
    <col min="60" max="16384" width="9.33203125" style="157"/>
  </cols>
  <sheetData>
    <row r="1" spans="1:57" s="264" customFormat="1">
      <c r="A1" s="264" t="str">
        <f>+'Workpaper Index'!C3</f>
        <v>PACIFICORP</v>
      </c>
    </row>
    <row r="2" spans="1:57" s="264" customFormat="1">
      <c r="A2" s="264" t="str">
        <f>+'Workpaper Index'!C4</f>
        <v xml:space="preserve">WASHINGTON AUGUST 23, 2019 RENEWABLES REPORT </v>
      </c>
    </row>
    <row r="3" spans="1:57" s="264" customFormat="1">
      <c r="A3" s="264" t="str">
        <f>+'Workpaper Index'!C5</f>
        <v>EVALUATION OF RENEWABLE RESOURCE COST</v>
      </c>
    </row>
    <row r="4" spans="1:57" s="264" customFormat="1"/>
    <row r="5" spans="1:57" s="264" customFormat="1">
      <c r="A5" s="264" t="s">
        <v>232</v>
      </c>
    </row>
    <row r="8" spans="1:57">
      <c r="B8" s="280"/>
      <c r="C8" s="281" t="s">
        <v>109</v>
      </c>
      <c r="D8" s="281"/>
      <c r="E8" s="281"/>
      <c r="F8" s="282"/>
      <c r="G8" s="281"/>
      <c r="H8" s="283"/>
      <c r="AB8" s="284" t="s">
        <v>110</v>
      </c>
      <c r="AC8" s="285"/>
      <c r="AD8" s="285"/>
      <c r="AE8" s="285"/>
      <c r="AF8" s="285"/>
      <c r="AG8" s="285"/>
      <c r="AH8" s="285"/>
      <c r="AI8" s="285"/>
      <c r="AJ8" s="285"/>
      <c r="AK8" s="286"/>
      <c r="AZ8" s="284" t="s">
        <v>111</v>
      </c>
      <c r="BA8" s="285"/>
      <c r="BB8" s="285"/>
      <c r="BC8" s="285"/>
      <c r="BD8" s="285"/>
      <c r="BE8" s="286"/>
    </row>
    <row r="9" spans="1:57" ht="12">
      <c r="B9" s="287"/>
      <c r="C9" s="288"/>
      <c r="D9" s="288"/>
      <c r="E9" s="288"/>
      <c r="F9" s="288"/>
      <c r="G9" s="288"/>
      <c r="H9" s="289"/>
      <c r="J9" s="290"/>
      <c r="AB9" s="137"/>
      <c r="AC9" s="138"/>
      <c r="AD9" s="138"/>
      <c r="AE9" s="138"/>
      <c r="AF9" s="139"/>
      <c r="AG9" s="138"/>
      <c r="AH9" s="138"/>
      <c r="AI9" s="138"/>
      <c r="AJ9" s="140"/>
      <c r="AK9" s="141"/>
      <c r="AZ9" s="137"/>
      <c r="BA9" s="138"/>
      <c r="BB9" s="138"/>
      <c r="BC9" s="138"/>
      <c r="BD9" s="139"/>
      <c r="BE9" s="142"/>
    </row>
    <row r="10" spans="1:57" ht="12">
      <c r="B10" s="291"/>
      <c r="C10" s="292" t="s">
        <v>112</v>
      </c>
      <c r="D10" s="292"/>
      <c r="E10" s="292"/>
      <c r="F10" s="292"/>
      <c r="G10" s="293" t="s">
        <v>231</v>
      </c>
      <c r="H10" s="294"/>
      <c r="AB10" s="143"/>
      <c r="AC10" s="144"/>
      <c r="AD10" s="144"/>
      <c r="AE10" s="144"/>
      <c r="AF10" s="145"/>
      <c r="AG10" s="146"/>
      <c r="AH10" s="147"/>
      <c r="AI10" s="148"/>
      <c r="AJ10" s="4"/>
      <c r="AK10" s="271"/>
      <c r="AZ10" s="143"/>
      <c r="BA10" s="144"/>
      <c r="BB10" s="144"/>
      <c r="BC10" s="144"/>
      <c r="BD10" s="145"/>
      <c r="BE10" s="149"/>
    </row>
    <row r="11" spans="1:57" ht="12">
      <c r="B11" s="291"/>
      <c r="C11" s="292" t="s">
        <v>41</v>
      </c>
      <c r="D11" s="292"/>
      <c r="E11" s="292"/>
      <c r="F11" s="292"/>
      <c r="G11" s="330">
        <v>22.9</v>
      </c>
      <c r="H11" s="294"/>
      <c r="AB11" s="143" t="s">
        <v>113</v>
      </c>
      <c r="AC11" s="144"/>
      <c r="AD11" s="144"/>
      <c r="AE11" s="144"/>
      <c r="AF11" s="331">
        <f>+G11*(G12/AJ16)</f>
        <v>16.721699883401055</v>
      </c>
      <c r="AG11" s="148"/>
      <c r="AH11" s="144" t="s">
        <v>114</v>
      </c>
      <c r="AI11" s="145"/>
      <c r="AJ11" s="188">
        <f>'(2.1)_Resources'!$N$70</f>
        <v>10.44</v>
      </c>
      <c r="AK11" s="271"/>
      <c r="AZ11" s="143" t="s">
        <v>113</v>
      </c>
      <c r="BA11" s="144"/>
      <c r="BB11" s="144"/>
      <c r="BC11" s="144"/>
      <c r="BD11" s="155">
        <f>(AF11*AF13-G11*G19)</f>
        <v>8.6952839393685473</v>
      </c>
      <c r="BE11" s="151"/>
    </row>
    <row r="12" spans="1:57" ht="12">
      <c r="B12" s="291"/>
      <c r="C12" s="292" t="s">
        <v>42</v>
      </c>
      <c r="D12" s="292"/>
      <c r="E12" s="292"/>
      <c r="F12" s="292"/>
      <c r="G12" s="332">
        <v>0.35049851283984751</v>
      </c>
      <c r="H12" s="294"/>
      <c r="AB12" s="143" t="s">
        <v>42</v>
      </c>
      <c r="AC12" s="144"/>
      <c r="AD12" s="144"/>
      <c r="AE12" s="144"/>
      <c r="AF12" s="152">
        <f>+AD47/8760/AF11</f>
        <v>0.23778955064053911</v>
      </c>
      <c r="AG12" s="148"/>
      <c r="AH12" s="138" t="s">
        <v>115</v>
      </c>
      <c r="AI12" s="139"/>
      <c r="AJ12" s="138">
        <v>2004</v>
      </c>
      <c r="AK12" s="271"/>
      <c r="AZ12" s="143"/>
      <c r="BA12" s="144"/>
      <c r="BB12" s="144"/>
      <c r="BC12" s="144"/>
      <c r="BD12" s="152"/>
      <c r="BE12" s="153"/>
    </row>
    <row r="13" spans="1:57" ht="12">
      <c r="B13" s="291"/>
      <c r="C13" s="292" t="s">
        <v>43</v>
      </c>
      <c r="D13" s="292"/>
      <c r="E13" s="292"/>
      <c r="F13" s="292"/>
      <c r="G13" s="293">
        <v>2005</v>
      </c>
      <c r="H13" s="294"/>
      <c r="AB13" s="143" t="s">
        <v>116</v>
      </c>
      <c r="AC13" s="144"/>
      <c r="AD13" s="144"/>
      <c r="AE13" s="144"/>
      <c r="AF13" s="154">
        <v>1</v>
      </c>
      <c r="AG13" s="148"/>
      <c r="AH13" s="138" t="s">
        <v>117</v>
      </c>
      <c r="AI13" s="139"/>
      <c r="AJ13" s="188">
        <f>'(2.1)_Resources'!$O$70</f>
        <v>3.0586666666666669</v>
      </c>
      <c r="AK13" s="271"/>
      <c r="AZ13" s="143" t="s">
        <v>116</v>
      </c>
      <c r="BA13" s="144"/>
      <c r="BB13" s="144"/>
      <c r="BC13" s="144"/>
      <c r="BD13" s="154">
        <v>1</v>
      </c>
      <c r="BE13" s="153"/>
    </row>
    <row r="14" spans="1:57" ht="12">
      <c r="B14" s="291"/>
      <c r="C14" s="292" t="s">
        <v>44</v>
      </c>
      <c r="D14" s="292"/>
      <c r="E14" s="292"/>
      <c r="F14" s="292"/>
      <c r="G14" s="293">
        <v>14</v>
      </c>
      <c r="H14" s="294"/>
      <c r="AB14" s="143" t="s">
        <v>118</v>
      </c>
      <c r="AC14" s="144"/>
      <c r="AD14" s="144"/>
      <c r="AE14" s="144"/>
      <c r="AF14" s="155">
        <f>'(2.1)_Resources'!$H$70</f>
        <v>7598.6666666666679</v>
      </c>
      <c r="AG14" s="148"/>
      <c r="AH14" s="138"/>
      <c r="AI14" s="139"/>
      <c r="AJ14" s="188"/>
      <c r="AK14" s="271"/>
      <c r="AZ14" s="143" t="s">
        <v>119</v>
      </c>
      <c r="BA14" s="144"/>
      <c r="BB14" s="144"/>
      <c r="BC14" s="144"/>
      <c r="BD14" s="189">
        <f>'(2.1)_Resources'!$J$71</f>
        <v>408</v>
      </c>
      <c r="BE14" s="153"/>
    </row>
    <row r="15" spans="1:57" ht="12">
      <c r="A15" s="157" t="s">
        <v>225</v>
      </c>
      <c r="B15" s="291"/>
      <c r="C15" s="292" t="s">
        <v>121</v>
      </c>
      <c r="D15" s="292"/>
      <c r="E15" s="292"/>
      <c r="F15" s="292"/>
      <c r="G15" s="333">
        <f>S28*1000/(G11*1000)</f>
        <v>45.891821857092474</v>
      </c>
      <c r="H15" s="294"/>
      <c r="AB15" s="143" t="s">
        <v>227</v>
      </c>
      <c r="AC15" s="144"/>
      <c r="AD15" s="144"/>
      <c r="AE15" s="144"/>
      <c r="AF15" s="189">
        <f>'(2.1)_Resources'!$J$70</f>
        <v>672.6</v>
      </c>
      <c r="AG15" s="148"/>
      <c r="AH15" s="138" t="s">
        <v>168</v>
      </c>
      <c r="AI15" s="139"/>
      <c r="AJ15" s="188">
        <f>'(2.1)_Resources'!$P$70</f>
        <v>2.3626666666666671</v>
      </c>
      <c r="AK15" s="271"/>
      <c r="AZ15" s="143" t="s">
        <v>122</v>
      </c>
      <c r="BA15" s="144"/>
      <c r="BB15" s="144"/>
      <c r="BC15" s="144"/>
      <c r="BD15" s="158">
        <f>'(2.1)_Resources'!$K$71</f>
        <v>7.6700000000000004E-2</v>
      </c>
      <c r="BE15" s="153"/>
    </row>
    <row r="16" spans="1:57" ht="12">
      <c r="A16" s="157" t="s">
        <v>225</v>
      </c>
      <c r="B16" s="291"/>
      <c r="C16" s="292" t="s">
        <v>123</v>
      </c>
      <c r="D16" s="292"/>
      <c r="E16" s="292"/>
      <c r="F16" s="292"/>
      <c r="G16" s="333">
        <v>0</v>
      </c>
      <c r="H16" s="294"/>
      <c r="AB16" s="143" t="s">
        <v>122</v>
      </c>
      <c r="AC16" s="144"/>
      <c r="AD16" s="144"/>
      <c r="AE16" s="144"/>
      <c r="AF16" s="158">
        <f>'(2.1)_Resources'!$K$68</f>
        <v>7.9299999999999995E-2</v>
      </c>
      <c r="AG16" s="148"/>
      <c r="AH16" s="138" t="s">
        <v>124</v>
      </c>
      <c r="AI16" s="145"/>
      <c r="AJ16" s="159">
        <f>'(2.1)_Resources'!$D$70</f>
        <v>0.48000000000000004</v>
      </c>
      <c r="AK16" s="271"/>
      <c r="AZ16" s="143" t="s">
        <v>114</v>
      </c>
      <c r="BA16" s="145"/>
      <c r="BB16" s="188">
        <f>'(2.1)_Resources'!$N$71</f>
        <v>10.97</v>
      </c>
      <c r="BC16" s="4"/>
      <c r="BD16" s="4"/>
      <c r="BE16" s="151"/>
    </row>
    <row r="17" spans="1:60" ht="12">
      <c r="A17" s="157" t="s">
        <v>225</v>
      </c>
      <c r="B17" s="291"/>
      <c r="C17" s="292" t="s">
        <v>125</v>
      </c>
      <c r="D17" s="292"/>
      <c r="E17" s="292"/>
      <c r="F17" s="292"/>
      <c r="G17" s="333">
        <v>0</v>
      </c>
      <c r="H17" s="294"/>
      <c r="AB17" s="3"/>
      <c r="AG17" s="148"/>
      <c r="AH17" s="4"/>
      <c r="AI17" s="148"/>
      <c r="AJ17" s="144"/>
      <c r="AK17" s="151"/>
      <c r="AZ17" s="137" t="s">
        <v>115</v>
      </c>
      <c r="BA17" s="139"/>
      <c r="BB17" s="138">
        <v>2004</v>
      </c>
      <c r="BC17" s="4"/>
      <c r="BD17" s="4"/>
      <c r="BE17" s="149"/>
    </row>
    <row r="18" spans="1:60" ht="12">
      <c r="B18" s="291"/>
      <c r="C18" s="292" t="s">
        <v>126</v>
      </c>
      <c r="D18" s="292"/>
      <c r="E18" s="292"/>
      <c r="F18" s="292"/>
      <c r="G18" s="332">
        <v>7.1999999999999995E-2</v>
      </c>
      <c r="H18" s="29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2"/>
      <c r="AZ18" s="160"/>
      <c r="BA18" s="161"/>
      <c r="BB18" s="161"/>
      <c r="BC18" s="161"/>
      <c r="BD18" s="161"/>
      <c r="BE18" s="163"/>
    </row>
    <row r="19" spans="1:60">
      <c r="B19" s="298"/>
      <c r="C19" s="299" t="s">
        <v>116</v>
      </c>
      <c r="D19" s="299"/>
      <c r="E19" s="299"/>
      <c r="F19" s="299"/>
      <c r="G19" s="190">
        <v>0.35049851283984751</v>
      </c>
      <c r="H19" s="301"/>
    </row>
    <row r="20" spans="1:60">
      <c r="B20" s="264"/>
      <c r="C20" s="264"/>
      <c r="D20" s="264"/>
      <c r="E20" s="264"/>
      <c r="F20" s="264"/>
      <c r="G20" s="264"/>
      <c r="H20" s="264"/>
    </row>
    <row r="23" spans="1:60">
      <c r="B23" s="284"/>
      <c r="C23" s="302" t="s">
        <v>128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3"/>
      <c r="AB23" s="284" t="s">
        <v>110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6"/>
      <c r="AZ23" s="284" t="s">
        <v>111</v>
      </c>
      <c r="BA23" s="285"/>
      <c r="BB23" s="285"/>
      <c r="BC23" s="285"/>
      <c r="BD23" s="285"/>
      <c r="BE23" s="285"/>
      <c r="BF23" s="285"/>
      <c r="BG23" s="285"/>
      <c r="BH23" s="286"/>
    </row>
    <row r="24" spans="1:60">
      <c r="B24" s="3"/>
      <c r="C24" s="4"/>
      <c r="D24" s="4"/>
      <c r="E24" s="4"/>
      <c r="F24" s="4"/>
      <c r="G24" s="304"/>
      <c r="H24" s="4"/>
      <c r="I24" s="304"/>
      <c r="J24" s="4"/>
      <c r="K24" s="304"/>
      <c r="L24" s="4"/>
      <c r="M24" s="4"/>
      <c r="N24" s="4"/>
      <c r="O24" s="304"/>
      <c r="P24" s="4"/>
      <c r="Q24" s="304"/>
      <c r="R24" s="4"/>
      <c r="S24" s="304"/>
      <c r="T24" s="4"/>
      <c r="U24" s="304"/>
      <c r="V24" s="4"/>
      <c r="W24" s="304"/>
      <c r="X24" s="4"/>
      <c r="Y24" s="304"/>
      <c r="Z24" s="271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71"/>
      <c r="AZ24" s="3"/>
      <c r="BA24" s="4"/>
      <c r="BB24" s="4"/>
      <c r="BC24" s="4"/>
      <c r="BD24" s="4"/>
      <c r="BE24" s="4"/>
      <c r="BF24" s="4"/>
      <c r="BG24" s="4"/>
      <c r="BH24" s="271"/>
    </row>
    <row r="25" spans="1:60" ht="60">
      <c r="B25" s="3"/>
      <c r="C25" s="4"/>
      <c r="D25" s="4"/>
      <c r="E25" s="304"/>
      <c r="F25" s="4"/>
      <c r="G25" s="305" t="s">
        <v>129</v>
      </c>
      <c r="H25" s="4"/>
      <c r="I25" s="305" t="s">
        <v>130</v>
      </c>
      <c r="J25" s="4"/>
      <c r="K25" s="305" t="s">
        <v>131</v>
      </c>
      <c r="L25" s="4"/>
      <c r="M25" s="305" t="s">
        <v>125</v>
      </c>
      <c r="N25" s="4"/>
      <c r="O25" s="305" t="s">
        <v>132</v>
      </c>
      <c r="P25" s="4"/>
      <c r="Q25" s="305" t="s">
        <v>133</v>
      </c>
      <c r="R25" s="4"/>
      <c r="S25" s="305" t="s">
        <v>30</v>
      </c>
      <c r="T25" s="4"/>
      <c r="U25" s="305" t="s">
        <v>134</v>
      </c>
      <c r="V25" s="4"/>
      <c r="W25" s="305" t="s">
        <v>135</v>
      </c>
      <c r="X25" s="270"/>
      <c r="Y25" s="305" t="s">
        <v>135</v>
      </c>
      <c r="Z25" s="271"/>
      <c r="AB25" s="164"/>
      <c r="AC25" s="139"/>
      <c r="AD25" s="306" t="s">
        <v>129</v>
      </c>
      <c r="AE25" s="4"/>
      <c r="AF25" s="165" t="s">
        <v>136</v>
      </c>
      <c r="AG25" s="166"/>
      <c r="AH25" s="165" t="s">
        <v>137</v>
      </c>
      <c r="AI25" s="4"/>
      <c r="AJ25" s="165" t="s">
        <v>138</v>
      </c>
      <c r="AK25" s="4"/>
      <c r="AL25" s="165" t="s">
        <v>139</v>
      </c>
      <c r="AM25" s="4"/>
      <c r="AN25" s="165" t="s">
        <v>140</v>
      </c>
      <c r="AO25" s="4"/>
      <c r="AP25" s="165" t="s">
        <v>140</v>
      </c>
      <c r="AQ25" s="4"/>
      <c r="AR25" s="165" t="s">
        <v>160</v>
      </c>
      <c r="AS25" s="165"/>
      <c r="AT25" s="165" t="s">
        <v>141</v>
      </c>
      <c r="AU25" s="4"/>
      <c r="AV25" s="165" t="s">
        <v>142</v>
      </c>
      <c r="AW25" s="4"/>
      <c r="AX25" s="165" t="s">
        <v>143</v>
      </c>
      <c r="AZ25" s="164"/>
      <c r="BA25" s="139"/>
      <c r="BB25" s="165" t="s">
        <v>136</v>
      </c>
      <c r="BC25" s="4"/>
      <c r="BD25" s="165" t="s">
        <v>137</v>
      </c>
      <c r="BE25" s="4"/>
      <c r="BF25" s="165" t="s">
        <v>139</v>
      </c>
      <c r="BG25" s="4"/>
      <c r="BH25" s="167"/>
    </row>
    <row r="26" spans="1:60" ht="22.5">
      <c r="B26" s="3"/>
      <c r="C26" s="308" t="s">
        <v>144</v>
      </c>
      <c r="D26" s="4"/>
      <c r="E26" s="305" t="s">
        <v>145</v>
      </c>
      <c r="F26" s="4"/>
      <c r="G26" s="304" t="s">
        <v>146</v>
      </c>
      <c r="H26" s="4"/>
      <c r="I26" s="304" t="s">
        <v>147</v>
      </c>
      <c r="J26" s="4"/>
      <c r="K26" s="304" t="str">
        <f>"($/MWH)"</f>
        <v>($/MWH)</v>
      </c>
      <c r="L26" s="4"/>
      <c r="M26" s="304" t="str">
        <f>"($/MWH)"</f>
        <v>($/MWH)</v>
      </c>
      <c r="N26" s="4"/>
      <c r="O26" s="304" t="str">
        <f>"($/MWH)"</f>
        <v>($/MWH)</v>
      </c>
      <c r="P26" s="4"/>
      <c r="Q26" s="304" t="str">
        <f>"($/MWH)"</f>
        <v>($/MWH)</v>
      </c>
      <c r="R26" s="4"/>
      <c r="S26" s="304" t="str">
        <f>"($000)"</f>
        <v>($000)</v>
      </c>
      <c r="T26" s="4"/>
      <c r="U26" s="304" t="str">
        <f>"($000)"</f>
        <v>($000)</v>
      </c>
      <c r="V26" s="4"/>
      <c r="W26" s="304" t="str">
        <f>"($000)"</f>
        <v>($000)</v>
      </c>
      <c r="X26" s="270"/>
      <c r="Y26" s="304" t="s">
        <v>148</v>
      </c>
      <c r="Z26" s="271"/>
      <c r="AB26" s="168" t="s">
        <v>90</v>
      </c>
      <c r="AC26" s="139"/>
      <c r="AD26" s="4" t="s">
        <v>146</v>
      </c>
      <c r="AE26" s="4"/>
      <c r="AF26" s="166" t="s">
        <v>147</v>
      </c>
      <c r="AG26" s="166"/>
      <c r="AH26" s="166" t="s">
        <v>147</v>
      </c>
      <c r="AI26" s="4"/>
      <c r="AJ26" s="166" t="s">
        <v>149</v>
      </c>
      <c r="AK26" s="4"/>
      <c r="AL26" s="166" t="s">
        <v>150</v>
      </c>
      <c r="AM26" s="4"/>
      <c r="AN26" s="166" t="s">
        <v>151</v>
      </c>
      <c r="AO26" s="4"/>
      <c r="AP26" s="166" t="s">
        <v>149</v>
      </c>
      <c r="AQ26" s="4"/>
      <c r="AR26" s="166" t="s">
        <v>149</v>
      </c>
      <c r="AS26" s="166"/>
      <c r="AT26" s="166" t="s">
        <v>150</v>
      </c>
      <c r="AU26" s="4"/>
      <c r="AV26" s="166" t="s">
        <v>150</v>
      </c>
      <c r="AW26" s="4"/>
      <c r="AX26" s="169" t="s">
        <v>150</v>
      </c>
      <c r="AZ26" s="168" t="s">
        <v>90</v>
      </c>
      <c r="BA26" s="139"/>
      <c r="BB26" s="166" t="s">
        <v>147</v>
      </c>
      <c r="BC26" s="4"/>
      <c r="BD26" s="166" t="s">
        <v>147</v>
      </c>
      <c r="BE26" s="4"/>
      <c r="BF26" s="166" t="s">
        <v>150</v>
      </c>
      <c r="BG26" s="4"/>
      <c r="BH26" s="169"/>
    </row>
    <row r="27" spans="1:60" ht="12">
      <c r="B27" s="3"/>
      <c r="C27" s="309" t="s">
        <v>48</v>
      </c>
      <c r="D27" s="4"/>
      <c r="E27" s="309" t="s">
        <v>48</v>
      </c>
      <c r="F27" s="4"/>
      <c r="G27" s="309" t="s">
        <v>48</v>
      </c>
      <c r="H27" s="4"/>
      <c r="I27" s="309" t="s">
        <v>48</v>
      </c>
      <c r="J27" s="4"/>
      <c r="K27" s="309" t="s">
        <v>48</v>
      </c>
      <c r="L27" s="4"/>
      <c r="M27" s="309" t="s">
        <v>48</v>
      </c>
      <c r="N27" s="4"/>
      <c r="O27" s="309" t="s">
        <v>48</v>
      </c>
      <c r="P27" s="4"/>
      <c r="Q27" s="309" t="s">
        <v>48</v>
      </c>
      <c r="R27" s="4"/>
      <c r="S27" s="309" t="s">
        <v>48</v>
      </c>
      <c r="T27" s="4"/>
      <c r="U27" s="309" t="s">
        <v>48</v>
      </c>
      <c r="V27" s="4"/>
      <c r="W27" s="309" t="s">
        <v>48</v>
      </c>
      <c r="X27" s="4"/>
      <c r="Y27" s="309" t="s">
        <v>48</v>
      </c>
      <c r="Z27" s="271"/>
      <c r="AB27" s="170" t="s">
        <v>48</v>
      </c>
      <c r="AC27" s="139"/>
      <c r="AD27" s="171" t="s">
        <v>48</v>
      </c>
      <c r="AE27" s="4"/>
      <c r="AF27" s="171" t="s">
        <v>48</v>
      </c>
      <c r="AG27" s="4"/>
      <c r="AH27" s="171" t="s">
        <v>48</v>
      </c>
      <c r="AI27" s="4"/>
      <c r="AJ27" s="171" t="s">
        <v>48</v>
      </c>
      <c r="AK27" s="4"/>
      <c r="AL27" s="171" t="s">
        <v>48</v>
      </c>
      <c r="AM27" s="4"/>
      <c r="AN27" s="171" t="s">
        <v>48</v>
      </c>
      <c r="AO27" s="310"/>
      <c r="AP27" s="171" t="s">
        <v>48</v>
      </c>
      <c r="AQ27" s="310"/>
      <c r="AR27" s="171" t="s">
        <v>48</v>
      </c>
      <c r="AS27" s="171"/>
      <c r="AT27" s="171"/>
      <c r="AU27" s="310"/>
      <c r="AV27" s="171" t="s">
        <v>48</v>
      </c>
      <c r="AW27" s="4"/>
      <c r="AX27" s="172" t="s">
        <v>48</v>
      </c>
      <c r="AZ27" s="170" t="s">
        <v>48</v>
      </c>
      <c r="BA27" s="139"/>
      <c r="BB27" s="171" t="s">
        <v>48</v>
      </c>
      <c r="BC27" s="4"/>
      <c r="BD27" s="171" t="s">
        <v>48</v>
      </c>
      <c r="BE27" s="4"/>
      <c r="BF27" s="171" t="s">
        <v>48</v>
      </c>
      <c r="BG27" s="4"/>
      <c r="BH27" s="172"/>
    </row>
    <row r="28" spans="1:60" ht="12">
      <c r="B28" s="3"/>
      <c r="C28" s="7">
        <f>+G13</f>
        <v>2005</v>
      </c>
      <c r="D28" s="7"/>
      <c r="E28" s="311">
        <f>IF(AND(C28&gt;=2003,C28&lt;=2010),'(2.2)_Forward_Price_Curve'!$BE$43,IF(AND(C28&gt;=2011,C28&lt;=2020),'(2.2)_Forward_Price_Curve'!$BE$44,'(2.2)_Forward_Price_Curve'!$BE$45))</f>
        <v>2.0199999999999999E-2</v>
      </c>
      <c r="F28" s="7"/>
      <c r="G28" s="23">
        <v>33467</v>
      </c>
      <c r="H28" s="7"/>
      <c r="I28" s="335">
        <f>$G$15</f>
        <v>45.891821857092474</v>
      </c>
      <c r="J28" s="312"/>
      <c r="K28" s="312">
        <f>$G$16</f>
        <v>0</v>
      </c>
      <c r="L28" s="313"/>
      <c r="M28" s="312">
        <f>$G$17</f>
        <v>0</v>
      </c>
      <c r="N28" s="7"/>
      <c r="O28" s="314"/>
      <c r="P28" s="7"/>
      <c r="Q28" s="30"/>
      <c r="R28" s="7"/>
      <c r="S28" s="23">
        <v>1050.9227205274178</v>
      </c>
      <c r="T28" s="7"/>
      <c r="U28" s="23">
        <f t="shared" ref="U28:U42" si="0">AX28</f>
        <v>2298.9980406941422</v>
      </c>
      <c r="V28" s="7"/>
      <c r="W28" s="23">
        <f t="shared" ref="W28:W42" si="1">S28-U28</f>
        <v>-1248.0753201667244</v>
      </c>
      <c r="X28" s="7"/>
      <c r="Y28" s="315">
        <f>+W28*1000/G28</f>
        <v>-37.29271581458525</v>
      </c>
      <c r="Z28" s="271"/>
      <c r="AB28" s="168">
        <f>$C$28</f>
        <v>2005</v>
      </c>
      <c r="AC28" s="138"/>
      <c r="AD28" s="173">
        <f t="shared" ref="AD28:AD42" si="2">G28</f>
        <v>33467</v>
      </c>
      <c r="AE28" s="4"/>
      <c r="AF28" s="174">
        <f>$AF$15*$AF$16*(1+E28)</f>
        <v>54.414591035999997</v>
      </c>
      <c r="AG28" s="316"/>
      <c r="AH28" s="174">
        <f>$AJ$11*(1+E28)</f>
        <v>10.650888</v>
      </c>
      <c r="AI28" s="316"/>
      <c r="AJ28" s="174">
        <f>$AJ$13*(1+E28)</f>
        <v>3.1204517333333337</v>
      </c>
      <c r="AK28" s="317"/>
      <c r="AL28" s="175">
        <f>((AF28+AH28)*$AF$11*1000+AJ28*AD28)/1000</f>
        <v>1192.4375713691816</v>
      </c>
      <c r="AM28" s="4"/>
      <c r="AN28" s="176">
        <f>INDEX('(2.2)_Forward_Price_Curve'!$I:$I,MATCH($AB28,'(2.2)_Forward_Price_Curve'!$C:$C,0),1)</f>
        <v>5.5083917806249998</v>
      </c>
      <c r="AO28" s="329"/>
      <c r="AP28" s="176">
        <f>AN28*$AF$14/1000</f>
        <v>41.856433010375838</v>
      </c>
      <c r="AQ28" s="316"/>
      <c r="AR28" s="174">
        <f>$AJ$15*(1+E28)</f>
        <v>2.4103925333333338</v>
      </c>
      <c r="AS28" s="174"/>
      <c r="AT28" s="175">
        <f t="shared" ref="AT28:AT42" si="3">AL28-BF28</f>
        <v>817.52019022282707</v>
      </c>
      <c r="AU28" s="317"/>
      <c r="AV28" s="175">
        <f t="shared" ref="AV28:AV42" si="4">(AP28+AR28)*AD28/1000</f>
        <v>1481.4778504713149</v>
      </c>
      <c r="AW28" s="318"/>
      <c r="AX28" s="177">
        <f>AT28+AV28</f>
        <v>2298.9980406941422</v>
      </c>
      <c r="AZ28" s="168">
        <f>$C$28</f>
        <v>2005</v>
      </c>
      <c r="BA28" s="138"/>
      <c r="BB28" s="174">
        <f>$BD$14*$BD$15*(1+E28)</f>
        <v>31.925730720000001</v>
      </c>
      <c r="BC28" s="4"/>
      <c r="BD28" s="174">
        <f>$BB$16*(1+E28)</f>
        <v>11.191594</v>
      </c>
      <c r="BE28" s="316"/>
      <c r="BF28" s="175">
        <f>(BB28+BD28)*$BD$11</f>
        <v>374.91738114635444</v>
      </c>
      <c r="BG28" s="316"/>
      <c r="BH28" s="178"/>
    </row>
    <row r="29" spans="1:60" ht="12">
      <c r="B29" s="3"/>
      <c r="C29" s="7">
        <f>+IF(C28&gt;$G$13+$G$14,XX,C28+1)</f>
        <v>2006</v>
      </c>
      <c r="D29" s="7"/>
      <c r="E29" s="311">
        <f>IF(AND(C29&gt;=2003,C29&lt;=2010),'(2.2)_Forward_Price_Curve'!$BE$43,IF(AND(C29&gt;=2011,C29&lt;=2020),'(2.2)_Forward_Price_Curve'!$BE$44,'(2.2)_Forward_Price_Curve'!$BE$45))</f>
        <v>2.0199999999999999E-2</v>
      </c>
      <c r="F29" s="7"/>
      <c r="G29" s="23">
        <f>$G$28</f>
        <v>33467</v>
      </c>
      <c r="H29" s="7"/>
      <c r="I29" s="30">
        <f>I28*(1+$E29)</f>
        <v>46.81883665860574</v>
      </c>
      <c r="J29" s="7"/>
      <c r="K29" s="30">
        <f>K28*(1+$E29)</f>
        <v>0</v>
      </c>
      <c r="L29" s="7"/>
      <c r="M29" s="30">
        <f>M28*(1+$E29)</f>
        <v>0</v>
      </c>
      <c r="N29" s="7"/>
      <c r="O29" s="314"/>
      <c r="P29" s="7"/>
      <c r="Q29" s="30"/>
      <c r="R29" s="7"/>
      <c r="S29" s="23">
        <v>0</v>
      </c>
      <c r="T29" s="7"/>
      <c r="U29" s="23">
        <f t="shared" si="0"/>
        <v>2200.9033928061058</v>
      </c>
      <c r="V29" s="7"/>
      <c r="W29" s="23">
        <f t="shared" si="1"/>
        <v>-2200.9033928061058</v>
      </c>
      <c r="X29" s="7"/>
      <c r="Y29" s="315">
        <f t="shared" ref="Y29:Y42" si="5">+W29*1000/G29</f>
        <v>-65.763390587925585</v>
      </c>
      <c r="Z29" s="271"/>
      <c r="AB29" s="168">
        <f>+IF(AB28&gt;$G$13+$G$14,XX,AB28+1)</f>
        <v>2006</v>
      </c>
      <c r="AC29" s="138"/>
      <c r="AD29" s="173">
        <f t="shared" si="2"/>
        <v>33467</v>
      </c>
      <c r="AE29" s="4"/>
      <c r="AF29" s="176">
        <f>AF28*(1+$E29)</f>
        <v>55.513765774927194</v>
      </c>
      <c r="AG29" s="4"/>
      <c r="AH29" s="176">
        <f>AH28*(1+$E29)</f>
        <v>10.8660359376</v>
      </c>
      <c r="AI29" s="4"/>
      <c r="AJ29" s="176">
        <f>AJ28*(1+$E29)</f>
        <v>3.1834848583466671</v>
      </c>
      <c r="AK29" s="4"/>
      <c r="AL29" s="175">
        <f t="shared" ref="AL29:AL42" si="6">((AF29+AH29)*$AF$11*1000+AJ29*AD29)/1000</f>
        <v>1216.524810310839</v>
      </c>
      <c r="AM29" s="4"/>
      <c r="AN29" s="176">
        <f>INDEX('(2.2)_Forward_Price_Curve'!$I:$I,MATCH($AB29,'(2.2)_Forward_Price_Curve'!$C:$C,0),1)</f>
        <v>5.0513097146666661</v>
      </c>
      <c r="AO29" s="4"/>
      <c r="AP29" s="176">
        <f t="shared" ref="AP29:AP42" si="7">AN29*$AF$14/1000</f>
        <v>38.38321875184711</v>
      </c>
      <c r="AQ29" s="4"/>
      <c r="AR29" s="176">
        <f>AR28*(1+$E29)</f>
        <v>2.4590824625066672</v>
      </c>
      <c r="AS29" s="176"/>
      <c r="AT29" s="175">
        <f t="shared" si="3"/>
        <v>834.03409806532829</v>
      </c>
      <c r="AU29" s="4"/>
      <c r="AV29" s="175">
        <f t="shared" si="4"/>
        <v>1366.8692947407776</v>
      </c>
      <c r="AW29" s="318"/>
      <c r="AX29" s="177">
        <f t="shared" ref="AX29:AX42" si="8">AT29+AV29</f>
        <v>2200.9033928061058</v>
      </c>
      <c r="AZ29" s="168">
        <f>+IF(AZ28&gt;$G$13+$G$14,XX,AZ28+1)</f>
        <v>2006</v>
      </c>
      <c r="BA29" s="138"/>
      <c r="BB29" s="176">
        <f>BB28*(1+$E29)</f>
        <v>32.570630480543997</v>
      </c>
      <c r="BC29" s="4"/>
      <c r="BD29" s="176">
        <f>BD28*(1+$E29)</f>
        <v>11.417664198800001</v>
      </c>
      <c r="BE29" s="4"/>
      <c r="BF29" s="175">
        <f t="shared" ref="BF29:BF42" si="9">(BB29+BD29)*$BD$11</f>
        <v>382.49071224551074</v>
      </c>
      <c r="BG29" s="4"/>
      <c r="BH29" s="179"/>
    </row>
    <row r="30" spans="1:60" ht="12">
      <c r="B30" s="3"/>
      <c r="C30" s="7">
        <f>+IF(C29&gt;$G$13+$G$14,XX,C29+1)</f>
        <v>2007</v>
      </c>
      <c r="D30" s="7"/>
      <c r="E30" s="311">
        <f>IF(AND(C30&gt;=2003,C30&lt;=2010),'(2.2)_Forward_Price_Curve'!$BE$43,IF(AND(C30&gt;=2011,C30&lt;=2020),'(2.2)_Forward_Price_Curve'!$BE$44,'(2.2)_Forward_Price_Curve'!$BE$45))</f>
        <v>2.0199999999999999E-2</v>
      </c>
      <c r="F30" s="7"/>
      <c r="G30" s="23">
        <f t="shared" ref="G30:G42" si="10">$G$28</f>
        <v>33467</v>
      </c>
      <c r="H30" s="7"/>
      <c r="I30" s="30">
        <f t="shared" ref="I30:I42" si="11">I29*(1+$E30)</f>
        <v>47.764577159109578</v>
      </c>
      <c r="J30" s="7"/>
      <c r="K30" s="30">
        <f t="shared" ref="K30:K42" si="12">K29*(1+$E30)</f>
        <v>0</v>
      </c>
      <c r="L30" s="7"/>
      <c r="M30" s="30">
        <f t="shared" ref="M30:M42" si="13">M29*(1+$E30)</f>
        <v>0</v>
      </c>
      <c r="N30" s="7"/>
      <c r="O30" s="314"/>
      <c r="P30" s="7"/>
      <c r="Q30" s="30"/>
      <c r="R30" s="7"/>
      <c r="S30" s="23">
        <v>0</v>
      </c>
      <c r="T30" s="7"/>
      <c r="U30" s="23">
        <f t="shared" si="0"/>
        <v>2106.5639665532244</v>
      </c>
      <c r="V30" s="7"/>
      <c r="W30" s="23">
        <f t="shared" si="1"/>
        <v>-2106.5639665532244</v>
      </c>
      <c r="X30" s="7"/>
      <c r="Y30" s="315">
        <f t="shared" si="5"/>
        <v>-62.944511505459836</v>
      </c>
      <c r="Z30" s="271"/>
      <c r="AB30" s="168">
        <f>+IF(AB29&gt;$G$13+$G$14,XX,AB29+1)</f>
        <v>2007</v>
      </c>
      <c r="AC30" s="138"/>
      <c r="AD30" s="173">
        <f t="shared" si="2"/>
        <v>33467</v>
      </c>
      <c r="AE30" s="4"/>
      <c r="AF30" s="176">
        <f t="shared" ref="AF30:AF42" si="14">AF29*(1+$E30)</f>
        <v>56.635143843580721</v>
      </c>
      <c r="AG30" s="4"/>
      <c r="AH30" s="176">
        <f t="shared" ref="AH30:AH42" si="15">AH29*(1+$E30)</f>
        <v>11.08552986353952</v>
      </c>
      <c r="AI30" s="4"/>
      <c r="AJ30" s="176">
        <f t="shared" ref="AJ30:AJ42" si="16">AJ29*(1+$E30)</f>
        <v>3.2477912524852699</v>
      </c>
      <c r="AK30" s="4"/>
      <c r="AL30" s="175">
        <f t="shared" si="6"/>
        <v>1241.0986114791181</v>
      </c>
      <c r="AM30" s="4"/>
      <c r="AN30" s="176">
        <f>INDEX('(2.2)_Forward_Price_Curve'!$I:$I,MATCH($AB30,'(2.2)_Forward_Price_Curve'!$C:$C,0),1)</f>
        <v>4.6075531055833343</v>
      </c>
      <c r="AO30" s="4"/>
      <c r="AP30" s="176">
        <f t="shared" si="7"/>
        <v>35.011260198292568</v>
      </c>
      <c r="AQ30" s="4"/>
      <c r="AR30" s="176">
        <f t="shared" ref="AR30:AR42" si="17">AR29*(1+$E30)</f>
        <v>2.5087559282493017</v>
      </c>
      <c r="AS30" s="176"/>
      <c r="AT30" s="175">
        <f t="shared" si="3"/>
        <v>850.88158684624796</v>
      </c>
      <c r="AU30" s="4"/>
      <c r="AV30" s="175">
        <f t="shared" si="4"/>
        <v>1255.6823797069767</v>
      </c>
      <c r="AW30" s="318"/>
      <c r="AX30" s="177">
        <f t="shared" si="8"/>
        <v>2106.5639665532244</v>
      </c>
      <c r="AZ30" s="168">
        <f>+IF(AZ29&gt;$G$13+$G$14,XX,AZ29+1)</f>
        <v>2007</v>
      </c>
      <c r="BA30" s="138"/>
      <c r="BB30" s="176">
        <f t="shared" ref="BB30:BB42" si="18">BB29*(1+$E30)</f>
        <v>33.228557216250984</v>
      </c>
      <c r="BC30" s="4"/>
      <c r="BD30" s="176">
        <f t="shared" ref="BD30:BD42" si="19">BD29*(1+$E30)</f>
        <v>11.648301015615761</v>
      </c>
      <c r="BE30" s="4"/>
      <c r="BF30" s="175">
        <f t="shared" si="9"/>
        <v>390.21702463287011</v>
      </c>
      <c r="BG30" s="4"/>
      <c r="BH30" s="179"/>
    </row>
    <row r="31" spans="1:60" ht="12">
      <c r="B31" s="3"/>
      <c r="C31" s="7">
        <f>+IF(C30&gt;$G$13+$G$14,XX,C30+1)</f>
        <v>2008</v>
      </c>
      <c r="D31" s="7"/>
      <c r="E31" s="311">
        <f>IF(AND(C31&gt;=2003,C31&lt;=2010),'(2.2)_Forward_Price_Curve'!$BE$43,IF(AND(C31&gt;=2011,C31&lt;=2020),'(2.2)_Forward_Price_Curve'!$BE$44,'(2.2)_Forward_Price_Curve'!$BE$45))</f>
        <v>2.0199999999999999E-2</v>
      </c>
      <c r="F31" s="7"/>
      <c r="G31" s="23">
        <f t="shared" si="10"/>
        <v>33467</v>
      </c>
      <c r="H31" s="7"/>
      <c r="I31" s="30">
        <f t="shared" si="11"/>
        <v>48.729421617723588</v>
      </c>
      <c r="J31" s="7"/>
      <c r="K31" s="30">
        <f t="shared" si="12"/>
        <v>0</v>
      </c>
      <c r="L31" s="7"/>
      <c r="M31" s="30">
        <f t="shared" si="13"/>
        <v>0</v>
      </c>
      <c r="N31" s="7"/>
      <c r="O31" s="314"/>
      <c r="P31" s="7"/>
      <c r="Q31" s="30"/>
      <c r="R31" s="7"/>
      <c r="S31" s="23">
        <v>0</v>
      </c>
      <c r="T31" s="7"/>
      <c r="U31" s="23">
        <f t="shared" si="0"/>
        <v>2041.6691006138162</v>
      </c>
      <c r="V31" s="7"/>
      <c r="W31" s="23">
        <f t="shared" si="1"/>
        <v>-2041.6691006138162</v>
      </c>
      <c r="X31" s="7"/>
      <c r="Y31" s="315">
        <f t="shared" si="5"/>
        <v>-61.00544119920567</v>
      </c>
      <c r="Z31" s="271"/>
      <c r="AB31" s="168">
        <f>+IF(AB30&gt;$G$13+$G$14,XX,AB30+1)</f>
        <v>2008</v>
      </c>
      <c r="AC31" s="138"/>
      <c r="AD31" s="173">
        <f t="shared" si="2"/>
        <v>33467</v>
      </c>
      <c r="AE31" s="4"/>
      <c r="AF31" s="176">
        <f t="shared" si="14"/>
        <v>57.779173749221052</v>
      </c>
      <c r="AG31" s="4"/>
      <c r="AH31" s="176">
        <f t="shared" si="15"/>
        <v>11.309457566783019</v>
      </c>
      <c r="AI31" s="4"/>
      <c r="AJ31" s="176">
        <f t="shared" si="16"/>
        <v>3.3133966357854723</v>
      </c>
      <c r="AK31" s="4"/>
      <c r="AL31" s="175">
        <f t="shared" si="6"/>
        <v>1266.1688034309961</v>
      </c>
      <c r="AM31" s="4"/>
      <c r="AN31" s="176">
        <f>INDEX('(2.2)_Forward_Price_Curve'!$I:$I,MATCH($AB31,'(2.2)_Forward_Price_Curve'!$C:$C,0),1)</f>
        <v>4.278110837291667</v>
      </c>
      <c r="AO31" s="4"/>
      <c r="AP31" s="176">
        <f t="shared" si="7"/>
        <v>32.507938215633615</v>
      </c>
      <c r="AQ31" s="4"/>
      <c r="AR31" s="176">
        <f t="shared" si="17"/>
        <v>2.5594327979999374</v>
      </c>
      <c r="AS31" s="176"/>
      <c r="AT31" s="175">
        <f t="shared" si="3"/>
        <v>868.06939490054208</v>
      </c>
      <c r="AU31" s="4"/>
      <c r="AV31" s="175">
        <f t="shared" si="4"/>
        <v>1173.5997057132743</v>
      </c>
      <c r="AW31" s="318"/>
      <c r="AX31" s="177">
        <f t="shared" si="8"/>
        <v>2041.6691006138162</v>
      </c>
      <c r="AZ31" s="168">
        <f>+IF(AZ30&gt;$G$13+$G$14,XX,AZ30+1)</f>
        <v>2008</v>
      </c>
      <c r="BA31" s="138"/>
      <c r="BB31" s="176">
        <f t="shared" si="18"/>
        <v>33.899774072019255</v>
      </c>
      <c r="BC31" s="4"/>
      <c r="BD31" s="176">
        <f t="shared" si="19"/>
        <v>11.8835966961312</v>
      </c>
      <c r="BE31" s="4"/>
      <c r="BF31" s="175">
        <f t="shared" si="9"/>
        <v>398.09940853045407</v>
      </c>
      <c r="BG31" s="4"/>
      <c r="BH31" s="179"/>
    </row>
    <row r="32" spans="1:60" ht="12">
      <c r="B32" s="3"/>
      <c r="C32" s="7">
        <f>+IF(C31&gt;$G$13+$G$14,XX,C31+1)</f>
        <v>2009</v>
      </c>
      <c r="D32" s="7"/>
      <c r="E32" s="311">
        <f>IF(AND(C32&gt;=2003,C32&lt;=2010),'(2.2)_Forward_Price_Curve'!$BE$43,IF(AND(C32&gt;=2011,C32&lt;=2020),'(2.2)_Forward_Price_Curve'!$BE$44,'(2.2)_Forward_Price_Curve'!$BE$45))</f>
        <v>2.0199999999999999E-2</v>
      </c>
      <c r="F32" s="7"/>
      <c r="G32" s="23">
        <f t="shared" si="10"/>
        <v>33467</v>
      </c>
      <c r="H32" s="7"/>
      <c r="I32" s="30">
        <f t="shared" si="11"/>
        <v>49.713755934401604</v>
      </c>
      <c r="J32" s="7"/>
      <c r="K32" s="30">
        <f t="shared" si="12"/>
        <v>0</v>
      </c>
      <c r="L32" s="7"/>
      <c r="M32" s="30">
        <f t="shared" si="13"/>
        <v>0</v>
      </c>
      <c r="N32" s="7"/>
      <c r="O32" s="314"/>
      <c r="P32" s="7"/>
      <c r="Q32" s="30"/>
      <c r="R32" s="7"/>
      <c r="S32" s="23">
        <v>0</v>
      </c>
      <c r="T32" s="7"/>
      <c r="U32" s="23">
        <f t="shared" si="0"/>
        <v>2042.7610859525498</v>
      </c>
      <c r="V32" s="7"/>
      <c r="W32" s="23">
        <f t="shared" si="1"/>
        <v>-2042.7610859525498</v>
      </c>
      <c r="X32" s="7"/>
      <c r="Y32" s="315">
        <f t="shared" si="5"/>
        <v>-61.038069918204492</v>
      </c>
      <c r="Z32" s="271"/>
      <c r="AB32" s="168">
        <f>+IF(AB31&gt;$G$13+$G$14,XX,AB31+1)</f>
        <v>2009</v>
      </c>
      <c r="AC32" s="138"/>
      <c r="AD32" s="173">
        <f t="shared" si="2"/>
        <v>33467</v>
      </c>
      <c r="AE32" s="4"/>
      <c r="AF32" s="176">
        <f t="shared" si="14"/>
        <v>58.946313058955319</v>
      </c>
      <c r="AG32" s="4"/>
      <c r="AH32" s="176">
        <f t="shared" si="15"/>
        <v>11.537908609632035</v>
      </c>
      <c r="AI32" s="4"/>
      <c r="AJ32" s="176">
        <f t="shared" si="16"/>
        <v>3.3803272478283386</v>
      </c>
      <c r="AK32" s="4"/>
      <c r="AL32" s="175">
        <f t="shared" si="6"/>
        <v>1291.7454132603023</v>
      </c>
      <c r="AM32" s="4"/>
      <c r="AN32" s="176">
        <f>INDEX('(2.2)_Forward_Price_Curve'!$I:$I,MATCH($AB32,'(2.2)_Forward_Price_Curve'!$C:$C,0),1)</f>
        <v>4.2066481892916672</v>
      </c>
      <c r="AO32" s="4"/>
      <c r="AP32" s="176">
        <f t="shared" si="7"/>
        <v>31.964917374364287</v>
      </c>
      <c r="AQ32" s="4"/>
      <c r="AR32" s="176">
        <f t="shared" si="17"/>
        <v>2.6111333405195363</v>
      </c>
      <c r="AS32" s="176"/>
      <c r="AT32" s="175">
        <f t="shared" si="3"/>
        <v>885.60439667753303</v>
      </c>
      <c r="AU32" s="4"/>
      <c r="AV32" s="175">
        <f t="shared" si="4"/>
        <v>1157.1566892750168</v>
      </c>
      <c r="AW32" s="318"/>
      <c r="AX32" s="177">
        <f t="shared" si="8"/>
        <v>2042.7610859525498</v>
      </c>
      <c r="AZ32" s="168">
        <f>+IF(AZ31&gt;$G$13+$G$14,XX,AZ31+1)</f>
        <v>2009</v>
      </c>
      <c r="BA32" s="138"/>
      <c r="BB32" s="176">
        <f t="shared" si="18"/>
        <v>34.584549508274044</v>
      </c>
      <c r="BC32" s="4"/>
      <c r="BD32" s="176">
        <f t="shared" si="19"/>
        <v>12.123645349393049</v>
      </c>
      <c r="BE32" s="4"/>
      <c r="BF32" s="175">
        <f t="shared" si="9"/>
        <v>406.14101658276928</v>
      </c>
      <c r="BG32" s="4"/>
      <c r="BH32" s="179"/>
    </row>
    <row r="33" spans="2:60" ht="12">
      <c r="B33" s="3"/>
      <c r="C33" s="7">
        <f>+IF(C32&gt;$G$13+$G$14,XX,C32+1)</f>
        <v>2010</v>
      </c>
      <c r="D33" s="7"/>
      <c r="E33" s="311">
        <f>IF(AND(C33&gt;=2003,C33&lt;=2010),'(2.2)_Forward_Price_Curve'!$BE$43,IF(AND(C33&gt;=2011,C33&lt;=2020),'(2.2)_Forward_Price_Curve'!$BE$44,'(2.2)_Forward_Price_Curve'!$BE$45))</f>
        <v>2.0199999999999999E-2</v>
      </c>
      <c r="F33" s="7"/>
      <c r="G33" s="23">
        <f t="shared" si="10"/>
        <v>33467</v>
      </c>
      <c r="H33" s="7"/>
      <c r="I33" s="30">
        <f t="shared" si="11"/>
        <v>50.717973804276518</v>
      </c>
      <c r="J33" s="7"/>
      <c r="K33" s="30">
        <f t="shared" si="12"/>
        <v>0</v>
      </c>
      <c r="L33" s="7"/>
      <c r="M33" s="30">
        <f t="shared" si="13"/>
        <v>0</v>
      </c>
      <c r="N33" s="7"/>
      <c r="O33" s="314"/>
      <c r="P33" s="7"/>
      <c r="Q33" s="30"/>
      <c r="R33" s="7"/>
      <c r="S33" s="23">
        <v>0</v>
      </c>
      <c r="T33" s="7"/>
      <c r="U33" s="23">
        <f t="shared" si="0"/>
        <v>2095.2573861433398</v>
      </c>
      <c r="V33" s="7"/>
      <c r="W33" s="23">
        <f t="shared" si="1"/>
        <v>-2095.2573861433398</v>
      </c>
      <c r="X33" s="7"/>
      <c r="Y33" s="315">
        <f t="shared" si="5"/>
        <v>-62.606668842242797</v>
      </c>
      <c r="Z33" s="271"/>
      <c r="AB33" s="168">
        <f>+IF(AB32&gt;$G$13+$G$14,XX,AB32+1)</f>
        <v>2010</v>
      </c>
      <c r="AC33" s="138"/>
      <c r="AD33" s="173">
        <f t="shared" si="2"/>
        <v>33467</v>
      </c>
      <c r="AE33" s="4"/>
      <c r="AF33" s="176">
        <f t="shared" si="14"/>
        <v>60.137028582746218</v>
      </c>
      <c r="AG33" s="4"/>
      <c r="AH33" s="176">
        <f t="shared" si="15"/>
        <v>11.770974363546602</v>
      </c>
      <c r="AI33" s="4"/>
      <c r="AJ33" s="176">
        <f t="shared" si="16"/>
        <v>3.4486098582344709</v>
      </c>
      <c r="AK33" s="4"/>
      <c r="AL33" s="175">
        <f t="shared" si="6"/>
        <v>1317.8386706081606</v>
      </c>
      <c r="AM33" s="4"/>
      <c r="AN33" s="176">
        <f>INDEX('(2.2)_Forward_Price_Curve'!$I:$I,MATCH($AB33,'(2.2)_Forward_Price_Curve'!$C:$C,0),1)</f>
        <v>4.3357920622499995</v>
      </c>
      <c r="AO33" s="4"/>
      <c r="AP33" s="176">
        <f t="shared" si="7"/>
        <v>32.946238617017002</v>
      </c>
      <c r="AQ33" s="4"/>
      <c r="AR33" s="176">
        <f t="shared" si="17"/>
        <v>2.6638782339980307</v>
      </c>
      <c r="AS33" s="176"/>
      <c r="AT33" s="175">
        <f t="shared" si="3"/>
        <v>903.49360549041944</v>
      </c>
      <c r="AU33" s="4"/>
      <c r="AV33" s="175">
        <f t="shared" si="4"/>
        <v>1191.7637806529203</v>
      </c>
      <c r="AW33" s="318"/>
      <c r="AX33" s="177">
        <f t="shared" si="8"/>
        <v>2095.2573861433398</v>
      </c>
      <c r="AZ33" s="168">
        <f>+IF(AZ32&gt;$G$13+$G$14,XX,AZ32+1)</f>
        <v>2010</v>
      </c>
      <c r="BA33" s="138"/>
      <c r="BB33" s="176">
        <f t="shared" si="18"/>
        <v>35.283157408341182</v>
      </c>
      <c r="BC33" s="4"/>
      <c r="BD33" s="176">
        <f t="shared" si="19"/>
        <v>12.368542985450789</v>
      </c>
      <c r="BE33" s="4"/>
      <c r="BF33" s="175">
        <f t="shared" si="9"/>
        <v>414.34506511774117</v>
      </c>
      <c r="BG33" s="4"/>
      <c r="BH33" s="179"/>
    </row>
    <row r="34" spans="2:60" ht="12">
      <c r="B34" s="3"/>
      <c r="C34" s="7">
        <f>+IF(C33&gt;$G$13+$G$14,XX,C33+1)</f>
        <v>2011</v>
      </c>
      <c r="D34" s="7"/>
      <c r="E34" s="311">
        <f>IF(AND(C34&gt;=2003,C34&lt;=2010),'(2.2)_Forward_Price_Curve'!$BE$43,IF(AND(C34&gt;=2011,C34&lt;=2020),'(2.2)_Forward_Price_Curve'!$BE$44,'(2.2)_Forward_Price_Curve'!$BE$45))</f>
        <v>2.9399999999999999E-2</v>
      </c>
      <c r="F34" s="7"/>
      <c r="G34" s="23">
        <f t="shared" si="10"/>
        <v>33467</v>
      </c>
      <c r="H34" s="7"/>
      <c r="I34" s="30">
        <f t="shared" si="11"/>
        <v>52.209082234122249</v>
      </c>
      <c r="J34" s="7"/>
      <c r="K34" s="30">
        <f t="shared" si="12"/>
        <v>0</v>
      </c>
      <c r="L34" s="7"/>
      <c r="M34" s="30">
        <f t="shared" si="13"/>
        <v>0</v>
      </c>
      <c r="N34" s="7"/>
      <c r="O34" s="314"/>
      <c r="P34" s="7"/>
      <c r="Q34" s="30"/>
      <c r="R34" s="7"/>
      <c r="S34" s="23">
        <v>0</v>
      </c>
      <c r="T34" s="7"/>
      <c r="U34" s="23">
        <f t="shared" si="0"/>
        <v>2139.7099373881629</v>
      </c>
      <c r="V34" s="7"/>
      <c r="W34" s="23">
        <f t="shared" si="1"/>
        <v>-2139.7099373881629</v>
      </c>
      <c r="X34" s="7"/>
      <c r="Y34" s="315">
        <f t="shared" si="5"/>
        <v>-63.934919096069649</v>
      </c>
      <c r="Z34" s="271"/>
      <c r="AB34" s="168">
        <f>+IF(AB33&gt;$G$13+$G$14,XX,AB33+1)</f>
        <v>2011</v>
      </c>
      <c r="AC34" s="138"/>
      <c r="AD34" s="173">
        <f t="shared" si="2"/>
        <v>33467</v>
      </c>
      <c r="AE34" s="4"/>
      <c r="AF34" s="176">
        <f t="shared" si="14"/>
        <v>61.905057223078963</v>
      </c>
      <c r="AG34" s="4"/>
      <c r="AH34" s="176">
        <f t="shared" si="15"/>
        <v>12.117041009834873</v>
      </c>
      <c r="AI34" s="4"/>
      <c r="AJ34" s="176">
        <f t="shared" si="16"/>
        <v>3.5499989880665646</v>
      </c>
      <c r="AK34" s="4"/>
      <c r="AL34" s="175">
        <f t="shared" si="6"/>
        <v>1356.5831275240405</v>
      </c>
      <c r="AM34" s="4"/>
      <c r="AN34" s="176">
        <f>INDEX('(2.2)_Forward_Price_Curve'!$I:$I,MATCH($AB34,'(2.2)_Forward_Price_Curve'!$C:$C,0),1)</f>
        <v>4.395833333333333</v>
      </c>
      <c r="AO34" s="4"/>
      <c r="AP34" s="176">
        <f t="shared" si="7"/>
        <v>33.402472222222229</v>
      </c>
      <c r="AQ34" s="4"/>
      <c r="AR34" s="176">
        <f t="shared" si="17"/>
        <v>2.7421962540775731</v>
      </c>
      <c r="AS34" s="176"/>
      <c r="AT34" s="175">
        <f t="shared" si="3"/>
        <v>930.0563174918376</v>
      </c>
      <c r="AU34" s="4"/>
      <c r="AV34" s="175">
        <f t="shared" si="4"/>
        <v>1209.6536198963254</v>
      </c>
      <c r="AW34" s="318"/>
      <c r="AX34" s="177">
        <f t="shared" si="8"/>
        <v>2139.7099373881629</v>
      </c>
      <c r="AZ34" s="168">
        <f>+IF(AZ33&gt;$G$13+$G$14,XX,AZ33+1)</f>
        <v>2011</v>
      </c>
      <c r="BA34" s="138"/>
      <c r="BB34" s="176">
        <f t="shared" si="18"/>
        <v>36.320482236146418</v>
      </c>
      <c r="BC34" s="4"/>
      <c r="BD34" s="176">
        <f t="shared" si="19"/>
        <v>12.732178149223044</v>
      </c>
      <c r="BE34" s="4"/>
      <c r="BF34" s="175">
        <f t="shared" si="9"/>
        <v>426.52681003220289</v>
      </c>
      <c r="BG34" s="4"/>
      <c r="BH34" s="179"/>
    </row>
    <row r="35" spans="2:60" ht="12">
      <c r="B35" s="3"/>
      <c r="C35" s="7">
        <f>+IF(C34&gt;$G$13+$G$14,XX,C34+1)</f>
        <v>2012</v>
      </c>
      <c r="D35" s="7"/>
      <c r="E35" s="311">
        <f>IF(AND(C35&gt;=2003,C35&lt;=2010),'(2.2)_Forward_Price_Curve'!$BE$43,IF(AND(C35&gt;=2011,C35&lt;=2020),'(2.2)_Forward_Price_Curve'!$BE$44,'(2.2)_Forward_Price_Curve'!$BE$45))</f>
        <v>2.9399999999999999E-2</v>
      </c>
      <c r="F35" s="7"/>
      <c r="G35" s="23">
        <f t="shared" si="10"/>
        <v>33467</v>
      </c>
      <c r="H35" s="7"/>
      <c r="I35" s="30">
        <f t="shared" si="11"/>
        <v>53.744029251805451</v>
      </c>
      <c r="J35" s="7"/>
      <c r="K35" s="30">
        <f t="shared" si="12"/>
        <v>0</v>
      </c>
      <c r="L35" s="7"/>
      <c r="M35" s="30">
        <f t="shared" si="13"/>
        <v>0</v>
      </c>
      <c r="N35" s="7"/>
      <c r="O35" s="314"/>
      <c r="P35" s="7"/>
      <c r="Q35" s="30"/>
      <c r="R35" s="7"/>
      <c r="S35" s="23">
        <v>0</v>
      </c>
      <c r="T35" s="7"/>
      <c r="U35" s="23">
        <f t="shared" si="0"/>
        <v>2179.5000638653696</v>
      </c>
      <c r="V35" s="7"/>
      <c r="W35" s="23">
        <f t="shared" si="1"/>
        <v>-2179.5000638653696</v>
      </c>
      <c r="X35" s="7"/>
      <c r="Y35" s="315">
        <f t="shared" si="5"/>
        <v>-65.123855256382996</v>
      </c>
      <c r="Z35" s="271"/>
      <c r="AB35" s="168">
        <f>+IF(AB34&gt;$G$13+$G$14,XX,AB34+1)</f>
        <v>2012</v>
      </c>
      <c r="AC35" s="138"/>
      <c r="AD35" s="173">
        <f t="shared" si="2"/>
        <v>33467</v>
      </c>
      <c r="AE35" s="4"/>
      <c r="AF35" s="176">
        <f t="shared" si="14"/>
        <v>63.725065905437489</v>
      </c>
      <c r="AG35" s="4"/>
      <c r="AH35" s="176">
        <f t="shared" si="15"/>
        <v>12.473282015524019</v>
      </c>
      <c r="AI35" s="4"/>
      <c r="AJ35" s="176">
        <f t="shared" si="16"/>
        <v>3.6543689583157217</v>
      </c>
      <c r="AK35" s="4"/>
      <c r="AL35" s="175">
        <f t="shared" si="6"/>
        <v>1396.4666714732475</v>
      </c>
      <c r="AM35" s="4"/>
      <c r="AN35" s="176">
        <f>INDEX('(2.2)_Forward_Price_Curve'!$I:$I,MATCH($AB35,'(2.2)_Forward_Price_Curve'!$C:$C,0),1)</f>
        <v>4.4341666666666661</v>
      </c>
      <c r="AO35" s="4"/>
      <c r="AP35" s="176">
        <f t="shared" si="7"/>
        <v>33.693754444444444</v>
      </c>
      <c r="AQ35" s="4"/>
      <c r="AR35" s="176">
        <f t="shared" si="17"/>
        <v>2.8228168239474538</v>
      </c>
      <c r="AS35" s="176"/>
      <c r="AT35" s="175">
        <f t="shared" si="3"/>
        <v>957.39997322609793</v>
      </c>
      <c r="AU35" s="4"/>
      <c r="AV35" s="175">
        <f t="shared" si="4"/>
        <v>1222.1000906392717</v>
      </c>
      <c r="AW35" s="318"/>
      <c r="AX35" s="177">
        <f t="shared" si="8"/>
        <v>2179.5000638653696</v>
      </c>
      <c r="AZ35" s="168">
        <f>+IF(AZ34&gt;$G$13+$G$14,XX,AZ34+1)</f>
        <v>2012</v>
      </c>
      <c r="BA35" s="138"/>
      <c r="BB35" s="176">
        <f t="shared" si="18"/>
        <v>37.388304413889124</v>
      </c>
      <c r="BC35" s="4"/>
      <c r="BD35" s="176">
        <f t="shared" si="19"/>
        <v>13.106504186810202</v>
      </c>
      <c r="BE35" s="4"/>
      <c r="BF35" s="175">
        <f t="shared" si="9"/>
        <v>439.06669824714965</v>
      </c>
      <c r="BG35" s="4"/>
      <c r="BH35" s="179"/>
    </row>
    <row r="36" spans="2:60" ht="12">
      <c r="B36" s="3"/>
      <c r="C36" s="7">
        <f>+IF(C35&gt;$G$13+$G$14,XX,C35+1)</f>
        <v>2013</v>
      </c>
      <c r="D36" s="7"/>
      <c r="E36" s="311">
        <f>IF(AND(C36&gt;=2003,C36&lt;=2010),'(2.2)_Forward_Price_Curve'!$BE$43,IF(AND(C36&gt;=2011,C36&lt;=2020),'(2.2)_Forward_Price_Curve'!$BE$44,'(2.2)_Forward_Price_Curve'!$BE$45))</f>
        <v>2.9399999999999999E-2</v>
      </c>
      <c r="F36" s="7"/>
      <c r="G36" s="23">
        <f t="shared" si="10"/>
        <v>33467</v>
      </c>
      <c r="H36" s="7"/>
      <c r="I36" s="30">
        <f t="shared" si="11"/>
        <v>55.324103711808533</v>
      </c>
      <c r="J36" s="7"/>
      <c r="K36" s="30">
        <f t="shared" si="12"/>
        <v>0</v>
      </c>
      <c r="L36" s="7"/>
      <c r="M36" s="30">
        <f t="shared" si="13"/>
        <v>0</v>
      </c>
      <c r="N36" s="7"/>
      <c r="O36" s="314"/>
      <c r="P36" s="7"/>
      <c r="Q36" s="30"/>
      <c r="R36" s="7"/>
      <c r="S36" s="23">
        <v>0</v>
      </c>
      <c r="T36" s="7"/>
      <c r="U36" s="23">
        <f t="shared" si="0"/>
        <v>2243.1667910029073</v>
      </c>
      <c r="V36" s="7"/>
      <c r="W36" s="23">
        <f t="shared" si="1"/>
        <v>-2243.1667910029073</v>
      </c>
      <c r="X36" s="7"/>
      <c r="Y36" s="315">
        <f t="shared" si="5"/>
        <v>-67.02622855358733</v>
      </c>
      <c r="Z36" s="271"/>
      <c r="AB36" s="168">
        <f>+IF(AB35&gt;$G$13+$G$14,XX,AB35+1)</f>
        <v>2013</v>
      </c>
      <c r="AC36" s="138"/>
      <c r="AD36" s="173">
        <f t="shared" si="2"/>
        <v>33467</v>
      </c>
      <c r="AE36" s="4"/>
      <c r="AF36" s="176">
        <f t="shared" si="14"/>
        <v>65.598582843057358</v>
      </c>
      <c r="AG36" s="4"/>
      <c r="AH36" s="176">
        <f t="shared" si="15"/>
        <v>12.839996506780427</v>
      </c>
      <c r="AI36" s="4"/>
      <c r="AJ36" s="176">
        <f t="shared" si="16"/>
        <v>3.7618074056902042</v>
      </c>
      <c r="AK36" s="4"/>
      <c r="AL36" s="175">
        <f t="shared" si="6"/>
        <v>1437.5227916145609</v>
      </c>
      <c r="AM36" s="4"/>
      <c r="AN36" s="176">
        <f>INDEX('(2.2)_Forward_Price_Curve'!$I:$I,MATCH($AB36,'(2.2)_Forward_Price_Curve'!$C:$C,0),1)</f>
        <v>4.5629166666666672</v>
      </c>
      <c r="AO36" s="4"/>
      <c r="AP36" s="176">
        <f t="shared" si="7"/>
        <v>34.672082777777788</v>
      </c>
      <c r="AQ36" s="4"/>
      <c r="AR36" s="176">
        <f t="shared" si="17"/>
        <v>2.9058076385715093</v>
      </c>
      <c r="AS36" s="176"/>
      <c r="AT36" s="175">
        <f t="shared" si="3"/>
        <v>985.54753243894504</v>
      </c>
      <c r="AU36" s="4"/>
      <c r="AV36" s="175">
        <f t="shared" si="4"/>
        <v>1257.6192585639621</v>
      </c>
      <c r="AW36" s="318"/>
      <c r="AX36" s="177">
        <f t="shared" si="8"/>
        <v>2243.1667910029073</v>
      </c>
      <c r="AZ36" s="168">
        <f>+IF(AZ35&gt;$G$13+$G$14,XX,AZ35+1)</f>
        <v>2013</v>
      </c>
      <c r="BA36" s="138"/>
      <c r="BB36" s="176">
        <f t="shared" si="18"/>
        <v>38.487520563657469</v>
      </c>
      <c r="BC36" s="4"/>
      <c r="BD36" s="176">
        <f t="shared" si="19"/>
        <v>13.491835409902423</v>
      </c>
      <c r="BE36" s="4"/>
      <c r="BF36" s="175">
        <f t="shared" si="9"/>
        <v>451.97525917561586</v>
      </c>
      <c r="BG36" s="4"/>
      <c r="BH36" s="179"/>
    </row>
    <row r="37" spans="2:60" ht="12">
      <c r="B37" s="3"/>
      <c r="C37" s="7">
        <f>+IF(C36&gt;$G$13+$G$14,XX,C36+1)</f>
        <v>2014</v>
      </c>
      <c r="D37" s="7"/>
      <c r="E37" s="311">
        <f>IF(AND(C37&gt;=2003,C37&lt;=2010),'(2.2)_Forward_Price_Curve'!$BE$43,IF(AND(C37&gt;=2011,C37&lt;=2020),'(2.2)_Forward_Price_Curve'!$BE$44,'(2.2)_Forward_Price_Curve'!$BE$45))</f>
        <v>2.9399999999999999E-2</v>
      </c>
      <c r="F37" s="7"/>
      <c r="G37" s="23">
        <f t="shared" si="10"/>
        <v>33467</v>
      </c>
      <c r="H37" s="7"/>
      <c r="I37" s="30">
        <f t="shared" si="11"/>
        <v>56.950632360935707</v>
      </c>
      <c r="J37" s="7"/>
      <c r="K37" s="30">
        <f t="shared" si="12"/>
        <v>0</v>
      </c>
      <c r="L37" s="7"/>
      <c r="M37" s="30">
        <f t="shared" si="13"/>
        <v>0</v>
      </c>
      <c r="N37" s="7"/>
      <c r="O37" s="314"/>
      <c r="P37" s="7"/>
      <c r="Q37" s="30"/>
      <c r="R37" s="7"/>
      <c r="S37" s="23">
        <v>0</v>
      </c>
      <c r="T37" s="7"/>
      <c r="U37" s="23">
        <f t="shared" si="0"/>
        <v>2322.7890676758257</v>
      </c>
      <c r="V37" s="7"/>
      <c r="W37" s="23">
        <f t="shared" si="1"/>
        <v>-2322.7890676758257</v>
      </c>
      <c r="X37" s="7"/>
      <c r="Y37" s="315">
        <f t="shared" si="5"/>
        <v>-69.405356550507236</v>
      </c>
      <c r="Z37" s="271"/>
      <c r="AB37" s="168">
        <f>+IF(AB36&gt;$G$13+$G$14,XX,AB36+1)</f>
        <v>2014</v>
      </c>
      <c r="AC37" s="138"/>
      <c r="AD37" s="173">
        <f t="shared" si="2"/>
        <v>33467</v>
      </c>
      <c r="AE37" s="4"/>
      <c r="AF37" s="176">
        <f t="shared" si="14"/>
        <v>67.527181178643247</v>
      </c>
      <c r="AG37" s="4"/>
      <c r="AH37" s="176">
        <f t="shared" si="15"/>
        <v>13.217492404079772</v>
      </c>
      <c r="AI37" s="4"/>
      <c r="AJ37" s="176">
        <f t="shared" si="16"/>
        <v>3.8724045434174967</v>
      </c>
      <c r="AK37" s="4"/>
      <c r="AL37" s="175">
        <f t="shared" si="6"/>
        <v>1479.7859616880291</v>
      </c>
      <c r="AM37" s="4"/>
      <c r="AN37" s="176">
        <f>INDEX('(2.2)_Forward_Price_Curve'!$I:$I,MATCH($AB37,'(2.2)_Forward_Price_Curve'!$C:$C,0),1)</f>
        <v>4.7508333333333326</v>
      </c>
      <c r="AO37" s="4"/>
      <c r="AP37" s="176">
        <f t="shared" si="7"/>
        <v>36.099998888888891</v>
      </c>
      <c r="AQ37" s="4"/>
      <c r="AR37" s="176">
        <f t="shared" si="17"/>
        <v>2.9912383831455118</v>
      </c>
      <c r="AS37" s="176"/>
      <c r="AT37" s="175">
        <f t="shared" si="3"/>
        <v>1014.5226298926501</v>
      </c>
      <c r="AU37" s="4"/>
      <c r="AV37" s="175">
        <f t="shared" si="4"/>
        <v>1308.2664377831754</v>
      </c>
      <c r="AW37" s="318"/>
      <c r="AX37" s="177">
        <f t="shared" si="8"/>
        <v>2322.7890676758257</v>
      </c>
      <c r="AZ37" s="168">
        <f>+IF(AZ36&gt;$G$13+$G$14,XX,AZ36+1)</f>
        <v>2014</v>
      </c>
      <c r="BA37" s="138"/>
      <c r="BB37" s="176">
        <f t="shared" si="18"/>
        <v>39.619053668229</v>
      </c>
      <c r="BC37" s="4"/>
      <c r="BD37" s="176">
        <f t="shared" si="19"/>
        <v>13.888495370953555</v>
      </c>
      <c r="BE37" s="4"/>
      <c r="BF37" s="175">
        <f t="shared" si="9"/>
        <v>465.26333179537903</v>
      </c>
      <c r="BG37" s="4"/>
      <c r="BH37" s="179"/>
    </row>
    <row r="38" spans="2:60" ht="12">
      <c r="B38" s="3"/>
      <c r="C38" s="7">
        <f>+IF(C37&gt;$G$13+$G$14,XX,C37+1)</f>
        <v>2015</v>
      </c>
      <c r="D38" s="7"/>
      <c r="E38" s="311">
        <f>IF(AND(C38&gt;=2003,C38&lt;=2010),'(2.2)_Forward_Price_Curve'!$BE$43,IF(AND(C38&gt;=2011,C38&lt;=2020),'(2.2)_Forward_Price_Curve'!$BE$44,'(2.2)_Forward_Price_Curve'!$BE$45))</f>
        <v>2.9399999999999999E-2</v>
      </c>
      <c r="F38" s="7"/>
      <c r="G38" s="23">
        <f t="shared" si="10"/>
        <v>33467</v>
      </c>
      <c r="H38" s="7"/>
      <c r="I38" s="30">
        <f t="shared" si="11"/>
        <v>58.624980952347222</v>
      </c>
      <c r="J38" s="7"/>
      <c r="K38" s="30">
        <f t="shared" si="12"/>
        <v>0</v>
      </c>
      <c r="L38" s="7"/>
      <c r="M38" s="30">
        <f t="shared" si="13"/>
        <v>0</v>
      </c>
      <c r="N38" s="7"/>
      <c r="O38" s="314"/>
      <c r="P38" s="7"/>
      <c r="Q38" s="30"/>
      <c r="R38" s="7"/>
      <c r="S38" s="23">
        <v>0</v>
      </c>
      <c r="T38" s="7"/>
      <c r="U38" s="23">
        <f t="shared" si="0"/>
        <v>2381.0956195526392</v>
      </c>
      <c r="V38" s="7"/>
      <c r="W38" s="23">
        <f t="shared" si="1"/>
        <v>-2381.0956195526392</v>
      </c>
      <c r="X38" s="7"/>
      <c r="Y38" s="315">
        <f t="shared" si="5"/>
        <v>-71.147566843536595</v>
      </c>
      <c r="Z38" s="271"/>
      <c r="AB38" s="168">
        <f>+IF(AB37&gt;$G$13+$G$14,XX,AB37+1)</f>
        <v>2015</v>
      </c>
      <c r="AC38" s="138"/>
      <c r="AD38" s="173">
        <f t="shared" si="2"/>
        <v>33467</v>
      </c>
      <c r="AE38" s="4"/>
      <c r="AF38" s="176">
        <f t="shared" si="14"/>
        <v>69.512480305295369</v>
      </c>
      <c r="AG38" s="4"/>
      <c r="AH38" s="176">
        <f t="shared" si="15"/>
        <v>13.606086680759718</v>
      </c>
      <c r="AI38" s="4"/>
      <c r="AJ38" s="176">
        <f t="shared" si="16"/>
        <v>3.9862532369939716</v>
      </c>
      <c r="AK38" s="4"/>
      <c r="AL38" s="175">
        <f t="shared" si="6"/>
        <v>1523.2916689616573</v>
      </c>
      <c r="AM38" s="4"/>
      <c r="AN38" s="176">
        <f>INDEX('(2.2)_Forward_Price_Curve'!$I:$I,MATCH($AB38,'(2.2)_Forward_Price_Curve'!$C:$C,0),1)</f>
        <v>4.8512499999999994</v>
      </c>
      <c r="AO38" s="4"/>
      <c r="AP38" s="176">
        <f t="shared" si="7"/>
        <v>36.863031666666672</v>
      </c>
      <c r="AQ38" s="4"/>
      <c r="AR38" s="176">
        <f t="shared" si="17"/>
        <v>3.07918079160999</v>
      </c>
      <c r="AS38" s="176"/>
      <c r="AT38" s="175">
        <f t="shared" si="3"/>
        <v>1044.349595211494</v>
      </c>
      <c r="AU38" s="4"/>
      <c r="AV38" s="175">
        <f t="shared" si="4"/>
        <v>1336.7460243411451</v>
      </c>
      <c r="AW38" s="318"/>
      <c r="AX38" s="177">
        <f t="shared" si="8"/>
        <v>2381.0956195526392</v>
      </c>
      <c r="AZ38" s="168">
        <f>+IF(AZ37&gt;$G$13+$G$14,XX,AZ37+1)</f>
        <v>2015</v>
      </c>
      <c r="BA38" s="138"/>
      <c r="BB38" s="176">
        <f t="shared" si="18"/>
        <v>40.783853846074933</v>
      </c>
      <c r="BC38" s="4"/>
      <c r="BD38" s="176">
        <f t="shared" si="19"/>
        <v>14.296817134859591</v>
      </c>
      <c r="BE38" s="4"/>
      <c r="BF38" s="175">
        <f t="shared" si="9"/>
        <v>478.94207375016322</v>
      </c>
      <c r="BG38" s="4"/>
      <c r="BH38" s="179"/>
    </row>
    <row r="39" spans="2:60" ht="12">
      <c r="B39" s="3"/>
      <c r="C39" s="7">
        <f>+IF(C38&gt;$G$13+$G$14,XX,C38+1)</f>
        <v>2016</v>
      </c>
      <c r="D39" s="7"/>
      <c r="E39" s="311">
        <f>IF(AND(C39&gt;=2003,C39&lt;=2010),'(2.2)_Forward_Price_Curve'!$BE$43,IF(AND(C39&gt;=2011,C39&lt;=2020),'(2.2)_Forward_Price_Curve'!$BE$44,'(2.2)_Forward_Price_Curve'!$BE$45))</f>
        <v>2.9399999999999999E-2</v>
      </c>
      <c r="F39" s="7"/>
      <c r="G39" s="23">
        <f t="shared" si="10"/>
        <v>33467</v>
      </c>
      <c r="H39" s="7"/>
      <c r="I39" s="30">
        <f t="shared" si="11"/>
        <v>60.348555392346235</v>
      </c>
      <c r="J39" s="7"/>
      <c r="K39" s="30">
        <f t="shared" si="12"/>
        <v>0</v>
      </c>
      <c r="L39" s="7"/>
      <c r="M39" s="30">
        <f t="shared" si="13"/>
        <v>0</v>
      </c>
      <c r="N39" s="7"/>
      <c r="O39" s="314"/>
      <c r="P39" s="7"/>
      <c r="Q39" s="30"/>
      <c r="R39" s="7"/>
      <c r="S39" s="23">
        <v>0</v>
      </c>
      <c r="T39" s="7"/>
      <c r="U39" s="23">
        <f t="shared" si="0"/>
        <v>2453.5046831950881</v>
      </c>
      <c r="V39" s="7"/>
      <c r="W39" s="23">
        <f t="shared" si="1"/>
        <v>-2453.5046831950881</v>
      </c>
      <c r="X39" s="7"/>
      <c r="Y39" s="315">
        <f t="shared" si="5"/>
        <v>-73.311162733292136</v>
      </c>
      <c r="Z39" s="271"/>
      <c r="AB39" s="168">
        <f>+IF(AB38&gt;$G$13+$G$14,XX,AB38+1)</f>
        <v>2016</v>
      </c>
      <c r="AC39" s="138"/>
      <c r="AD39" s="173">
        <f t="shared" si="2"/>
        <v>33467</v>
      </c>
      <c r="AE39" s="4"/>
      <c r="AF39" s="176">
        <f t="shared" si="14"/>
        <v>71.556147226271065</v>
      </c>
      <c r="AG39" s="4"/>
      <c r="AH39" s="176">
        <f t="shared" si="15"/>
        <v>14.006105629174055</v>
      </c>
      <c r="AI39" s="4"/>
      <c r="AJ39" s="176">
        <f t="shared" si="16"/>
        <v>4.1034490821615943</v>
      </c>
      <c r="AK39" s="4"/>
      <c r="AL39" s="175">
        <f t="shared" si="6"/>
        <v>1568.0764440291305</v>
      </c>
      <c r="AM39" s="4"/>
      <c r="AN39" s="176">
        <f>INDEX('(2.2)_Forward_Price_Curve'!$I:$I,MATCH($AB39,'(2.2)_Forward_Price_Curve'!$C:$C,0),1)</f>
        <v>5.003333333333333</v>
      </c>
      <c r="AO39" s="4"/>
      <c r="AP39" s="176">
        <f t="shared" si="7"/>
        <v>38.018662222222225</v>
      </c>
      <c r="AQ39" s="4"/>
      <c r="AR39" s="176">
        <f t="shared" si="17"/>
        <v>3.1697087068833238</v>
      </c>
      <c r="AS39" s="176"/>
      <c r="AT39" s="175">
        <f t="shared" si="3"/>
        <v>1075.0534733107124</v>
      </c>
      <c r="AU39" s="4"/>
      <c r="AV39" s="175">
        <f t="shared" si="4"/>
        <v>1378.4512098843757</v>
      </c>
      <c r="AW39" s="318"/>
      <c r="AX39" s="177">
        <f t="shared" si="8"/>
        <v>2453.5046831950881</v>
      </c>
      <c r="AZ39" s="168">
        <f>+IF(AZ38&gt;$G$13+$G$14,XX,AZ38+1)</f>
        <v>2016</v>
      </c>
      <c r="BA39" s="138"/>
      <c r="BB39" s="176">
        <f t="shared" si="18"/>
        <v>41.982899149149539</v>
      </c>
      <c r="BC39" s="4"/>
      <c r="BD39" s="176">
        <f t="shared" si="19"/>
        <v>14.717143558624464</v>
      </c>
      <c r="BE39" s="4"/>
      <c r="BF39" s="175">
        <f t="shared" si="9"/>
        <v>493.02297071841798</v>
      </c>
      <c r="BG39" s="4"/>
      <c r="BH39" s="179"/>
    </row>
    <row r="40" spans="2:60" ht="12">
      <c r="B40" s="3"/>
      <c r="C40" s="7">
        <f>+IF(C39&gt;$G$13+$G$14,XX,C39+1)</f>
        <v>2017</v>
      </c>
      <c r="D40" s="7"/>
      <c r="E40" s="311">
        <f>IF(AND(C40&gt;=2003,C40&lt;=2010),'(2.2)_Forward_Price_Curve'!$BE$43,IF(AND(C40&gt;=2011,C40&lt;=2020),'(2.2)_Forward_Price_Curve'!$BE$44,'(2.2)_Forward_Price_Curve'!$BE$45))</f>
        <v>2.9399999999999999E-2</v>
      </c>
      <c r="F40" s="7"/>
      <c r="G40" s="23">
        <f t="shared" si="10"/>
        <v>33467</v>
      </c>
      <c r="H40" s="7"/>
      <c r="I40" s="30">
        <f t="shared" si="11"/>
        <v>62.12280292088122</v>
      </c>
      <c r="J40" s="7"/>
      <c r="K40" s="30">
        <f t="shared" si="12"/>
        <v>0</v>
      </c>
      <c r="L40" s="7"/>
      <c r="M40" s="30">
        <f t="shared" si="13"/>
        <v>0</v>
      </c>
      <c r="N40" s="7"/>
      <c r="O40" s="314"/>
      <c r="P40" s="7"/>
      <c r="Q40" s="30"/>
      <c r="R40" s="7"/>
      <c r="S40" s="23">
        <v>0</v>
      </c>
      <c r="T40" s="7"/>
      <c r="U40" s="23">
        <f t="shared" si="0"/>
        <v>2528.6008778161117</v>
      </c>
      <c r="V40" s="7"/>
      <c r="W40" s="23">
        <f t="shared" si="1"/>
        <v>-2528.6008778161117</v>
      </c>
      <c r="X40" s="7"/>
      <c r="Y40" s="315">
        <f t="shared" si="5"/>
        <v>-75.555050581650931</v>
      </c>
      <c r="Z40" s="271"/>
      <c r="AB40" s="168">
        <f>+IF(AB39&gt;$G$13+$G$14,XX,AB39+1)</f>
        <v>2017</v>
      </c>
      <c r="AC40" s="138"/>
      <c r="AD40" s="173">
        <f t="shared" si="2"/>
        <v>33467</v>
      </c>
      <c r="AE40" s="4"/>
      <c r="AF40" s="176">
        <f t="shared" si="14"/>
        <v>73.659897954723448</v>
      </c>
      <c r="AG40" s="4"/>
      <c r="AH40" s="176">
        <f t="shared" si="15"/>
        <v>14.417885134671774</v>
      </c>
      <c r="AI40" s="4"/>
      <c r="AJ40" s="176">
        <f t="shared" si="16"/>
        <v>4.2240904851771459</v>
      </c>
      <c r="AK40" s="4"/>
      <c r="AL40" s="175">
        <f t="shared" si="6"/>
        <v>1614.1778914835872</v>
      </c>
      <c r="AM40" s="4"/>
      <c r="AN40" s="176">
        <f>INDEX('(2.2)_Forward_Price_Curve'!$I:$I,MATCH($AB40,'(2.2)_Forward_Price_Curve'!$C:$C,0),1)</f>
        <v>5.1620833333333334</v>
      </c>
      <c r="AO40" s="4"/>
      <c r="AP40" s="176">
        <f t="shared" si="7"/>
        <v>39.224950555555559</v>
      </c>
      <c r="AQ40" s="4"/>
      <c r="AR40" s="176">
        <f t="shared" si="17"/>
        <v>3.2628981428656938</v>
      </c>
      <c r="AS40" s="176"/>
      <c r="AT40" s="175">
        <f t="shared" si="3"/>
        <v>1106.6600454260476</v>
      </c>
      <c r="AU40" s="4"/>
      <c r="AV40" s="175">
        <f t="shared" si="4"/>
        <v>1421.9408323900641</v>
      </c>
      <c r="AW40" s="318"/>
      <c r="AX40" s="177">
        <f t="shared" si="8"/>
        <v>2528.6008778161117</v>
      </c>
      <c r="AZ40" s="168">
        <f>+IF(AZ39&gt;$G$13+$G$14,XX,AZ39+1)</f>
        <v>2017</v>
      </c>
      <c r="BA40" s="138"/>
      <c r="BB40" s="176">
        <f t="shared" si="18"/>
        <v>43.217196384134539</v>
      </c>
      <c r="BC40" s="4"/>
      <c r="BD40" s="176">
        <f t="shared" si="19"/>
        <v>15.149827579248024</v>
      </c>
      <c r="BE40" s="4"/>
      <c r="BF40" s="175">
        <f t="shared" si="9"/>
        <v>507.51784605753954</v>
      </c>
      <c r="BG40" s="4"/>
      <c r="BH40" s="179"/>
    </row>
    <row r="41" spans="2:60" ht="12">
      <c r="B41" s="3"/>
      <c r="C41" s="7">
        <f>+IF(C40&gt;$G$13+$G$14,XX,C40+1)</f>
        <v>2018</v>
      </c>
      <c r="D41" s="7"/>
      <c r="E41" s="311">
        <f>IF(AND(C41&gt;=2003,C41&lt;=2010),'(2.2)_Forward_Price_Curve'!$BE$43,IF(AND(C41&gt;=2011,C41&lt;=2020),'(2.2)_Forward_Price_Curve'!$BE$44,'(2.2)_Forward_Price_Curve'!$BE$45))</f>
        <v>2.9399999999999999E-2</v>
      </c>
      <c r="F41" s="7"/>
      <c r="G41" s="23">
        <f t="shared" si="10"/>
        <v>33467</v>
      </c>
      <c r="H41" s="7"/>
      <c r="I41" s="30">
        <f t="shared" si="11"/>
        <v>63.949213326755135</v>
      </c>
      <c r="J41" s="7"/>
      <c r="K41" s="30">
        <f t="shared" si="12"/>
        <v>0</v>
      </c>
      <c r="L41" s="7"/>
      <c r="M41" s="30">
        <f t="shared" si="13"/>
        <v>0</v>
      </c>
      <c r="N41" s="7"/>
      <c r="O41" s="314"/>
      <c r="P41" s="7"/>
      <c r="Q41" s="30"/>
      <c r="R41" s="7"/>
      <c r="S41" s="23">
        <v>0</v>
      </c>
      <c r="T41" s="7"/>
      <c r="U41" s="23">
        <f t="shared" si="0"/>
        <v>2607.8968047371009</v>
      </c>
      <c r="V41" s="7"/>
      <c r="W41" s="23">
        <f t="shared" si="1"/>
        <v>-2607.8968047371009</v>
      </c>
      <c r="X41" s="7"/>
      <c r="Y41" s="315">
        <f t="shared" si="5"/>
        <v>-77.924427189084795</v>
      </c>
      <c r="Z41" s="271"/>
      <c r="AB41" s="168">
        <f>+IF(AB40&gt;$G$13+$G$14,XX,AB40+1)</f>
        <v>2018</v>
      </c>
      <c r="AC41" s="138"/>
      <c r="AD41" s="173">
        <f t="shared" si="2"/>
        <v>33467</v>
      </c>
      <c r="AE41" s="4"/>
      <c r="AF41" s="176">
        <f t="shared" si="14"/>
        <v>75.825498954592319</v>
      </c>
      <c r="AG41" s="4"/>
      <c r="AH41" s="176">
        <f t="shared" si="15"/>
        <v>14.841770957631125</v>
      </c>
      <c r="AI41" s="4"/>
      <c r="AJ41" s="176">
        <f t="shared" si="16"/>
        <v>4.3482787454413545</v>
      </c>
      <c r="AK41" s="4"/>
      <c r="AL41" s="175">
        <f t="shared" si="6"/>
        <v>1661.6347214932046</v>
      </c>
      <c r="AM41" s="4"/>
      <c r="AN41" s="176">
        <f>INDEX('(2.2)_Forward_Price_Curve'!$I:$I,MATCH($AB41,'(2.2)_Forward_Price_Curve'!$C:$C,0),1)</f>
        <v>5.333333333333333</v>
      </c>
      <c r="AO41" s="4"/>
      <c r="AP41" s="176">
        <f t="shared" si="7"/>
        <v>40.526222222222223</v>
      </c>
      <c r="AQ41" s="4"/>
      <c r="AR41" s="176">
        <f t="shared" si="17"/>
        <v>3.3588273482659456</v>
      </c>
      <c r="AS41" s="176"/>
      <c r="AT41" s="175">
        <f t="shared" si="3"/>
        <v>1139.1958507615732</v>
      </c>
      <c r="AU41" s="4"/>
      <c r="AV41" s="175">
        <f t="shared" si="4"/>
        <v>1468.7009539755275</v>
      </c>
      <c r="AW41" s="318"/>
      <c r="AX41" s="177">
        <f t="shared" si="8"/>
        <v>2607.8968047371009</v>
      </c>
      <c r="AZ41" s="168">
        <f>+IF(AZ40&gt;$G$13+$G$14,XX,AZ40+1)</f>
        <v>2018</v>
      </c>
      <c r="BA41" s="138"/>
      <c r="BB41" s="176">
        <f t="shared" si="18"/>
        <v>44.487781957828098</v>
      </c>
      <c r="BC41" s="4"/>
      <c r="BD41" s="176">
        <f t="shared" si="19"/>
        <v>15.595232510077917</v>
      </c>
      <c r="BE41" s="4"/>
      <c r="BF41" s="175">
        <f t="shared" si="9"/>
        <v>522.43887073163125</v>
      </c>
      <c r="BG41" s="4"/>
      <c r="BH41" s="179"/>
    </row>
    <row r="42" spans="2:60" ht="12">
      <c r="B42" s="3"/>
      <c r="C42" s="7">
        <f>+IF(C41&gt;$G$13+$G$14,XX,C41+1)</f>
        <v>2019</v>
      </c>
      <c r="D42" s="7"/>
      <c r="E42" s="311">
        <f>IF(AND(C42&gt;=2003,C42&lt;=2010),'(2.2)_Forward_Price_Curve'!$BE$43,IF(AND(C42&gt;=2011,C42&lt;=2020),'(2.2)_Forward_Price_Curve'!$BE$44,'(2.2)_Forward_Price_Curve'!$BE$45))</f>
        <v>2.9399999999999999E-2</v>
      </c>
      <c r="F42" s="7"/>
      <c r="G42" s="23">
        <f t="shared" si="10"/>
        <v>33467</v>
      </c>
      <c r="H42" s="7"/>
      <c r="I42" s="30">
        <f t="shared" si="11"/>
        <v>65.829320198561746</v>
      </c>
      <c r="J42" s="7"/>
      <c r="K42" s="30">
        <f t="shared" si="12"/>
        <v>0</v>
      </c>
      <c r="L42" s="7"/>
      <c r="M42" s="30">
        <f t="shared" si="13"/>
        <v>0</v>
      </c>
      <c r="N42" s="7"/>
      <c r="O42" s="314"/>
      <c r="P42" s="7"/>
      <c r="Q42" s="30"/>
      <c r="R42" s="7"/>
      <c r="S42" s="23">
        <v>0</v>
      </c>
      <c r="T42" s="7"/>
      <c r="U42" s="23">
        <f t="shared" si="0"/>
        <v>2690.8926779527274</v>
      </c>
      <c r="V42" s="7"/>
      <c r="W42" s="23">
        <f t="shared" si="1"/>
        <v>-2690.8926779527274</v>
      </c>
      <c r="X42" s="7"/>
      <c r="Y42" s="315">
        <f t="shared" si="5"/>
        <v>-80.404358859555003</v>
      </c>
      <c r="Z42" s="271"/>
      <c r="AB42" s="168">
        <f>+IF(AB41&gt;$G$13+$G$14,XX,AB41+1)</f>
        <v>2019</v>
      </c>
      <c r="AC42" s="138"/>
      <c r="AD42" s="173">
        <f t="shared" si="2"/>
        <v>33467</v>
      </c>
      <c r="AE42" s="4"/>
      <c r="AF42" s="176">
        <f t="shared" si="14"/>
        <v>78.054768623857342</v>
      </c>
      <c r="AG42" s="4"/>
      <c r="AH42" s="176">
        <f t="shared" si="15"/>
        <v>15.278119023785482</v>
      </c>
      <c r="AI42" s="4"/>
      <c r="AJ42" s="176">
        <f t="shared" si="16"/>
        <v>4.4761181405573307</v>
      </c>
      <c r="AK42" s="4"/>
      <c r="AL42" s="175">
        <f t="shared" si="6"/>
        <v>1710.486782305105</v>
      </c>
      <c r="AM42" s="4"/>
      <c r="AN42" s="176">
        <f>INDEX('(2.2)_Forward_Price_Curve'!$I:$I,MATCH($AB42,'(2.2)_Forward_Price_Curve'!$C:$C,0),1)</f>
        <v>5.5149999999999997</v>
      </c>
      <c r="AO42" s="4"/>
      <c r="AP42" s="176">
        <f t="shared" si="7"/>
        <v>41.906646666666667</v>
      </c>
      <c r="AQ42" s="4"/>
      <c r="AR42" s="176">
        <f t="shared" si="17"/>
        <v>3.4575768723049647</v>
      </c>
      <c r="AS42" s="176"/>
      <c r="AT42" s="175">
        <f t="shared" si="3"/>
        <v>1172.6882087739637</v>
      </c>
      <c r="AU42" s="4"/>
      <c r="AV42" s="175">
        <f t="shared" si="4"/>
        <v>1518.2044691787635</v>
      </c>
      <c r="AW42" s="318"/>
      <c r="AX42" s="177">
        <f t="shared" si="8"/>
        <v>2690.8926779527274</v>
      </c>
      <c r="AZ42" s="168">
        <f>+IF(AZ41&gt;$G$13+$G$14,XX,AZ41+1)</f>
        <v>2019</v>
      </c>
      <c r="BA42" s="138"/>
      <c r="BB42" s="176">
        <f t="shared" si="18"/>
        <v>45.795722747388247</v>
      </c>
      <c r="BC42" s="4"/>
      <c r="BD42" s="176">
        <f t="shared" si="19"/>
        <v>16.053732345874209</v>
      </c>
      <c r="BE42" s="4"/>
      <c r="BF42" s="175">
        <f t="shared" si="9"/>
        <v>537.79857353114119</v>
      </c>
      <c r="BG42" s="4"/>
      <c r="BH42" s="179"/>
    </row>
    <row r="43" spans="2:60" ht="12">
      <c r="B43" s="3"/>
      <c r="C43" s="7"/>
      <c r="D43" s="7"/>
      <c r="E43" s="311"/>
      <c r="F43" s="7"/>
      <c r="G43" s="23"/>
      <c r="H43" s="7"/>
      <c r="I43" s="30"/>
      <c r="J43" s="7"/>
      <c r="K43" s="30"/>
      <c r="L43" s="7"/>
      <c r="M43" s="30"/>
      <c r="N43" s="7"/>
      <c r="O43" s="314"/>
      <c r="P43" s="7"/>
      <c r="Q43" s="30"/>
      <c r="R43" s="7"/>
      <c r="S43" s="23"/>
      <c r="T43" s="7"/>
      <c r="U43" s="23"/>
      <c r="V43" s="7"/>
      <c r="W43" s="23"/>
      <c r="X43" s="7"/>
      <c r="Y43" s="315"/>
      <c r="Z43" s="271"/>
      <c r="AB43" s="168"/>
      <c r="AC43" s="138"/>
      <c r="AD43" s="173"/>
      <c r="AE43" s="4"/>
      <c r="AF43" s="176"/>
      <c r="AG43" s="4"/>
      <c r="AH43" s="176"/>
      <c r="AI43" s="4"/>
      <c r="AJ43" s="176"/>
      <c r="AK43" s="4"/>
      <c r="AL43" s="175"/>
      <c r="AM43" s="4"/>
      <c r="AN43" s="176"/>
      <c r="AO43" s="4"/>
      <c r="AP43" s="176"/>
      <c r="AQ43" s="4"/>
      <c r="AR43" s="176"/>
      <c r="AS43" s="176"/>
      <c r="AT43" s="175"/>
      <c r="AU43" s="4"/>
      <c r="AV43" s="175"/>
      <c r="AW43" s="318"/>
      <c r="AX43" s="177"/>
      <c r="AZ43" s="168"/>
      <c r="BA43" s="138"/>
      <c r="BB43" s="176"/>
      <c r="BC43" s="4"/>
      <c r="BD43" s="176"/>
      <c r="BE43" s="4"/>
      <c r="BF43" s="175"/>
      <c r="BG43" s="4"/>
      <c r="BH43" s="179"/>
    </row>
    <row r="44" spans="2:60" ht="12">
      <c r="B44" s="3"/>
      <c r="C44" s="7"/>
      <c r="D44" s="7"/>
      <c r="E44" s="311"/>
      <c r="F44" s="7"/>
      <c r="G44" s="23"/>
      <c r="H44" s="7"/>
      <c r="I44" s="30"/>
      <c r="J44" s="7"/>
      <c r="K44" s="30"/>
      <c r="L44" s="7"/>
      <c r="M44" s="30"/>
      <c r="N44" s="7"/>
      <c r="O44" s="314"/>
      <c r="P44" s="7"/>
      <c r="Q44" s="30"/>
      <c r="R44" s="7"/>
      <c r="S44" s="23"/>
      <c r="T44" s="7"/>
      <c r="U44" s="23"/>
      <c r="V44" s="7"/>
      <c r="W44" s="23"/>
      <c r="X44" s="7"/>
      <c r="Y44" s="315"/>
      <c r="Z44" s="271"/>
      <c r="AB44" s="168"/>
      <c r="AC44" s="138"/>
      <c r="AD44" s="173"/>
      <c r="AE44" s="4"/>
      <c r="AF44" s="176"/>
      <c r="AG44" s="4"/>
      <c r="AH44" s="176"/>
      <c r="AI44" s="4"/>
      <c r="AJ44" s="176"/>
      <c r="AK44" s="4"/>
      <c r="AL44" s="175"/>
      <c r="AM44" s="4"/>
      <c r="AN44" s="176"/>
      <c r="AO44" s="4"/>
      <c r="AP44" s="176"/>
      <c r="AQ44" s="4"/>
      <c r="AR44" s="176"/>
      <c r="AS44" s="176"/>
      <c r="AT44" s="175"/>
      <c r="AU44" s="4"/>
      <c r="AV44" s="175"/>
      <c r="AW44" s="318"/>
      <c r="AX44" s="177"/>
      <c r="AZ44" s="168"/>
      <c r="BA44" s="138"/>
      <c r="BB44" s="176"/>
      <c r="BC44" s="4"/>
      <c r="BD44" s="176"/>
      <c r="BE44" s="4"/>
      <c r="BF44" s="175"/>
      <c r="BG44" s="4"/>
      <c r="BH44" s="179"/>
    </row>
    <row r="45" spans="2:60">
      <c r="B45" s="3"/>
      <c r="C45" s="7"/>
      <c r="D45" s="4"/>
      <c r="E45" s="192"/>
      <c r="F45" s="4"/>
      <c r="G45" s="309"/>
      <c r="H45" s="4"/>
      <c r="I45" s="309"/>
      <c r="J45" s="4"/>
      <c r="K45" s="309"/>
      <c r="L45" s="4"/>
      <c r="M45" s="309"/>
      <c r="N45" s="4"/>
      <c r="O45" s="309"/>
      <c r="P45" s="4"/>
      <c r="Q45" s="309"/>
      <c r="R45" s="4"/>
      <c r="S45" s="309"/>
      <c r="T45" s="4"/>
      <c r="U45" s="309"/>
      <c r="V45" s="4"/>
      <c r="W45" s="309"/>
      <c r="X45" s="4"/>
      <c r="Y45" s="319"/>
      <c r="Z45" s="271"/>
      <c r="AB45" s="3"/>
      <c r="AC45" s="4"/>
      <c r="AD45" s="4"/>
      <c r="AE45" s="4"/>
      <c r="AF45" s="320"/>
      <c r="AG45" s="4"/>
      <c r="AH45" s="320"/>
      <c r="AI45" s="4"/>
      <c r="AJ45" s="320"/>
      <c r="AK45" s="4"/>
      <c r="AL45" s="318"/>
      <c r="AM45" s="4"/>
      <c r="AN45" s="320"/>
      <c r="AO45" s="4"/>
      <c r="AP45" s="320"/>
      <c r="AQ45" s="4"/>
      <c r="AR45" s="320"/>
      <c r="AS45" s="320"/>
      <c r="AT45" s="320"/>
      <c r="AU45" s="4"/>
      <c r="AV45" s="318"/>
      <c r="AW45" s="318"/>
      <c r="AX45" s="321"/>
      <c r="AZ45" s="3"/>
      <c r="BA45" s="4"/>
      <c r="BB45" s="320"/>
      <c r="BC45" s="4"/>
      <c r="BD45" s="4"/>
      <c r="BE45" s="4"/>
      <c r="BF45" s="318"/>
      <c r="BG45" s="4"/>
      <c r="BH45" s="271"/>
    </row>
    <row r="46" spans="2:60">
      <c r="B46" s="3"/>
      <c r="C46" s="7"/>
      <c r="D46" s="4"/>
      <c r="E46" s="192"/>
      <c r="F46" s="4"/>
      <c r="G46" s="309"/>
      <c r="H46" s="4"/>
      <c r="I46" s="309"/>
      <c r="J46" s="4"/>
      <c r="K46" s="309"/>
      <c r="L46" s="4"/>
      <c r="M46" s="309"/>
      <c r="N46" s="4"/>
      <c r="O46" s="309"/>
      <c r="P46" s="4"/>
      <c r="Q46" s="309"/>
      <c r="R46" s="4"/>
      <c r="S46" s="309"/>
      <c r="T46" s="4"/>
      <c r="U46" s="309"/>
      <c r="V46" s="4"/>
      <c r="W46" s="309"/>
      <c r="X46" s="4"/>
      <c r="Y46" s="319"/>
      <c r="Z46" s="271"/>
      <c r="AB46" s="3"/>
      <c r="AC46" s="4"/>
      <c r="AD46" s="4"/>
      <c r="AE46" s="4"/>
      <c r="AF46" s="320"/>
      <c r="AG46" s="4"/>
      <c r="AH46" s="320"/>
      <c r="AI46" s="4"/>
      <c r="AJ46" s="320"/>
      <c r="AK46" s="4"/>
      <c r="AL46" s="318"/>
      <c r="AM46" s="4"/>
      <c r="AN46" s="320"/>
      <c r="AO46" s="4"/>
      <c r="AP46" s="320"/>
      <c r="AQ46" s="4"/>
      <c r="AR46" s="320"/>
      <c r="AS46" s="320"/>
      <c r="AT46" s="320"/>
      <c r="AU46" s="4"/>
      <c r="AV46" s="318"/>
      <c r="AW46" s="318"/>
      <c r="AX46" s="321"/>
      <c r="AZ46" s="3"/>
      <c r="BA46" s="4"/>
      <c r="BB46" s="320"/>
      <c r="BC46" s="4"/>
      <c r="BD46" s="4"/>
      <c r="BE46" s="4"/>
      <c r="BF46" s="318"/>
      <c r="BG46" s="4"/>
      <c r="BH46" s="271"/>
    </row>
    <row r="47" spans="2:60" ht="12">
      <c r="B47" s="3"/>
      <c r="C47" s="322" t="str">
        <f>G14&amp;"-year Nominal Levelized at "&amp;TEXT($G$18,"#.00%")</f>
        <v>14-year Nominal Levelized at 7.20%</v>
      </c>
      <c r="E47" s="192"/>
      <c r="F47" s="4"/>
      <c r="G47" s="336">
        <f>+-PMT($G$18,$G$14,NPV($G$18,G28:G42))</f>
        <v>34831.910590686253</v>
      </c>
      <c r="H47" s="7"/>
      <c r="I47" s="30">
        <f>+-PMT($G$18,$G$14,NPV($G$18,I28:I42))</f>
        <v>54.929909651973666</v>
      </c>
      <c r="J47" s="30"/>
      <c r="K47" s="30">
        <f>+-PMT($G$18,$G$14,NPV($G$18,K28:K42))</f>
        <v>0</v>
      </c>
      <c r="L47" s="7"/>
      <c r="M47" s="30">
        <f>+-PMT($G$18,$G$14,NPV($G$18,M28:M43))</f>
        <v>0</v>
      </c>
      <c r="N47" s="7"/>
      <c r="O47" s="30">
        <f>+-PMT($G$18,$G$14,NPV($G$18,O28:O42))</f>
        <v>0</v>
      </c>
      <c r="P47" s="7"/>
      <c r="Q47" s="30">
        <f>+-PMT($G$18,$G$14,NPV($G$18,Q28:Q42))</f>
        <v>0</v>
      </c>
      <c r="R47" s="7"/>
      <c r="S47" s="23">
        <f>+-PMT($G$18,$G$14,NPV($G$18,S28:S42))</f>
        <v>113.44495737553754</v>
      </c>
      <c r="T47" s="7"/>
      <c r="U47" s="23">
        <f>+-PMT($G$18,$G$14,NPV($G$18,U28:U42))</f>
        <v>2336.8699264847774</v>
      </c>
      <c r="V47" s="4"/>
      <c r="W47" s="23">
        <f>+-PMT($G$18,$G$14,NPV($G$18,W28:W42))</f>
        <v>-2223.42496910924</v>
      </c>
      <c r="X47" s="4"/>
      <c r="Y47" s="315">
        <f>+-PMT($G$18,$G$14,NPV($G$18,Y28:Y42))</f>
        <v>-66.436339352473794</v>
      </c>
      <c r="Z47" s="271"/>
      <c r="AB47" s="3"/>
      <c r="AC47" s="4"/>
      <c r="AD47" s="173">
        <f>+-PMT($G$18,$G$14,NPV($G$18,AD28:AD42))</f>
        <v>34831.910590686253</v>
      </c>
      <c r="AE47" s="4"/>
      <c r="AF47" s="176">
        <f>+-PMT($G$18,$G$14,NPV($G$18,AF28:AF42))</f>
        <v>65.131181295532613</v>
      </c>
      <c r="AG47" s="4"/>
      <c r="AH47" s="176">
        <f>+-PMT($G$18,$G$14,NPV($G$18,AH28:AH42))</f>
        <v>12.748509252370681</v>
      </c>
      <c r="AI47" s="4"/>
      <c r="AJ47" s="176">
        <f>+-PMT($G$18,$G$14,NPV($G$18,AJ28:AJ42))</f>
        <v>3.7350038601453819</v>
      </c>
      <c r="AK47" s="4"/>
      <c r="AL47" s="175">
        <f>+-PMT($G$18,$G$14,NPV($G$18,AL28:AL42))</f>
        <v>1427.2801865416702</v>
      </c>
      <c r="AM47" s="4"/>
      <c r="AN47" s="176">
        <f>+-PMT($G$18,$G$14,NPV($G$18,AN28:AN43))</f>
        <v>4.9617228999631546</v>
      </c>
      <c r="AO47" s="4">
        <f>+-PMT($G$18,$G$14,NPV($G$18,AO28:AO42))</f>
        <v>0</v>
      </c>
      <c r="AP47" s="176">
        <f>+-PMT($G$18,$G$14,NPV($G$18,AP28:AP42))</f>
        <v>37.702478409186689</v>
      </c>
      <c r="AQ47" s="4"/>
      <c r="AR47" s="176">
        <f>+-PMT($G$18,$G$14,NPV($G$18,AR28:AR42))</f>
        <v>2.8851032433206703</v>
      </c>
      <c r="AS47" s="176"/>
      <c r="AT47" s="175">
        <f>+-PMT($G$18,$G$14,NPV($G$18,AT28:AT42))</f>
        <v>978.52533132031351</v>
      </c>
      <c r="AU47" s="4"/>
      <c r="AV47" s="175">
        <f>+-PMT($G$18,$G$14,NPV($G$18,AV28:AV42))</f>
        <v>1358.344595164464</v>
      </c>
      <c r="AW47" s="318"/>
      <c r="AX47" s="177">
        <f>+-PMT($G$18,$G$14,NPV($G$18,AX28:AX42))</f>
        <v>2336.8699264847774</v>
      </c>
      <c r="AZ47" s="3"/>
      <c r="BA47" s="4"/>
      <c r="BB47" s="176">
        <f>+-PMT($G$18,$G$14,NPV($G$18,BB28:BB42))</f>
        <v>38.213290147508346</v>
      </c>
      <c r="BC47" s="4"/>
      <c r="BD47" s="176">
        <f>+-PMT($G$18,$G$14,NPV($G$18,BD28:BD42))</f>
        <v>13.395703687596399</v>
      </c>
      <c r="BE47" s="4"/>
      <c r="BF47" s="175">
        <f>+-PMT($G$18,$G$14,NPV($G$18,BF28:BF42))</f>
        <v>448.75485522135665</v>
      </c>
      <c r="BG47" s="4"/>
      <c r="BH47" s="179"/>
    </row>
    <row r="48" spans="2:60">
      <c r="B48" s="3"/>
      <c r="C48" s="4"/>
      <c r="D48" s="4"/>
      <c r="E48" s="19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23"/>
      <c r="X48" s="4"/>
      <c r="Y48" s="324"/>
      <c r="Z48" s="271"/>
      <c r="AB48" s="3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318"/>
      <c r="AU48" s="4"/>
      <c r="AV48" s="4"/>
      <c r="AW48" s="4"/>
      <c r="AX48" s="271"/>
      <c r="AZ48" s="3"/>
      <c r="BA48" s="4"/>
      <c r="BB48" s="4"/>
      <c r="BC48" s="4"/>
      <c r="BD48" s="4"/>
      <c r="BE48" s="4"/>
      <c r="BF48" s="4"/>
      <c r="BG48" s="4"/>
      <c r="BH48" s="271"/>
    </row>
    <row r="49" spans="2:60">
      <c r="B49" s="275"/>
      <c r="C49" s="325"/>
      <c r="D49" s="325"/>
      <c r="E49" s="326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278"/>
      <c r="AB49" s="27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278"/>
      <c r="AZ49" s="275"/>
      <c r="BA49" s="325"/>
      <c r="BB49" s="325"/>
      <c r="BC49" s="325"/>
      <c r="BD49" s="325"/>
      <c r="BE49" s="325"/>
      <c r="BF49" s="325"/>
      <c r="BG49" s="325"/>
      <c r="BH49" s="278"/>
    </row>
    <row r="50" spans="2:60">
      <c r="E50" s="327"/>
    </row>
    <row r="51" spans="2:60">
      <c r="E51" s="327"/>
      <c r="G51" s="328"/>
      <c r="I51" s="328"/>
      <c r="K51" s="328"/>
      <c r="O51" s="328"/>
      <c r="Q51" s="328"/>
      <c r="S51" s="328"/>
      <c r="U51" s="328"/>
      <c r="W51" s="328"/>
    </row>
    <row r="52" spans="2:60">
      <c r="E52" s="327"/>
    </row>
    <row r="53" spans="2:60">
      <c r="E53" s="327"/>
    </row>
    <row r="54" spans="2:60">
      <c r="E54" s="327"/>
    </row>
    <row r="55" spans="2:60">
      <c r="E55" s="327"/>
    </row>
    <row r="56" spans="2:60">
      <c r="E56" s="327"/>
    </row>
    <row r="57" spans="2:60">
      <c r="E57" s="327"/>
    </row>
    <row r="58" spans="2:60">
      <c r="E58" s="327"/>
    </row>
    <row r="59" spans="2:60">
      <c r="E59" s="327"/>
    </row>
    <row r="60" spans="2:60">
      <c r="E60" s="327"/>
    </row>
    <row r="61" spans="2:60">
      <c r="E61" s="327"/>
    </row>
    <row r="62" spans="2:60">
      <c r="E62" s="327"/>
    </row>
    <row r="63" spans="2:60">
      <c r="E63" s="327"/>
    </row>
    <row r="64" spans="2:60">
      <c r="E64" s="327"/>
    </row>
    <row r="65" spans="5:5">
      <c r="E65" s="327"/>
    </row>
    <row r="66" spans="5:5">
      <c r="E66" s="327"/>
    </row>
    <row r="67" spans="5:5">
      <c r="E67" s="327"/>
    </row>
    <row r="68" spans="5:5">
      <c r="E68" s="327"/>
    </row>
    <row r="69" spans="5:5">
      <c r="E69" s="327"/>
    </row>
    <row r="70" spans="5:5">
      <c r="E70" s="327"/>
    </row>
    <row r="71" spans="5:5">
      <c r="E71" s="327"/>
    </row>
    <row r="72" spans="5:5">
      <c r="E72" s="327"/>
    </row>
    <row r="73" spans="5:5">
      <c r="E73" s="327"/>
    </row>
  </sheetData>
  <pageMargins left="0.25" right="0.25" top="0.25" bottom="0.75" header="0.3" footer="0.3"/>
  <pageSetup paperSize="5" scale="4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2"/>
  <sheetViews>
    <sheetView topLeftCell="A4" zoomScale="90" zoomScaleNormal="90" workbookViewId="0">
      <selection activeCell="G11" sqref="G11"/>
    </sheetView>
  </sheetViews>
  <sheetFormatPr defaultRowHeight="11.25"/>
  <cols>
    <col min="1" max="1" width="8.1640625" style="157" customWidth="1"/>
    <col min="2" max="2" width="4.1640625" style="157" customWidth="1"/>
    <col min="3" max="3" width="11" style="157" customWidth="1"/>
    <col min="4" max="4" width="4.83203125" style="157" customWidth="1"/>
    <col min="5" max="5" width="10.83203125" style="157" customWidth="1"/>
    <col min="6" max="6" width="4.33203125" style="157" customWidth="1"/>
    <col min="7" max="7" width="17.33203125" style="157" customWidth="1"/>
    <col min="8" max="8" width="2.83203125" style="157" customWidth="1"/>
    <col min="9" max="9" width="13.5" style="157" customWidth="1"/>
    <col min="10" max="10" width="2.83203125" style="157" customWidth="1"/>
    <col min="11" max="11" width="13.5" style="157" customWidth="1"/>
    <col min="12" max="12" width="2.83203125" style="157" customWidth="1"/>
    <col min="13" max="13" width="15.33203125" style="157" customWidth="1"/>
    <col min="14" max="14" width="2.83203125" style="157" customWidth="1"/>
    <col min="15" max="15" width="13.1640625" style="157" customWidth="1"/>
    <col min="16" max="16" width="2.83203125" style="157" customWidth="1"/>
    <col min="17" max="17" width="13.83203125" style="157" customWidth="1"/>
    <col min="18" max="18" width="3.1640625" style="157" customWidth="1"/>
    <col min="19" max="19" width="13.1640625" style="157" customWidth="1"/>
    <col min="20" max="20" width="2.83203125" style="157" customWidth="1"/>
    <col min="21" max="21" width="15.1640625" style="157" customWidth="1"/>
    <col min="22" max="22" width="2.83203125" style="157" customWidth="1"/>
    <col min="23" max="23" width="14.1640625" style="157" customWidth="1"/>
    <col min="24" max="24" width="2.83203125" style="157" customWidth="1"/>
    <col min="25" max="25" width="14.6640625" style="157" customWidth="1"/>
    <col min="26" max="26" width="2.83203125" style="157" customWidth="1"/>
    <col min="27" max="27" width="2.6640625" style="157" customWidth="1"/>
    <col min="28" max="28" width="7.83203125" style="157" customWidth="1"/>
    <col min="29" max="29" width="3" style="157" customWidth="1"/>
    <col min="30" max="30" width="13" style="157" bestFit="1" customWidth="1"/>
    <col min="31" max="31" width="3.1640625" style="157" customWidth="1"/>
    <col min="32" max="32" width="12.1640625" style="157" customWidth="1"/>
    <col min="33" max="33" width="2.33203125" style="157" customWidth="1"/>
    <col min="34" max="34" width="14.5" style="157" customWidth="1"/>
    <col min="35" max="35" width="3" style="157" customWidth="1"/>
    <col min="36" max="36" width="13.1640625" style="157" customWidth="1"/>
    <col min="37" max="37" width="2.33203125" style="157" customWidth="1"/>
    <col min="38" max="38" width="13.6640625" style="157" customWidth="1"/>
    <col min="39" max="39" width="1.5" style="157" customWidth="1"/>
    <col min="40" max="40" width="9.33203125" style="157"/>
    <col min="41" max="41" width="1.33203125" style="157" customWidth="1"/>
    <col min="42" max="42" width="11.33203125" style="157" customWidth="1"/>
    <col min="43" max="43" width="2.5" style="157" customWidth="1"/>
    <col min="44" max="44" width="12.6640625" style="157" customWidth="1"/>
    <col min="45" max="45" width="4" style="157" customWidth="1"/>
    <col min="46" max="46" width="10.1640625" style="157" customWidth="1"/>
    <col min="47" max="47" width="3.33203125" style="157" customWidth="1"/>
    <col min="48" max="48" width="12" style="157" customWidth="1"/>
    <col min="49" max="49" width="1.5" style="157" customWidth="1"/>
    <col min="50" max="50" width="11.33203125" style="157" customWidth="1"/>
    <col min="51" max="51" width="1.83203125" style="157" customWidth="1"/>
    <col min="52" max="52" width="9.33203125" style="157"/>
    <col min="53" max="53" width="2.83203125" style="157" customWidth="1"/>
    <col min="54" max="54" width="9.33203125" style="157"/>
    <col min="55" max="55" width="4" style="157" customWidth="1"/>
    <col min="56" max="56" width="9.33203125" style="157"/>
    <col min="57" max="57" width="2.83203125" style="157" customWidth="1"/>
    <col min="58" max="58" width="10.5" style="157" bestFit="1" customWidth="1"/>
    <col min="59" max="59" width="2.33203125" style="157" customWidth="1"/>
    <col min="60" max="16384" width="9.33203125" style="157"/>
  </cols>
  <sheetData>
    <row r="1" spans="1:57" s="264" customFormat="1">
      <c r="A1" s="264" t="str">
        <f>+'Workpaper Index'!C3</f>
        <v>PACIFICORP</v>
      </c>
    </row>
    <row r="2" spans="1:57" s="264" customFormat="1">
      <c r="A2" s="264" t="str">
        <f>+'Workpaper Index'!C4</f>
        <v xml:space="preserve">WASHINGTON AUGUST 23, 2019 RENEWABLES REPORT </v>
      </c>
    </row>
    <row r="3" spans="1:57" s="264" customFormat="1">
      <c r="A3" s="264" t="str">
        <f>+'Workpaper Index'!C5</f>
        <v>EVALUATION OF RENEWABLE RESOURCE COST</v>
      </c>
    </row>
    <row r="4" spans="1:57" s="264" customFormat="1"/>
    <row r="5" spans="1:57" s="264" customFormat="1">
      <c r="A5" s="264" t="s">
        <v>235</v>
      </c>
    </row>
    <row r="8" spans="1:57">
      <c r="B8" s="280"/>
      <c r="C8" s="281" t="s">
        <v>109</v>
      </c>
      <c r="D8" s="281"/>
      <c r="E8" s="281"/>
      <c r="F8" s="282"/>
      <c r="G8" s="281"/>
      <c r="H8" s="283"/>
      <c r="AB8" s="284" t="s">
        <v>110</v>
      </c>
      <c r="AC8" s="285"/>
      <c r="AD8" s="285"/>
      <c r="AE8" s="285"/>
      <c r="AF8" s="285"/>
      <c r="AG8" s="285"/>
      <c r="AH8" s="285"/>
      <c r="AI8" s="285"/>
      <c r="AJ8" s="285"/>
      <c r="AK8" s="286"/>
      <c r="AZ8" s="284" t="s">
        <v>111</v>
      </c>
      <c r="BA8" s="285"/>
      <c r="BB8" s="285"/>
      <c r="BC8" s="285"/>
      <c r="BD8" s="285"/>
      <c r="BE8" s="286"/>
    </row>
    <row r="9" spans="1:57" ht="12">
      <c r="B9" s="287"/>
      <c r="C9" s="288"/>
      <c r="D9" s="288"/>
      <c r="E9" s="288"/>
      <c r="F9" s="288"/>
      <c r="G9" s="288"/>
      <c r="H9" s="289"/>
      <c r="J9" s="290"/>
      <c r="AB9" s="137"/>
      <c r="AC9" s="138"/>
      <c r="AD9" s="138"/>
      <c r="AE9" s="138"/>
      <c r="AF9" s="139"/>
      <c r="AG9" s="138"/>
      <c r="AH9" s="138"/>
      <c r="AI9" s="138"/>
      <c r="AJ9" s="140"/>
      <c r="AK9" s="141"/>
      <c r="AZ9" s="137"/>
      <c r="BA9" s="138"/>
      <c r="BB9" s="138"/>
      <c r="BC9" s="138"/>
      <c r="BD9" s="139"/>
      <c r="BE9" s="142"/>
    </row>
    <row r="10" spans="1:57" ht="12">
      <c r="B10" s="291"/>
      <c r="C10" s="292" t="s">
        <v>112</v>
      </c>
      <c r="D10" s="292"/>
      <c r="E10" s="292"/>
      <c r="F10" s="292"/>
      <c r="G10" s="293" t="s">
        <v>218</v>
      </c>
      <c r="H10" s="294"/>
      <c r="AB10" s="143"/>
      <c r="AC10" s="144"/>
      <c r="AD10" s="144"/>
      <c r="AE10" s="144"/>
      <c r="AF10" s="145"/>
      <c r="AG10" s="146"/>
      <c r="AH10" s="147"/>
      <c r="AI10" s="148"/>
      <c r="AJ10" s="4"/>
      <c r="AK10" s="271"/>
      <c r="AZ10" s="143"/>
      <c r="BA10" s="144"/>
      <c r="BB10" s="144"/>
      <c r="BC10" s="144"/>
      <c r="BD10" s="145"/>
      <c r="BE10" s="149"/>
    </row>
    <row r="11" spans="1:57" ht="12">
      <c r="B11" s="291"/>
      <c r="C11" s="292" t="s">
        <v>41</v>
      </c>
      <c r="D11" s="292"/>
      <c r="E11" s="292"/>
      <c r="F11" s="292"/>
      <c r="G11" s="330">
        <v>1.6</v>
      </c>
      <c r="H11" s="294"/>
      <c r="AB11" s="143" t="s">
        <v>113</v>
      </c>
      <c r="AC11" s="144"/>
      <c r="AD11" s="144"/>
      <c r="AE11" s="144"/>
      <c r="AF11" s="331">
        <f>+G11*(G12/AJ16)</f>
        <v>1.3669664617983466</v>
      </c>
      <c r="AG11" s="148"/>
      <c r="AH11" s="144" t="s">
        <v>114</v>
      </c>
      <c r="AI11" s="145"/>
      <c r="AJ11" s="188">
        <f>'(2.1)_Resources'!$N$56</f>
        <v>6.6035087719298247</v>
      </c>
      <c r="AK11" s="271"/>
      <c r="AZ11" s="143" t="s">
        <v>113</v>
      </c>
      <c r="BA11" s="144"/>
      <c r="BB11" s="144"/>
      <c r="BC11" s="144"/>
      <c r="BD11" s="331">
        <f>(AF11*AF13-G11*G19)</f>
        <v>0.31224391811604368</v>
      </c>
      <c r="BE11" s="151"/>
    </row>
    <row r="12" spans="1:57" ht="12">
      <c r="B12" s="291"/>
      <c r="C12" s="292" t="s">
        <v>42</v>
      </c>
      <c r="D12" s="292"/>
      <c r="E12" s="292"/>
      <c r="F12" s="292"/>
      <c r="G12" s="332">
        <v>0.65920158980143928</v>
      </c>
      <c r="H12" s="294"/>
      <c r="AB12" s="143" t="s">
        <v>42</v>
      </c>
      <c r="AC12" s="144"/>
      <c r="AD12" s="144"/>
      <c r="AE12" s="144"/>
      <c r="AF12" s="152">
        <f>+AD66/8760/AF11</f>
        <v>0.75638624229954932</v>
      </c>
      <c r="AG12" s="148"/>
      <c r="AH12" s="138" t="s">
        <v>115</v>
      </c>
      <c r="AI12" s="139"/>
      <c r="AJ12" s="138">
        <v>2002</v>
      </c>
      <c r="AK12" s="271"/>
      <c r="AZ12" s="143"/>
      <c r="BA12" s="144"/>
      <c r="BB12" s="144"/>
      <c r="BC12" s="144"/>
      <c r="BD12" s="152"/>
      <c r="BE12" s="153"/>
    </row>
    <row r="13" spans="1:57" ht="12">
      <c r="B13" s="291"/>
      <c r="C13" s="292" t="s">
        <v>43</v>
      </c>
      <c r="D13" s="292"/>
      <c r="E13" s="292"/>
      <c r="F13" s="292"/>
      <c r="G13" s="293">
        <v>1999</v>
      </c>
      <c r="H13" s="294"/>
      <c r="AB13" s="143" t="s">
        <v>116</v>
      </c>
      <c r="AC13" s="144"/>
      <c r="AD13" s="144"/>
      <c r="AE13" s="144"/>
      <c r="AF13" s="154">
        <v>1</v>
      </c>
      <c r="AG13" s="148"/>
      <c r="AH13" s="138" t="s">
        <v>117</v>
      </c>
      <c r="AI13" s="139"/>
      <c r="AJ13" s="188">
        <f>'(2.1)_Resources'!$O$56</f>
        <v>1.5426421100500227</v>
      </c>
      <c r="AK13" s="271"/>
      <c r="AZ13" s="143" t="s">
        <v>116</v>
      </c>
      <c r="BA13" s="144"/>
      <c r="BB13" s="144"/>
      <c r="BC13" s="144"/>
      <c r="BD13" s="154">
        <v>1</v>
      </c>
      <c r="BE13" s="153"/>
    </row>
    <row r="14" spans="1:57" ht="12">
      <c r="B14" s="291"/>
      <c r="C14" s="292" t="s">
        <v>44</v>
      </c>
      <c r="D14" s="292"/>
      <c r="E14" s="292"/>
      <c r="F14" s="292"/>
      <c r="G14" s="293">
        <v>39</v>
      </c>
      <c r="H14" s="294"/>
      <c r="AB14" s="143" t="s">
        <v>118</v>
      </c>
      <c r="AC14" s="144"/>
      <c r="AD14" s="144"/>
      <c r="AE14" s="144"/>
      <c r="AF14" s="155">
        <f>'(2.1)_Resources'!$H$56</f>
        <v>7163.7407912687586</v>
      </c>
      <c r="AG14" s="148"/>
      <c r="AH14" s="138"/>
      <c r="AI14" s="139"/>
      <c r="AJ14" s="188"/>
      <c r="AK14" s="271"/>
      <c r="AZ14" s="143" t="s">
        <v>119</v>
      </c>
      <c r="BA14" s="144"/>
      <c r="BB14" s="144"/>
      <c r="BC14" s="144"/>
      <c r="BD14" s="189">
        <f>'(2.1)_Resources'!$J$57</f>
        <v>482</v>
      </c>
      <c r="BE14" s="153"/>
    </row>
    <row r="15" spans="1:57" ht="12">
      <c r="A15" s="157" t="s">
        <v>219</v>
      </c>
      <c r="B15" s="291"/>
      <c r="C15" s="292" t="s">
        <v>121</v>
      </c>
      <c r="D15" s="292"/>
      <c r="E15" s="292"/>
      <c r="F15" s="292"/>
      <c r="G15" s="333">
        <f>S28*1000/(G11*1000)</f>
        <v>318.75</v>
      </c>
      <c r="H15" s="294"/>
      <c r="AB15" s="143" t="s">
        <v>220</v>
      </c>
      <c r="AC15" s="144"/>
      <c r="AD15" s="144"/>
      <c r="AE15" s="144"/>
      <c r="AF15" s="189">
        <f>'(2.1)_Resources'!$J$56</f>
        <v>625</v>
      </c>
      <c r="AG15" s="148"/>
      <c r="AH15" s="138" t="s">
        <v>168</v>
      </c>
      <c r="AI15" s="139"/>
      <c r="AJ15" s="188">
        <f>'(2.1)_Resources'!$P$56</f>
        <v>3.1491524416152528</v>
      </c>
      <c r="AK15" s="271"/>
      <c r="AZ15" s="143" t="s">
        <v>122</v>
      </c>
      <c r="BA15" s="144"/>
      <c r="BB15" s="144"/>
      <c r="BC15" s="144"/>
      <c r="BD15" s="158">
        <f>'(2.1)_Resources'!$K$57</f>
        <v>9.5899999999999999E-2</v>
      </c>
      <c r="BE15" s="153"/>
    </row>
    <row r="16" spans="1:57" ht="12">
      <c r="A16" s="157" t="s">
        <v>219</v>
      </c>
      <c r="B16" s="291"/>
      <c r="C16" s="292" t="s">
        <v>123</v>
      </c>
      <c r="D16" s="292"/>
      <c r="E16" s="292"/>
      <c r="F16" s="292"/>
      <c r="G16" s="333">
        <v>0</v>
      </c>
      <c r="H16" s="294"/>
      <c r="AB16" s="143" t="s">
        <v>122</v>
      </c>
      <c r="AC16" s="144"/>
      <c r="AD16" s="144"/>
      <c r="AE16" s="144"/>
      <c r="AF16" s="158">
        <f>'(2.1)_Resources'!$K$54</f>
        <v>8.6099999999999996E-2</v>
      </c>
      <c r="AG16" s="148"/>
      <c r="AH16" s="138" t="s">
        <v>124</v>
      </c>
      <c r="AI16" s="145"/>
      <c r="AJ16" s="159">
        <f>'(2.1)_Resources'!$D$56</f>
        <v>0.77157894736842092</v>
      </c>
      <c r="AK16" s="271"/>
      <c r="AZ16" s="143" t="s">
        <v>114</v>
      </c>
      <c r="BA16" s="145"/>
      <c r="BB16" s="188">
        <f>'(2.1)_Resources'!N57</f>
        <v>10.050000000000001</v>
      </c>
      <c r="BC16" s="4"/>
      <c r="BD16" s="4"/>
      <c r="BE16" s="151"/>
    </row>
    <row r="17" spans="1:60" ht="12">
      <c r="A17" s="157" t="s">
        <v>219</v>
      </c>
      <c r="B17" s="291"/>
      <c r="C17" s="292" t="s">
        <v>125</v>
      </c>
      <c r="D17" s="292"/>
      <c r="E17" s="292"/>
      <c r="F17" s="292"/>
      <c r="G17" s="333">
        <v>0</v>
      </c>
      <c r="H17" s="294"/>
      <c r="AB17" s="3"/>
      <c r="AG17" s="148"/>
      <c r="AH17" s="4"/>
      <c r="AI17" s="148"/>
      <c r="AJ17" s="144"/>
      <c r="AK17" s="151"/>
      <c r="AZ17" s="137" t="s">
        <v>115</v>
      </c>
      <c r="BA17" s="139"/>
      <c r="BB17" s="138">
        <v>2002</v>
      </c>
      <c r="BC17" s="4"/>
      <c r="BD17" s="4"/>
      <c r="BE17" s="149"/>
    </row>
    <row r="18" spans="1:60" ht="12">
      <c r="B18" s="291"/>
      <c r="C18" s="292" t="s">
        <v>126</v>
      </c>
      <c r="D18" s="292"/>
      <c r="E18" s="292"/>
      <c r="F18" s="292"/>
      <c r="G18" s="332">
        <v>7.8200000000000006E-2</v>
      </c>
      <c r="H18" s="29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2"/>
      <c r="AZ18" s="160"/>
      <c r="BA18" s="161"/>
      <c r="BB18" s="161"/>
      <c r="BC18" s="161"/>
      <c r="BD18" s="161"/>
      <c r="BE18" s="163"/>
    </row>
    <row r="19" spans="1:60">
      <c r="B19" s="298"/>
      <c r="C19" s="299" t="s">
        <v>116</v>
      </c>
      <c r="D19" s="299"/>
      <c r="E19" s="299"/>
      <c r="F19" s="299"/>
      <c r="G19" s="190">
        <v>0.65920158980143928</v>
      </c>
      <c r="H19" s="301"/>
    </row>
    <row r="20" spans="1:60">
      <c r="B20" s="264"/>
      <c r="C20" s="264"/>
      <c r="D20" s="264"/>
      <c r="E20" s="264"/>
      <c r="F20" s="264"/>
      <c r="G20" s="264"/>
      <c r="H20" s="264"/>
    </row>
    <row r="23" spans="1:60">
      <c r="B23" s="284"/>
      <c r="C23" s="302" t="s">
        <v>128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3"/>
      <c r="AB23" s="284" t="s">
        <v>110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6"/>
      <c r="AZ23" s="284" t="s">
        <v>111</v>
      </c>
      <c r="BA23" s="285"/>
      <c r="BB23" s="285"/>
      <c r="BC23" s="285"/>
      <c r="BD23" s="285"/>
      <c r="BE23" s="285"/>
      <c r="BF23" s="285"/>
      <c r="BG23" s="285"/>
      <c r="BH23" s="286"/>
    </row>
    <row r="24" spans="1:60">
      <c r="B24" s="3"/>
      <c r="C24" s="4"/>
      <c r="D24" s="4"/>
      <c r="E24" s="4"/>
      <c r="F24" s="4"/>
      <c r="G24" s="304"/>
      <c r="H24" s="4"/>
      <c r="I24" s="304"/>
      <c r="J24" s="4"/>
      <c r="K24" s="304"/>
      <c r="L24" s="4"/>
      <c r="M24" s="4"/>
      <c r="N24" s="4"/>
      <c r="O24" s="304"/>
      <c r="P24" s="4"/>
      <c r="Q24" s="304"/>
      <c r="R24" s="4"/>
      <c r="S24" s="304"/>
      <c r="T24" s="4"/>
      <c r="U24" s="304"/>
      <c r="V24" s="4"/>
      <c r="W24" s="304"/>
      <c r="X24" s="4"/>
      <c r="Y24" s="304"/>
      <c r="Z24" s="271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71"/>
      <c r="AZ24" s="3"/>
      <c r="BA24" s="4"/>
      <c r="BB24" s="4"/>
      <c r="BC24" s="4"/>
      <c r="BD24" s="4"/>
      <c r="BE24" s="4"/>
      <c r="BF24" s="4"/>
      <c r="BG24" s="4"/>
      <c r="BH24" s="271"/>
    </row>
    <row r="25" spans="1:60" ht="60">
      <c r="B25" s="3"/>
      <c r="C25" s="4"/>
      <c r="D25" s="4"/>
      <c r="E25" s="304"/>
      <c r="F25" s="4"/>
      <c r="G25" s="305" t="s">
        <v>129</v>
      </c>
      <c r="H25" s="4"/>
      <c r="I25" s="305" t="s">
        <v>130</v>
      </c>
      <c r="J25" s="4"/>
      <c r="K25" s="305" t="s">
        <v>131</v>
      </c>
      <c r="L25" s="4"/>
      <c r="M25" s="305" t="s">
        <v>125</v>
      </c>
      <c r="N25" s="4"/>
      <c r="O25" s="305" t="s">
        <v>132</v>
      </c>
      <c r="P25" s="4"/>
      <c r="Q25" s="305" t="s">
        <v>133</v>
      </c>
      <c r="R25" s="4"/>
      <c r="S25" s="305" t="s">
        <v>30</v>
      </c>
      <c r="T25" s="4"/>
      <c r="U25" s="305" t="s">
        <v>134</v>
      </c>
      <c r="V25" s="4"/>
      <c r="W25" s="305" t="s">
        <v>135</v>
      </c>
      <c r="X25" s="270"/>
      <c r="Y25" s="305" t="s">
        <v>135</v>
      </c>
      <c r="Z25" s="271"/>
      <c r="AB25" s="164"/>
      <c r="AC25" s="139"/>
      <c r="AD25" s="306" t="s">
        <v>129</v>
      </c>
      <c r="AE25" s="4"/>
      <c r="AF25" s="165" t="s">
        <v>136</v>
      </c>
      <c r="AG25" s="166"/>
      <c r="AH25" s="165" t="s">
        <v>137</v>
      </c>
      <c r="AI25" s="4"/>
      <c r="AJ25" s="165" t="s">
        <v>138</v>
      </c>
      <c r="AK25" s="4"/>
      <c r="AL25" s="165" t="s">
        <v>139</v>
      </c>
      <c r="AM25" s="4"/>
      <c r="AN25" s="165" t="s">
        <v>140</v>
      </c>
      <c r="AO25" s="4"/>
      <c r="AP25" s="165" t="s">
        <v>140</v>
      </c>
      <c r="AQ25" s="4"/>
      <c r="AR25" s="165" t="s">
        <v>160</v>
      </c>
      <c r="AS25" s="165"/>
      <c r="AT25" s="165" t="s">
        <v>141</v>
      </c>
      <c r="AU25" s="4"/>
      <c r="AV25" s="165" t="s">
        <v>142</v>
      </c>
      <c r="AW25" s="4"/>
      <c r="AX25" s="165" t="s">
        <v>143</v>
      </c>
      <c r="AZ25" s="164"/>
      <c r="BA25" s="139"/>
      <c r="BB25" s="165" t="s">
        <v>136</v>
      </c>
      <c r="BC25" s="4"/>
      <c r="BD25" s="165" t="s">
        <v>137</v>
      </c>
      <c r="BE25" s="4"/>
      <c r="BF25" s="165" t="s">
        <v>139</v>
      </c>
      <c r="BG25" s="4"/>
      <c r="BH25" s="167"/>
    </row>
    <row r="26" spans="1:60" ht="22.5">
      <c r="B26" s="3"/>
      <c r="C26" s="308" t="s">
        <v>144</v>
      </c>
      <c r="D26" s="4"/>
      <c r="E26" s="305" t="s">
        <v>145</v>
      </c>
      <c r="F26" s="4"/>
      <c r="G26" s="304" t="s">
        <v>146</v>
      </c>
      <c r="H26" s="4"/>
      <c r="I26" s="304" t="s">
        <v>147</v>
      </c>
      <c r="J26" s="4"/>
      <c r="K26" s="304" t="str">
        <f>"($/MWH)"</f>
        <v>($/MWH)</v>
      </c>
      <c r="L26" s="4"/>
      <c r="M26" s="304" t="str">
        <f>"($/MWH)"</f>
        <v>($/MWH)</v>
      </c>
      <c r="N26" s="4"/>
      <c r="O26" s="304" t="str">
        <f>"($/MWH)"</f>
        <v>($/MWH)</v>
      </c>
      <c r="P26" s="4"/>
      <c r="Q26" s="304" t="str">
        <f>"($/MWH)"</f>
        <v>($/MWH)</v>
      </c>
      <c r="R26" s="4"/>
      <c r="S26" s="304" t="str">
        <f>"($000)"</f>
        <v>($000)</v>
      </c>
      <c r="T26" s="4"/>
      <c r="U26" s="304" t="str">
        <f>"($000)"</f>
        <v>($000)</v>
      </c>
      <c r="V26" s="4"/>
      <c r="W26" s="304" t="str">
        <f>"($000)"</f>
        <v>($000)</v>
      </c>
      <c r="X26" s="270"/>
      <c r="Y26" s="304" t="s">
        <v>148</v>
      </c>
      <c r="Z26" s="271"/>
      <c r="AB26" s="168" t="s">
        <v>90</v>
      </c>
      <c r="AC26" s="139"/>
      <c r="AD26" s="4" t="s">
        <v>146</v>
      </c>
      <c r="AE26" s="4"/>
      <c r="AF26" s="166" t="s">
        <v>147</v>
      </c>
      <c r="AG26" s="166"/>
      <c r="AH26" s="166" t="s">
        <v>147</v>
      </c>
      <c r="AI26" s="4"/>
      <c r="AJ26" s="166" t="s">
        <v>149</v>
      </c>
      <c r="AK26" s="4"/>
      <c r="AL26" s="166" t="s">
        <v>150</v>
      </c>
      <c r="AM26" s="4"/>
      <c r="AN26" s="166" t="s">
        <v>151</v>
      </c>
      <c r="AO26" s="4"/>
      <c r="AP26" s="166" t="s">
        <v>149</v>
      </c>
      <c r="AQ26" s="4"/>
      <c r="AR26" s="166" t="s">
        <v>149</v>
      </c>
      <c r="AS26" s="166"/>
      <c r="AT26" s="166" t="s">
        <v>150</v>
      </c>
      <c r="AU26" s="4"/>
      <c r="AV26" s="166" t="s">
        <v>150</v>
      </c>
      <c r="AW26" s="4"/>
      <c r="AX26" s="169" t="s">
        <v>150</v>
      </c>
      <c r="AZ26" s="168" t="s">
        <v>90</v>
      </c>
      <c r="BA26" s="139"/>
      <c r="BB26" s="166" t="s">
        <v>147</v>
      </c>
      <c r="BC26" s="4"/>
      <c r="BD26" s="166" t="s">
        <v>147</v>
      </c>
      <c r="BE26" s="4"/>
      <c r="BF26" s="166" t="s">
        <v>150</v>
      </c>
      <c r="BG26" s="4"/>
      <c r="BH26" s="169"/>
    </row>
    <row r="27" spans="1:60" ht="12">
      <c r="B27" s="3"/>
      <c r="C27" s="309" t="s">
        <v>48</v>
      </c>
      <c r="D27" s="4"/>
      <c r="E27" s="309" t="s">
        <v>48</v>
      </c>
      <c r="F27" s="4"/>
      <c r="G27" s="309" t="s">
        <v>48</v>
      </c>
      <c r="H27" s="4"/>
      <c r="I27" s="309" t="s">
        <v>48</v>
      </c>
      <c r="J27" s="4"/>
      <c r="K27" s="309" t="s">
        <v>48</v>
      </c>
      <c r="L27" s="4"/>
      <c r="M27" s="309" t="s">
        <v>48</v>
      </c>
      <c r="N27" s="4"/>
      <c r="O27" s="309" t="s">
        <v>48</v>
      </c>
      <c r="P27" s="4"/>
      <c r="Q27" s="309" t="s">
        <v>48</v>
      </c>
      <c r="R27" s="4"/>
      <c r="S27" s="309" t="s">
        <v>48</v>
      </c>
      <c r="T27" s="4"/>
      <c r="U27" s="309" t="s">
        <v>48</v>
      </c>
      <c r="V27" s="4"/>
      <c r="W27" s="309" t="s">
        <v>48</v>
      </c>
      <c r="X27" s="4"/>
      <c r="Y27" s="309" t="s">
        <v>48</v>
      </c>
      <c r="Z27" s="271"/>
      <c r="AB27" s="170" t="s">
        <v>48</v>
      </c>
      <c r="AC27" s="139"/>
      <c r="AD27" s="171" t="s">
        <v>48</v>
      </c>
      <c r="AE27" s="4"/>
      <c r="AF27" s="171" t="s">
        <v>48</v>
      </c>
      <c r="AG27" s="4"/>
      <c r="AH27" s="171" t="s">
        <v>48</v>
      </c>
      <c r="AI27" s="4"/>
      <c r="AJ27" s="171" t="s">
        <v>48</v>
      </c>
      <c r="AK27" s="4"/>
      <c r="AL27" s="171" t="s">
        <v>48</v>
      </c>
      <c r="AM27" s="4"/>
      <c r="AN27" s="171" t="s">
        <v>48</v>
      </c>
      <c r="AO27" s="310"/>
      <c r="AP27" s="171" t="s">
        <v>48</v>
      </c>
      <c r="AQ27" s="310"/>
      <c r="AR27" s="171" t="s">
        <v>48</v>
      </c>
      <c r="AS27" s="171"/>
      <c r="AT27" s="171"/>
      <c r="AU27" s="310"/>
      <c r="AV27" s="171" t="s">
        <v>48</v>
      </c>
      <c r="AW27" s="4"/>
      <c r="AX27" s="172" t="s">
        <v>48</v>
      </c>
      <c r="AZ27" s="170" t="s">
        <v>48</v>
      </c>
      <c r="BA27" s="139"/>
      <c r="BB27" s="171" t="s">
        <v>48</v>
      </c>
      <c r="BC27" s="4"/>
      <c r="BD27" s="171" t="s">
        <v>48</v>
      </c>
      <c r="BE27" s="4"/>
      <c r="BF27" s="171" t="s">
        <v>48</v>
      </c>
      <c r="BG27" s="4"/>
      <c r="BH27" s="172"/>
    </row>
    <row r="28" spans="1:60" ht="12">
      <c r="B28" s="3"/>
      <c r="C28" s="7">
        <f>+G13</f>
        <v>1999</v>
      </c>
      <c r="D28" s="7"/>
      <c r="E28" s="311">
        <f>'(2.2)_Forward_Price_Curve'!$BD$37</f>
        <v>2.5000000000000001E-2</v>
      </c>
      <c r="F28" s="7"/>
      <c r="G28" s="23">
        <v>9239.3694826569736</v>
      </c>
      <c r="H28" s="7"/>
      <c r="I28" s="335">
        <f>$G$15</f>
        <v>318.75</v>
      </c>
      <c r="J28" s="312"/>
      <c r="K28" s="312">
        <f>$G$16</f>
        <v>0</v>
      </c>
      <c r="L28" s="313"/>
      <c r="M28" s="312">
        <f>$G$17</f>
        <v>0</v>
      </c>
      <c r="N28" s="7"/>
      <c r="O28" s="314"/>
      <c r="P28" s="7"/>
      <c r="Q28" s="30"/>
      <c r="R28" s="7"/>
      <c r="S28" s="23">
        <v>510</v>
      </c>
      <c r="T28" s="7"/>
      <c r="U28" s="23">
        <f>AX28</f>
        <v>323.51601894429632</v>
      </c>
      <c r="V28" s="7"/>
      <c r="W28" s="23">
        <f t="shared" ref="W28:W62" si="0">S28-U28</f>
        <v>186.48398105570368</v>
      </c>
      <c r="X28" s="7"/>
      <c r="Y28" s="315">
        <f>+W28*1000/G28</f>
        <v>20.183626318413701</v>
      </c>
      <c r="Z28" s="271"/>
      <c r="AB28" s="168">
        <f>$C$28</f>
        <v>1999</v>
      </c>
      <c r="AC28" s="138"/>
      <c r="AD28" s="173">
        <f t="shared" ref="AD28:AD62" si="1">G28</f>
        <v>9239.3694826569736</v>
      </c>
      <c r="AE28" s="4"/>
      <c r="AF28" s="261">
        <f>AF29/(1+E28)</f>
        <v>49.970255800118991</v>
      </c>
      <c r="AG28" s="316"/>
      <c r="AH28" s="261">
        <f>AH29/(1+$E28)</f>
        <v>6.1320143556174296</v>
      </c>
      <c r="AI28" s="316"/>
      <c r="AJ28" s="261">
        <f>AJ29/(1+$E28)</f>
        <v>1.4324965546524495</v>
      </c>
      <c r="AK28" s="317"/>
      <c r="AL28" s="175">
        <f>((AF28+AH28)*$AF$11*1000+AJ28*AD28)/1000</f>
        <v>89.925286684709093</v>
      </c>
      <c r="AM28" s="4"/>
      <c r="AN28" s="261">
        <f>AN29/(1+E28)</f>
        <v>3.3674848357922609</v>
      </c>
      <c r="AO28" s="329"/>
      <c r="AP28" s="176">
        <f>AN28*$AF$14/1000</f>
        <v>24.123788482143993</v>
      </c>
      <c r="AQ28" s="316"/>
      <c r="AR28" s="261">
        <f>AR29/(1+$E28)</f>
        <v>2.9243011021804128</v>
      </c>
      <c r="AS28" s="174"/>
      <c r="AT28" s="175">
        <f t="shared" ref="AT28:AT62" si="2">AL28-BF28</f>
        <v>73.608725474717488</v>
      </c>
      <c r="AU28" s="317"/>
      <c r="AV28" s="175">
        <f t="shared" ref="AV28:AV62" si="3">(AP28+AR28)*AD28/1000</f>
        <v>249.90729346957883</v>
      </c>
      <c r="AW28" s="318"/>
      <c r="AX28" s="177">
        <f>AT28+AV28</f>
        <v>323.51601894429632</v>
      </c>
      <c r="AZ28" s="168">
        <f>$C$28</f>
        <v>1999</v>
      </c>
      <c r="BA28" s="138"/>
      <c r="BB28" s="261">
        <f>BB29/(1+$E28)</f>
        <v>42.92339345047229</v>
      </c>
      <c r="BC28" s="4"/>
      <c r="BD28" s="261">
        <f t="shared" ref="BD28:BD30" si="4">BD29/(1+$E28)</f>
        <v>9.3324240797434772</v>
      </c>
      <c r="BE28" s="316"/>
      <c r="BF28" s="175">
        <f>(BB28+BD28)*$BD$11</f>
        <v>16.316561209991612</v>
      </c>
      <c r="BG28" s="316"/>
      <c r="BH28" s="178"/>
    </row>
    <row r="29" spans="1:60" ht="12">
      <c r="B29" s="3"/>
      <c r="C29" s="7">
        <f>+IF(C28&gt;$G$13+$G$14,XX,C28+1)</f>
        <v>2000</v>
      </c>
      <c r="D29" s="7"/>
      <c r="E29" s="311">
        <f>E28</f>
        <v>2.5000000000000001E-2</v>
      </c>
      <c r="F29" s="7"/>
      <c r="G29" s="23">
        <f>$G$28</f>
        <v>9239.3694826569736</v>
      </c>
      <c r="H29" s="7"/>
      <c r="I29" s="30">
        <f>I28*(1+$E29)</f>
        <v>326.71875</v>
      </c>
      <c r="J29" s="7"/>
      <c r="K29" s="30">
        <f>K28*(1+$E29)</f>
        <v>0</v>
      </c>
      <c r="L29" s="7"/>
      <c r="M29" s="30">
        <f>M28*(1+$E29)</f>
        <v>0</v>
      </c>
      <c r="N29" s="7"/>
      <c r="O29" s="314"/>
      <c r="P29" s="7"/>
      <c r="Q29" s="30"/>
      <c r="R29" s="7"/>
      <c r="S29" s="23">
        <v>0</v>
      </c>
      <c r="T29" s="7"/>
      <c r="U29" s="23">
        <f t="shared" ref="U29:U62" si="5">AX29</f>
        <v>331.60391941790374</v>
      </c>
      <c r="V29" s="7"/>
      <c r="W29" s="23">
        <f t="shared" si="0"/>
        <v>-331.60391941790374</v>
      </c>
      <c r="X29" s="7"/>
      <c r="Y29" s="315">
        <f t="shared" ref="Y29:Y62" si="6">+W29*1000/G29</f>
        <v>-35.890319143568242</v>
      </c>
      <c r="Z29" s="271"/>
      <c r="AB29" s="168">
        <f>+IF(AB28&gt;$G$13+$G$14,XX,AB28+1)</f>
        <v>2000</v>
      </c>
      <c r="AC29" s="138"/>
      <c r="AD29" s="173">
        <f t="shared" si="1"/>
        <v>9239.3694826569736</v>
      </c>
      <c r="AE29" s="4"/>
      <c r="AF29" s="261">
        <f>AF30/(1+E29)</f>
        <v>51.219512195121965</v>
      </c>
      <c r="AG29" s="4"/>
      <c r="AH29" s="261">
        <f>AH30/(1+$E29)</f>
        <v>6.2853147145078649</v>
      </c>
      <c r="AI29" s="4"/>
      <c r="AJ29" s="261">
        <f>AJ30/(1+$E29)</f>
        <v>1.4683089685187607</v>
      </c>
      <c r="AK29" s="4"/>
      <c r="AL29" s="175">
        <f t="shared" ref="AL29:AL62" si="7">((AF29+AH29)*$AF$11*1000+AJ29*AD29)/1000</f>
        <v>92.17341885182681</v>
      </c>
      <c r="AM29" s="4"/>
      <c r="AN29" s="261">
        <f>AN30/(1+E29)</f>
        <v>3.4516719566870671</v>
      </c>
      <c r="AO29" s="4"/>
      <c r="AP29" s="176">
        <f t="shared" ref="AP29:AP62" si="8">AN29*$AF$14/1000</f>
        <v>24.726883194197594</v>
      </c>
      <c r="AQ29" s="4"/>
      <c r="AR29" s="261">
        <f>AR30/(1+$E29)</f>
        <v>2.9974086297349229</v>
      </c>
      <c r="AS29" s="176"/>
      <c r="AT29" s="175">
        <f t="shared" si="2"/>
        <v>75.448943611585406</v>
      </c>
      <c r="AU29" s="4"/>
      <c r="AV29" s="175">
        <f t="shared" si="3"/>
        <v>256.15497580631836</v>
      </c>
      <c r="AW29" s="318"/>
      <c r="AX29" s="177">
        <f t="shared" ref="AX29:AX62" si="9">AT29+AV29</f>
        <v>331.60391941790374</v>
      </c>
      <c r="AZ29" s="168">
        <f>+IF(AZ28&gt;$G$13+$G$14,XX,AZ28+1)</f>
        <v>2000</v>
      </c>
      <c r="BA29" s="138"/>
      <c r="BB29" s="261">
        <f>BB30/(1+$E29)</f>
        <v>43.996478286734096</v>
      </c>
      <c r="BC29" s="4"/>
      <c r="BD29" s="261">
        <f t="shared" si="4"/>
        <v>9.5657346817370641</v>
      </c>
      <c r="BE29" s="4"/>
      <c r="BF29" s="175">
        <f t="shared" ref="BF29:BF62" si="10">(BB29+BD29)*$BD$11</f>
        <v>16.7244752402414</v>
      </c>
      <c r="BG29" s="4"/>
      <c r="BH29" s="179"/>
    </row>
    <row r="30" spans="1:60" ht="12">
      <c r="B30" s="3"/>
      <c r="C30" s="7">
        <f>+IF(C29&gt;$G$13+$G$14,XX,C29+1)</f>
        <v>2001</v>
      </c>
      <c r="D30" s="7"/>
      <c r="E30" s="311">
        <f t="shared" ref="E30:E62" si="11">E29</f>
        <v>2.5000000000000001E-2</v>
      </c>
      <c r="F30" s="7"/>
      <c r="G30" s="23">
        <f t="shared" ref="G30:G62" si="12">$G$28</f>
        <v>9239.3694826569736</v>
      </c>
      <c r="H30" s="7"/>
      <c r="I30" s="30">
        <f t="shared" ref="I30:I62" si="13">I29*(1+$E30)</f>
        <v>334.88671874999994</v>
      </c>
      <c r="J30" s="7"/>
      <c r="K30" s="30">
        <f t="shared" ref="K30:K62" si="14">K29*(1+$E30)</f>
        <v>0</v>
      </c>
      <c r="L30" s="7"/>
      <c r="M30" s="30">
        <f t="shared" ref="M30:M62" si="15">M29*(1+$E30)</f>
        <v>0</v>
      </c>
      <c r="N30" s="7"/>
      <c r="O30" s="314"/>
      <c r="P30" s="7"/>
      <c r="Q30" s="30"/>
      <c r="R30" s="7"/>
      <c r="S30" s="23">
        <v>0</v>
      </c>
      <c r="T30" s="7"/>
      <c r="U30" s="23">
        <f t="shared" si="5"/>
        <v>339.89401740335137</v>
      </c>
      <c r="V30" s="7"/>
      <c r="W30" s="23">
        <f t="shared" si="0"/>
        <v>-339.89401740335137</v>
      </c>
      <c r="X30" s="7"/>
      <c r="Y30" s="315">
        <f t="shared" si="6"/>
        <v>-36.787577122157451</v>
      </c>
      <c r="Z30" s="271"/>
      <c r="AB30" s="168">
        <f>+IF(AB29&gt;$G$13+$G$14,XX,AB29+1)</f>
        <v>2001</v>
      </c>
      <c r="AC30" s="138"/>
      <c r="AD30" s="173">
        <f t="shared" si="1"/>
        <v>9239.3694826569736</v>
      </c>
      <c r="AE30" s="4"/>
      <c r="AF30" s="261">
        <f>AF31/(1+$E30)</f>
        <v>52.500000000000007</v>
      </c>
      <c r="AG30" s="4"/>
      <c r="AH30" s="261">
        <f>AH31/(1+$E30)</f>
        <v>6.4424475823705611</v>
      </c>
      <c r="AI30" s="4"/>
      <c r="AJ30" s="261">
        <f>AJ31/(1+$E30)</f>
        <v>1.5050166927317297</v>
      </c>
      <c r="AK30" s="4"/>
      <c r="AL30" s="175">
        <f t="shared" si="7"/>
        <v>94.477754323122468</v>
      </c>
      <c r="AM30" s="4"/>
      <c r="AN30" s="261">
        <f>AN31/(1+E30)</f>
        <v>3.5379637556042436</v>
      </c>
      <c r="AO30" s="4"/>
      <c r="AP30" s="176">
        <f t="shared" si="8"/>
        <v>25.345055274052534</v>
      </c>
      <c r="AQ30" s="4"/>
      <c r="AR30" s="261">
        <f>AR31/(1+$E30)</f>
        <v>3.0723438454782959</v>
      </c>
      <c r="AS30" s="176"/>
      <c r="AT30" s="175">
        <f t="shared" si="2"/>
        <v>77.335167201875038</v>
      </c>
      <c r="AU30" s="4"/>
      <c r="AV30" s="175">
        <f t="shared" si="3"/>
        <v>262.55885020147633</v>
      </c>
      <c r="AW30" s="318"/>
      <c r="AX30" s="177">
        <f t="shared" si="9"/>
        <v>339.89401740335137</v>
      </c>
      <c r="AZ30" s="168">
        <f>+IF(AZ29&gt;$G$13+$G$14,XX,AZ29+1)</f>
        <v>2001</v>
      </c>
      <c r="BA30" s="138"/>
      <c r="BB30" s="261">
        <f>BB31/(1+$E30)</f>
        <v>45.096390243902441</v>
      </c>
      <c r="BC30" s="4"/>
      <c r="BD30" s="261">
        <f t="shared" si="4"/>
        <v>9.8048780487804894</v>
      </c>
      <c r="BE30" s="4"/>
      <c r="BF30" s="175">
        <f t="shared" si="10"/>
        <v>17.142587121247434</v>
      </c>
      <c r="BG30" s="4"/>
      <c r="BH30" s="179"/>
    </row>
    <row r="31" spans="1:60" ht="12">
      <c r="B31" s="3"/>
      <c r="C31" s="7">
        <f>+IF(C30&gt;$G$13+$G$14,XX,C30+1)</f>
        <v>2002</v>
      </c>
      <c r="D31" s="7"/>
      <c r="E31" s="311">
        <f t="shared" si="11"/>
        <v>2.5000000000000001E-2</v>
      </c>
      <c r="F31" s="7"/>
      <c r="G31" s="23">
        <f t="shared" si="12"/>
        <v>9239.3694826569736</v>
      </c>
      <c r="H31" s="7"/>
      <c r="I31" s="30">
        <f t="shared" si="13"/>
        <v>343.25888671874992</v>
      </c>
      <c r="J31" s="7"/>
      <c r="K31" s="30">
        <f t="shared" si="14"/>
        <v>0</v>
      </c>
      <c r="L31" s="7"/>
      <c r="M31" s="30">
        <f t="shared" si="15"/>
        <v>0</v>
      </c>
      <c r="N31" s="7"/>
      <c r="O31" s="314"/>
      <c r="P31" s="7"/>
      <c r="Q31" s="30"/>
      <c r="R31" s="7"/>
      <c r="S31" s="23">
        <v>0</v>
      </c>
      <c r="T31" s="7"/>
      <c r="U31" s="23">
        <f t="shared" si="5"/>
        <v>348.39136783843503</v>
      </c>
      <c r="V31" s="7"/>
      <c r="W31" s="23">
        <f t="shared" si="0"/>
        <v>-348.39136783843503</v>
      </c>
      <c r="X31" s="7"/>
      <c r="Y31" s="315">
        <f t="shared" si="6"/>
        <v>-37.707266550211372</v>
      </c>
      <c r="Z31" s="271"/>
      <c r="AB31" s="168">
        <f>+IF(AB30&gt;$G$13+$G$14,XX,AB30+1)</f>
        <v>2002</v>
      </c>
      <c r="AC31" s="138"/>
      <c r="AD31" s="173">
        <f t="shared" si="1"/>
        <v>9239.3694826569736</v>
      </c>
      <c r="AE31" s="4"/>
      <c r="AF31" s="174">
        <f>$AF$15*$AF$16</f>
        <v>53.8125</v>
      </c>
      <c r="AG31" s="4"/>
      <c r="AH31" s="174">
        <f>$AJ$11</f>
        <v>6.6035087719298247</v>
      </c>
      <c r="AI31" s="4"/>
      <c r="AJ31" s="174">
        <f>$AJ$13</f>
        <v>1.5426421100500227</v>
      </c>
      <c r="AK31" s="4"/>
      <c r="AL31" s="175">
        <f t="shared" si="7"/>
        <v>96.839698181200504</v>
      </c>
      <c r="AM31" s="4"/>
      <c r="AN31" s="261">
        <f>AN32/(1+E31)</f>
        <v>3.6264128494943493</v>
      </c>
      <c r="AO31" s="4"/>
      <c r="AP31" s="176">
        <f t="shared" si="8"/>
        <v>25.978681655903841</v>
      </c>
      <c r="AQ31" s="4"/>
      <c r="AR31" s="174">
        <f>$AJ$15</f>
        <v>3.1491524416152528</v>
      </c>
      <c r="AS31" s="176"/>
      <c r="AT31" s="175">
        <f t="shared" si="2"/>
        <v>79.26854638192188</v>
      </c>
      <c r="AU31" s="4"/>
      <c r="AV31" s="175">
        <f t="shared" si="3"/>
        <v>269.12282145651312</v>
      </c>
      <c r="AW31" s="318"/>
      <c r="AX31" s="177">
        <f t="shared" si="9"/>
        <v>348.39136783843503</v>
      </c>
      <c r="AZ31" s="168">
        <f>+IF(AZ30&gt;$G$13+$G$14,XX,AZ30+1)</f>
        <v>2002</v>
      </c>
      <c r="BA31" s="138"/>
      <c r="BB31" s="174">
        <f>$BD$14*$BD$15</f>
        <v>46.223799999999997</v>
      </c>
      <c r="BC31" s="4"/>
      <c r="BD31" s="174">
        <f>$BB$16</f>
        <v>10.050000000000001</v>
      </c>
      <c r="BE31" s="4"/>
      <c r="BF31" s="175">
        <f t="shared" si="10"/>
        <v>17.571151799278617</v>
      </c>
      <c r="BG31" s="4"/>
      <c r="BH31" s="179"/>
    </row>
    <row r="32" spans="1:60" ht="12">
      <c r="B32" s="3"/>
      <c r="C32" s="7">
        <f>+IF(C31&gt;$G$13+$G$14,XX,C31+1)</f>
        <v>2003</v>
      </c>
      <c r="D32" s="7"/>
      <c r="E32" s="311">
        <f t="shared" si="11"/>
        <v>2.5000000000000001E-2</v>
      </c>
      <c r="F32" s="7"/>
      <c r="G32" s="23">
        <f t="shared" si="12"/>
        <v>9239.3694826569736</v>
      </c>
      <c r="H32" s="7"/>
      <c r="I32" s="30">
        <f t="shared" si="13"/>
        <v>351.84035888671866</v>
      </c>
      <c r="J32" s="7"/>
      <c r="K32" s="30">
        <f t="shared" si="14"/>
        <v>0</v>
      </c>
      <c r="L32" s="7"/>
      <c r="M32" s="30">
        <f t="shared" si="15"/>
        <v>0</v>
      </c>
      <c r="N32" s="7"/>
      <c r="O32" s="314"/>
      <c r="P32" s="7"/>
      <c r="Q32" s="30"/>
      <c r="R32" s="7"/>
      <c r="S32" s="23">
        <v>0</v>
      </c>
      <c r="T32" s="7"/>
      <c r="U32" s="23">
        <f t="shared" si="5"/>
        <v>357.10115203439591</v>
      </c>
      <c r="V32" s="7"/>
      <c r="W32" s="23">
        <f t="shared" si="0"/>
        <v>-357.10115203439591</v>
      </c>
      <c r="X32" s="7"/>
      <c r="Y32" s="315">
        <f t="shared" si="6"/>
        <v>-38.649948213966653</v>
      </c>
      <c r="Z32" s="271"/>
      <c r="AB32" s="168">
        <f>+IF(AB31&gt;$G$13+$G$14,XX,AB31+1)</f>
        <v>2003</v>
      </c>
      <c r="AC32" s="138"/>
      <c r="AD32" s="173">
        <f t="shared" si="1"/>
        <v>9239.3694826569736</v>
      </c>
      <c r="AE32" s="4"/>
      <c r="AF32" s="176">
        <f t="shared" ref="AF32:AF62" si="16">AF31*(1+$E32)</f>
        <v>55.157812499999999</v>
      </c>
      <c r="AG32" s="4"/>
      <c r="AH32" s="176">
        <f t="shared" ref="AH32:AH62" si="17">AH31*(1+$E32)</f>
        <v>6.7685964912280694</v>
      </c>
      <c r="AI32" s="4"/>
      <c r="AJ32" s="176">
        <f t="shared" ref="AJ32:AJ62" si="18">AJ31*(1+$E32)</f>
        <v>1.5812081628012731</v>
      </c>
      <c r="AK32" s="4"/>
      <c r="AL32" s="175">
        <f t="shared" si="7"/>
        <v>99.260690635730526</v>
      </c>
      <c r="AM32" s="4"/>
      <c r="AN32" s="176">
        <f>INDEX('(2.2)_Forward_Price_Curve'!$H:$H,MATCH($AB32,'(2.2)_Forward_Price_Curve'!$C:$C,0),1)</f>
        <v>3.7170731707317075</v>
      </c>
      <c r="AO32" s="4"/>
      <c r="AP32" s="176">
        <f t="shared" si="8"/>
        <v>26.628148697301437</v>
      </c>
      <c r="AQ32" s="4"/>
      <c r="AR32" s="176">
        <f t="shared" ref="AR32:AR62" si="19">AR31*(1+$E32)</f>
        <v>3.2278812526556337</v>
      </c>
      <c r="AS32" s="176"/>
      <c r="AT32" s="175">
        <f t="shared" si="2"/>
        <v>81.250260041469943</v>
      </c>
      <c r="AU32" s="4"/>
      <c r="AV32" s="175">
        <f t="shared" si="3"/>
        <v>275.85089199292594</v>
      </c>
      <c r="AW32" s="318"/>
      <c r="AX32" s="177">
        <f t="shared" si="9"/>
        <v>357.10115203439591</v>
      </c>
      <c r="AZ32" s="168">
        <f>+IF(AZ31&gt;$G$13+$G$14,XX,AZ31+1)</f>
        <v>2003</v>
      </c>
      <c r="BA32" s="138"/>
      <c r="BB32" s="176">
        <f t="shared" ref="BB32:BB62" si="20">BB31*(1+$E32)</f>
        <v>47.379394999999995</v>
      </c>
      <c r="BC32" s="4"/>
      <c r="BD32" s="176">
        <f t="shared" ref="BD32:BD62" si="21">BD31*(1+$E32)</f>
        <v>10.30125</v>
      </c>
      <c r="BE32" s="4"/>
      <c r="BF32" s="175">
        <f t="shared" si="10"/>
        <v>18.010430594260583</v>
      </c>
      <c r="BG32" s="4"/>
      <c r="BH32" s="179"/>
    </row>
    <row r="33" spans="2:60" ht="12">
      <c r="B33" s="3"/>
      <c r="C33" s="7">
        <f>+IF(C32&gt;$G$13+$G$14,XX,C32+1)</f>
        <v>2004</v>
      </c>
      <c r="D33" s="7"/>
      <c r="E33" s="311">
        <f t="shared" si="11"/>
        <v>2.5000000000000001E-2</v>
      </c>
      <c r="F33" s="7"/>
      <c r="G33" s="23">
        <f t="shared" si="12"/>
        <v>9239.3694826569736</v>
      </c>
      <c r="H33" s="7"/>
      <c r="I33" s="30">
        <f t="shared" si="13"/>
        <v>360.63636785888662</v>
      </c>
      <c r="J33" s="7"/>
      <c r="K33" s="30">
        <f t="shared" si="14"/>
        <v>0</v>
      </c>
      <c r="L33" s="7"/>
      <c r="M33" s="30">
        <f t="shared" si="15"/>
        <v>0</v>
      </c>
      <c r="N33" s="7"/>
      <c r="O33" s="314"/>
      <c r="P33" s="7"/>
      <c r="Q33" s="30"/>
      <c r="R33" s="7"/>
      <c r="S33" s="23">
        <v>0</v>
      </c>
      <c r="T33" s="7"/>
      <c r="U33" s="23">
        <f t="shared" si="5"/>
        <v>366.02868083525573</v>
      </c>
      <c r="V33" s="7"/>
      <c r="W33" s="23">
        <f t="shared" si="0"/>
        <v>-366.02868083525573</v>
      </c>
      <c r="X33" s="7"/>
      <c r="Y33" s="315">
        <f t="shared" si="6"/>
        <v>-39.616196919315811</v>
      </c>
      <c r="Z33" s="271"/>
      <c r="AB33" s="168">
        <f>+IF(AB32&gt;$G$13+$G$14,XX,AB32+1)</f>
        <v>2004</v>
      </c>
      <c r="AC33" s="138"/>
      <c r="AD33" s="173">
        <f t="shared" si="1"/>
        <v>9239.3694826569736</v>
      </c>
      <c r="AE33" s="4"/>
      <c r="AF33" s="176">
        <f t="shared" si="16"/>
        <v>56.536757812499992</v>
      </c>
      <c r="AG33" s="4"/>
      <c r="AH33" s="176">
        <f t="shared" si="17"/>
        <v>6.9378114035087703</v>
      </c>
      <c r="AI33" s="4"/>
      <c r="AJ33" s="176">
        <f t="shared" si="18"/>
        <v>1.6207383668713047</v>
      </c>
      <c r="AK33" s="4"/>
      <c r="AL33" s="175">
        <f t="shared" si="7"/>
        <v>101.74220790162379</v>
      </c>
      <c r="AM33" s="4"/>
      <c r="AN33" s="176">
        <f>INDEX('(2.2)_Forward_Price_Curve'!$H:$H,MATCH($AB33,'(2.2)_Forward_Price_Curve'!$C:$C,0),1)</f>
        <v>3.81</v>
      </c>
      <c r="AO33" s="4"/>
      <c r="AP33" s="176">
        <f t="shared" si="8"/>
        <v>27.293852414733969</v>
      </c>
      <c r="AQ33" s="4"/>
      <c r="AR33" s="176">
        <f t="shared" si="19"/>
        <v>3.3085782839720244</v>
      </c>
      <c r="AS33" s="176"/>
      <c r="AT33" s="175">
        <f t="shared" si="2"/>
        <v>83.281516542506694</v>
      </c>
      <c r="AU33" s="4"/>
      <c r="AV33" s="175">
        <f t="shared" si="3"/>
        <v>282.74716429274906</v>
      </c>
      <c r="AW33" s="318"/>
      <c r="AX33" s="177">
        <f t="shared" si="9"/>
        <v>366.02868083525573</v>
      </c>
      <c r="AZ33" s="168">
        <f>+IF(AZ32&gt;$G$13+$G$14,XX,AZ32+1)</f>
        <v>2004</v>
      </c>
      <c r="BA33" s="138"/>
      <c r="BB33" s="176">
        <f t="shared" si="20"/>
        <v>48.563879874999991</v>
      </c>
      <c r="BC33" s="4"/>
      <c r="BD33" s="176">
        <f t="shared" si="21"/>
        <v>10.558781249999999</v>
      </c>
      <c r="BE33" s="4"/>
      <c r="BF33" s="175">
        <f t="shared" si="10"/>
        <v>18.460691359117096</v>
      </c>
      <c r="BG33" s="4"/>
      <c r="BH33" s="179"/>
    </row>
    <row r="34" spans="2:60" ht="12">
      <c r="B34" s="3"/>
      <c r="C34" s="7">
        <f>+IF(C33&gt;$G$13+$G$14,XX,C33+1)</f>
        <v>2005</v>
      </c>
      <c r="D34" s="7"/>
      <c r="E34" s="311">
        <f t="shared" si="11"/>
        <v>2.5000000000000001E-2</v>
      </c>
      <c r="F34" s="7"/>
      <c r="G34" s="23">
        <f t="shared" si="12"/>
        <v>9239.3694826569736</v>
      </c>
      <c r="H34" s="7"/>
      <c r="I34" s="30">
        <f t="shared" si="13"/>
        <v>369.65227705535875</v>
      </c>
      <c r="J34" s="7"/>
      <c r="K34" s="30">
        <f t="shared" si="14"/>
        <v>0</v>
      </c>
      <c r="L34" s="7"/>
      <c r="M34" s="30">
        <f t="shared" si="15"/>
        <v>0</v>
      </c>
      <c r="N34" s="7"/>
      <c r="O34" s="314"/>
      <c r="P34" s="7"/>
      <c r="Q34" s="30"/>
      <c r="R34" s="7"/>
      <c r="S34" s="23">
        <v>0</v>
      </c>
      <c r="T34" s="7"/>
      <c r="U34" s="23">
        <f t="shared" si="5"/>
        <v>378.80321538679323</v>
      </c>
      <c r="V34" s="7"/>
      <c r="W34" s="23">
        <f t="shared" si="0"/>
        <v>-378.80321538679323</v>
      </c>
      <c r="X34" s="7"/>
      <c r="Y34" s="315">
        <f t="shared" si="6"/>
        <v>-40.998816650620675</v>
      </c>
      <c r="Z34" s="271"/>
      <c r="AB34" s="168">
        <f>+IF(AB33&gt;$G$13+$G$14,XX,AB33+1)</f>
        <v>2005</v>
      </c>
      <c r="AC34" s="138"/>
      <c r="AD34" s="173">
        <f t="shared" si="1"/>
        <v>9239.3694826569736</v>
      </c>
      <c r="AE34" s="4"/>
      <c r="AF34" s="176">
        <f t="shared" si="16"/>
        <v>57.950176757812486</v>
      </c>
      <c r="AG34" s="4"/>
      <c r="AH34" s="176">
        <f t="shared" si="17"/>
        <v>7.1112566885964892</v>
      </c>
      <c r="AI34" s="4"/>
      <c r="AJ34" s="176">
        <f t="shared" si="18"/>
        <v>1.6612568260430871</v>
      </c>
      <c r="AK34" s="4"/>
      <c r="AL34" s="175">
        <f t="shared" si="7"/>
        <v>104.28576309916436</v>
      </c>
      <c r="AM34" s="4"/>
      <c r="AN34" s="176">
        <f>INDEX('(2.2)_Forward_Price_Curve'!$H:$H,MATCH($AB34,'(2.2)_Forward_Price_Curve'!$C:$C,0),1)</f>
        <v>3.96</v>
      </c>
      <c r="AO34" s="4"/>
      <c r="AP34" s="176">
        <f t="shared" si="8"/>
        <v>28.368413533424281</v>
      </c>
      <c r="AQ34" s="4"/>
      <c r="AR34" s="176">
        <f t="shared" si="19"/>
        <v>3.3912927410713247</v>
      </c>
      <c r="AS34" s="176"/>
      <c r="AT34" s="175">
        <f t="shared" si="2"/>
        <v>85.363554456069338</v>
      </c>
      <c r="AU34" s="4"/>
      <c r="AV34" s="175">
        <f t="shared" si="3"/>
        <v>293.4396609307239</v>
      </c>
      <c r="AW34" s="318"/>
      <c r="AX34" s="177">
        <f t="shared" si="9"/>
        <v>378.80321538679323</v>
      </c>
      <c r="AZ34" s="168">
        <f>+IF(AZ33&gt;$G$13+$G$14,XX,AZ33+1)</f>
        <v>2005</v>
      </c>
      <c r="BA34" s="138"/>
      <c r="BB34" s="176">
        <f t="shared" si="20"/>
        <v>49.777976871874984</v>
      </c>
      <c r="BC34" s="4"/>
      <c r="BD34" s="176">
        <f t="shared" si="21"/>
        <v>10.822750781249999</v>
      </c>
      <c r="BE34" s="4"/>
      <c r="BF34" s="175">
        <f t="shared" si="10"/>
        <v>18.922208643095022</v>
      </c>
      <c r="BG34" s="4"/>
      <c r="BH34" s="179"/>
    </row>
    <row r="35" spans="2:60" ht="12">
      <c r="B35" s="3"/>
      <c r="C35" s="7">
        <f>+IF(C34&gt;$G$13+$G$14,XX,C34+1)</f>
        <v>2006</v>
      </c>
      <c r="D35" s="7"/>
      <c r="E35" s="311">
        <f t="shared" si="11"/>
        <v>2.5000000000000001E-2</v>
      </c>
      <c r="F35" s="7"/>
      <c r="G35" s="23">
        <f t="shared" si="12"/>
        <v>9239.3694826569736</v>
      </c>
      <c r="H35" s="7"/>
      <c r="I35" s="30">
        <f t="shared" si="13"/>
        <v>378.89358398174267</v>
      </c>
      <c r="J35" s="7"/>
      <c r="K35" s="30">
        <f t="shared" si="14"/>
        <v>0</v>
      </c>
      <c r="L35" s="7"/>
      <c r="M35" s="30">
        <f t="shared" si="15"/>
        <v>0</v>
      </c>
      <c r="N35" s="7"/>
      <c r="O35" s="314"/>
      <c r="P35" s="7"/>
      <c r="Q35" s="30"/>
      <c r="R35" s="7"/>
      <c r="S35" s="23">
        <v>0</v>
      </c>
      <c r="T35" s="7"/>
      <c r="U35" s="23">
        <f t="shared" si="5"/>
        <v>384.36817733660075</v>
      </c>
      <c r="V35" s="7"/>
      <c r="W35" s="23">
        <f t="shared" si="0"/>
        <v>-384.36817733660075</v>
      </c>
      <c r="X35" s="7"/>
      <c r="Y35" s="315">
        <f t="shared" si="6"/>
        <v>-41.601126360201327</v>
      </c>
      <c r="Z35" s="271"/>
      <c r="AB35" s="168">
        <f>+IF(AB34&gt;$G$13+$G$14,XX,AB34+1)</f>
        <v>2006</v>
      </c>
      <c r="AC35" s="138"/>
      <c r="AD35" s="173">
        <f t="shared" si="1"/>
        <v>9239.3694826569736</v>
      </c>
      <c r="AE35" s="4"/>
      <c r="AF35" s="176">
        <f t="shared" si="16"/>
        <v>59.398931176757792</v>
      </c>
      <c r="AG35" s="4"/>
      <c r="AH35" s="176">
        <f t="shared" si="17"/>
        <v>7.2890381058114011</v>
      </c>
      <c r="AI35" s="4"/>
      <c r="AJ35" s="176">
        <f t="shared" si="18"/>
        <v>1.7027882466941642</v>
      </c>
      <c r="AK35" s="4"/>
      <c r="AL35" s="175">
        <f t="shared" si="7"/>
        <v>106.89290717664346</v>
      </c>
      <c r="AM35" s="4"/>
      <c r="AN35" s="176">
        <f>INDEX('(2.2)_Forward_Price_Curve'!$H:$H,MATCH($AB35,'(2.2)_Forward_Price_Curve'!$C:$C,0),1)</f>
        <v>4</v>
      </c>
      <c r="AO35" s="4"/>
      <c r="AP35" s="176">
        <f t="shared" si="8"/>
        <v>28.654963165075035</v>
      </c>
      <c r="AQ35" s="4"/>
      <c r="AR35" s="176">
        <f t="shared" si="19"/>
        <v>3.4760750595981076</v>
      </c>
      <c r="AS35" s="176"/>
      <c r="AT35" s="175">
        <f t="shared" si="2"/>
        <v>87.497643317471073</v>
      </c>
      <c r="AU35" s="4"/>
      <c r="AV35" s="175">
        <f t="shared" si="3"/>
        <v>296.87053401912971</v>
      </c>
      <c r="AW35" s="318"/>
      <c r="AX35" s="177">
        <f t="shared" si="9"/>
        <v>384.36817733660075</v>
      </c>
      <c r="AZ35" s="168">
        <f>+IF(AZ34&gt;$G$13+$G$14,XX,AZ34+1)</f>
        <v>2006</v>
      </c>
      <c r="BA35" s="138"/>
      <c r="BB35" s="176">
        <f t="shared" si="20"/>
        <v>51.022426293671856</v>
      </c>
      <c r="BC35" s="4"/>
      <c r="BD35" s="176">
        <f t="shared" si="21"/>
        <v>11.093319550781247</v>
      </c>
      <c r="BE35" s="4"/>
      <c r="BF35" s="175">
        <f t="shared" si="10"/>
        <v>19.395263859172395</v>
      </c>
      <c r="BG35" s="4"/>
      <c r="BH35" s="179"/>
    </row>
    <row r="36" spans="2:60" ht="12">
      <c r="B36" s="3"/>
      <c r="C36" s="7">
        <f>+IF(C35&gt;$G$13+$G$14,XX,C35+1)</f>
        <v>2007</v>
      </c>
      <c r="D36" s="7"/>
      <c r="E36" s="311">
        <f t="shared" si="11"/>
        <v>2.5000000000000001E-2</v>
      </c>
      <c r="F36" s="7"/>
      <c r="G36" s="23">
        <f t="shared" si="12"/>
        <v>9239.3694826569736</v>
      </c>
      <c r="H36" s="7"/>
      <c r="I36" s="30">
        <f t="shared" si="13"/>
        <v>388.36592358128621</v>
      </c>
      <c r="J36" s="7"/>
      <c r="K36" s="30">
        <f t="shared" si="14"/>
        <v>0</v>
      </c>
      <c r="L36" s="7"/>
      <c r="M36" s="30">
        <f t="shared" si="15"/>
        <v>0</v>
      </c>
      <c r="N36" s="7"/>
      <c r="O36" s="314"/>
      <c r="P36" s="7"/>
      <c r="Q36" s="30"/>
      <c r="R36" s="7"/>
      <c r="S36" s="23">
        <v>0</v>
      </c>
      <c r="T36" s="7"/>
      <c r="U36" s="23">
        <f t="shared" si="5"/>
        <v>401.91999553583747</v>
      </c>
      <c r="V36" s="7"/>
      <c r="W36" s="23">
        <f t="shared" si="0"/>
        <v>-401.91999553583747</v>
      </c>
      <c r="X36" s="7"/>
      <c r="Y36" s="315">
        <f t="shared" si="6"/>
        <v>-43.500803414158625</v>
      </c>
      <c r="Z36" s="271"/>
      <c r="AB36" s="168">
        <f>+IF(AB35&gt;$G$13+$G$14,XX,AB35+1)</f>
        <v>2007</v>
      </c>
      <c r="AC36" s="138"/>
      <c r="AD36" s="173">
        <f t="shared" si="1"/>
        <v>9239.3694826569736</v>
      </c>
      <c r="AE36" s="4"/>
      <c r="AF36" s="176">
        <f t="shared" si="16"/>
        <v>60.88390445617673</v>
      </c>
      <c r="AG36" s="4"/>
      <c r="AH36" s="176">
        <f t="shared" si="17"/>
        <v>7.4712640584566854</v>
      </c>
      <c r="AI36" s="4"/>
      <c r="AJ36" s="176">
        <f t="shared" si="18"/>
        <v>1.7453579528615182</v>
      </c>
      <c r="AK36" s="4"/>
      <c r="AL36" s="175">
        <f t="shared" si="7"/>
        <v>109.56522985605953</v>
      </c>
      <c r="AM36" s="4"/>
      <c r="AN36" s="176">
        <f>INDEX('(2.2)_Forward_Price_Curve'!$H:$H,MATCH($AB36,'(2.2)_Forward_Price_Curve'!$C:$C,0),1)</f>
        <v>4.22</v>
      </c>
      <c r="AO36" s="4"/>
      <c r="AP36" s="176">
        <f t="shared" si="8"/>
        <v>30.230986139154162</v>
      </c>
      <c r="AQ36" s="4"/>
      <c r="AR36" s="176">
        <f t="shared" si="19"/>
        <v>3.5629769360880599</v>
      </c>
      <c r="AS36" s="176"/>
      <c r="AT36" s="175">
        <f t="shared" si="2"/>
        <v>89.685084400407831</v>
      </c>
      <c r="AU36" s="4"/>
      <c r="AV36" s="175">
        <f t="shared" si="3"/>
        <v>312.23491113542963</v>
      </c>
      <c r="AW36" s="318"/>
      <c r="AX36" s="177">
        <f t="shared" si="9"/>
        <v>401.91999553583747</v>
      </c>
      <c r="AZ36" s="168">
        <f>+IF(AZ35&gt;$G$13+$G$14,XX,AZ35+1)</f>
        <v>2007</v>
      </c>
      <c r="BA36" s="138"/>
      <c r="BB36" s="176">
        <f t="shared" si="20"/>
        <v>52.297986951013648</v>
      </c>
      <c r="BC36" s="4"/>
      <c r="BD36" s="176">
        <f t="shared" si="21"/>
        <v>11.370652539550777</v>
      </c>
      <c r="BE36" s="4"/>
      <c r="BF36" s="175">
        <f t="shared" si="10"/>
        <v>19.880145455651704</v>
      </c>
      <c r="BG36" s="4"/>
      <c r="BH36" s="179"/>
    </row>
    <row r="37" spans="2:60" ht="12">
      <c r="B37" s="3"/>
      <c r="C37" s="7">
        <f>+IF(C36&gt;$G$13+$G$14,XX,C36+1)</f>
        <v>2008</v>
      </c>
      <c r="D37" s="7"/>
      <c r="E37" s="311">
        <f t="shared" si="11"/>
        <v>2.5000000000000001E-2</v>
      </c>
      <c r="F37" s="7"/>
      <c r="G37" s="23">
        <f t="shared" si="12"/>
        <v>9239.3694826569736</v>
      </c>
      <c r="H37" s="7"/>
      <c r="I37" s="30">
        <f t="shared" si="13"/>
        <v>398.07507167081832</v>
      </c>
      <c r="J37" s="7"/>
      <c r="K37" s="30">
        <f t="shared" si="14"/>
        <v>0</v>
      </c>
      <c r="L37" s="7"/>
      <c r="M37" s="30">
        <f t="shared" si="15"/>
        <v>0</v>
      </c>
      <c r="N37" s="7"/>
      <c r="O37" s="314"/>
      <c r="P37" s="7"/>
      <c r="Q37" s="30"/>
      <c r="R37" s="7"/>
      <c r="S37" s="23">
        <v>0</v>
      </c>
      <c r="T37" s="7"/>
      <c r="U37" s="23">
        <f t="shared" si="5"/>
        <v>418.22280376481785</v>
      </c>
      <c r="V37" s="7"/>
      <c r="W37" s="23">
        <f t="shared" si="0"/>
        <v>-418.22280376481785</v>
      </c>
      <c r="X37" s="7"/>
      <c r="Y37" s="315">
        <f t="shared" si="6"/>
        <v>-45.265297004287476</v>
      </c>
      <c r="Z37" s="271"/>
      <c r="AB37" s="168">
        <f>+IF(AB36&gt;$G$13+$G$14,XX,AB36+1)</f>
        <v>2008</v>
      </c>
      <c r="AC37" s="138"/>
      <c r="AD37" s="173">
        <f t="shared" si="1"/>
        <v>9239.3694826569736</v>
      </c>
      <c r="AE37" s="4"/>
      <c r="AF37" s="176">
        <f t="shared" si="16"/>
        <v>62.406002067581142</v>
      </c>
      <c r="AG37" s="4"/>
      <c r="AH37" s="176">
        <f t="shared" si="17"/>
        <v>7.6580456599181019</v>
      </c>
      <c r="AI37" s="4"/>
      <c r="AJ37" s="176">
        <f t="shared" si="18"/>
        <v>1.788991901683056</v>
      </c>
      <c r="AK37" s="4"/>
      <c r="AL37" s="175">
        <f t="shared" si="7"/>
        <v>112.30436060246103</v>
      </c>
      <c r="AM37" s="4"/>
      <c r="AN37" s="176">
        <f>INDEX('(2.2)_Forward_Price_Curve'!$H:$H,MATCH($AB37,'(2.2)_Forward_Price_Curve'!$C:$C,0),1)</f>
        <v>4.42</v>
      </c>
      <c r="AO37" s="4"/>
      <c r="AP37" s="176">
        <f t="shared" si="8"/>
        <v>31.66373429740791</v>
      </c>
      <c r="AQ37" s="4"/>
      <c r="AR37" s="176">
        <f t="shared" si="19"/>
        <v>3.6520513594902613</v>
      </c>
      <c r="AS37" s="176"/>
      <c r="AT37" s="175">
        <f t="shared" si="2"/>
        <v>91.927211510418033</v>
      </c>
      <c r="AU37" s="4"/>
      <c r="AV37" s="175">
        <f t="shared" si="3"/>
        <v>326.29559225439982</v>
      </c>
      <c r="AW37" s="318"/>
      <c r="AX37" s="177">
        <f t="shared" si="9"/>
        <v>418.22280376481785</v>
      </c>
      <c r="AZ37" s="168">
        <f>+IF(AZ36&gt;$G$13+$G$14,XX,AZ36+1)</f>
        <v>2008</v>
      </c>
      <c r="BA37" s="138"/>
      <c r="BB37" s="176">
        <f t="shared" si="20"/>
        <v>53.605436624788986</v>
      </c>
      <c r="BC37" s="4"/>
      <c r="BD37" s="176">
        <f t="shared" si="21"/>
        <v>11.654918853039545</v>
      </c>
      <c r="BE37" s="4"/>
      <c r="BF37" s="175">
        <f t="shared" si="10"/>
        <v>20.377149092042995</v>
      </c>
      <c r="BG37" s="4"/>
      <c r="BH37" s="179"/>
    </row>
    <row r="38" spans="2:60" ht="12">
      <c r="B38" s="3"/>
      <c r="C38" s="7">
        <f>+IF(C37&gt;$G$13+$G$14,XX,C37+1)</f>
        <v>2009</v>
      </c>
      <c r="D38" s="7"/>
      <c r="E38" s="311">
        <f t="shared" si="11"/>
        <v>2.5000000000000001E-2</v>
      </c>
      <c r="F38" s="7"/>
      <c r="G38" s="23">
        <f t="shared" si="12"/>
        <v>9239.3694826569736</v>
      </c>
      <c r="H38" s="7"/>
      <c r="I38" s="30">
        <f t="shared" si="13"/>
        <v>408.02694846258873</v>
      </c>
      <c r="J38" s="7"/>
      <c r="K38" s="30">
        <f t="shared" si="14"/>
        <v>0</v>
      </c>
      <c r="L38" s="7"/>
      <c r="M38" s="30">
        <f t="shared" si="15"/>
        <v>0</v>
      </c>
      <c r="N38" s="7"/>
      <c r="O38" s="314"/>
      <c r="P38" s="7"/>
      <c r="Q38" s="30"/>
      <c r="R38" s="7"/>
      <c r="S38" s="23">
        <v>0</v>
      </c>
      <c r="T38" s="7"/>
      <c r="U38" s="23">
        <f t="shared" si="5"/>
        <v>412.76005210327077</v>
      </c>
      <c r="V38" s="7"/>
      <c r="W38" s="23">
        <f t="shared" si="0"/>
        <v>-412.76005210327077</v>
      </c>
      <c r="X38" s="7"/>
      <c r="Y38" s="315">
        <f t="shared" si="6"/>
        <v>-44.674049769094523</v>
      </c>
      <c r="Z38" s="271"/>
      <c r="AB38" s="168">
        <f>+IF(AB37&gt;$G$13+$G$14,XX,AB37+1)</f>
        <v>2009</v>
      </c>
      <c r="AC38" s="138"/>
      <c r="AD38" s="173">
        <f t="shared" si="1"/>
        <v>9239.3694826569736</v>
      </c>
      <c r="AE38" s="4"/>
      <c r="AF38" s="176">
        <f t="shared" si="16"/>
        <v>63.966152119270667</v>
      </c>
      <c r="AG38" s="4"/>
      <c r="AH38" s="176">
        <f t="shared" si="17"/>
        <v>7.8494968014160538</v>
      </c>
      <c r="AI38" s="4"/>
      <c r="AJ38" s="176">
        <f t="shared" si="18"/>
        <v>1.8337166992251321</v>
      </c>
      <c r="AK38" s="4"/>
      <c r="AL38" s="175">
        <f t="shared" si="7"/>
        <v>115.11196961752253</v>
      </c>
      <c r="AM38" s="4"/>
      <c r="AN38" s="176">
        <f>INDEX('(2.2)_Forward_Price_Curve'!$H:$H,MATCH($AB38,'(2.2)_Forward_Price_Curve'!$C:$C,0),1)</f>
        <v>4.29</v>
      </c>
      <c r="AO38" s="4"/>
      <c r="AP38" s="176">
        <f t="shared" si="8"/>
        <v>30.732447994542973</v>
      </c>
      <c r="AQ38" s="4"/>
      <c r="AR38" s="176">
        <f t="shared" si="19"/>
        <v>3.7433526434775173</v>
      </c>
      <c r="AS38" s="176"/>
      <c r="AT38" s="175">
        <f t="shared" si="2"/>
        <v>94.225391798178464</v>
      </c>
      <c r="AU38" s="4"/>
      <c r="AV38" s="175">
        <f t="shared" si="3"/>
        <v>318.5346603050923</v>
      </c>
      <c r="AW38" s="318"/>
      <c r="AX38" s="177">
        <f t="shared" si="9"/>
        <v>412.76005210327077</v>
      </c>
      <c r="AZ38" s="168">
        <f>+IF(AZ37&gt;$G$13+$G$14,XX,AZ37+1)</f>
        <v>2009</v>
      </c>
      <c r="BA38" s="138"/>
      <c r="BB38" s="176">
        <f t="shared" si="20"/>
        <v>54.945572540408705</v>
      </c>
      <c r="BC38" s="4"/>
      <c r="BD38" s="176">
        <f t="shared" si="21"/>
        <v>11.946291824365533</v>
      </c>
      <c r="BE38" s="4"/>
      <c r="BF38" s="175">
        <f t="shared" si="10"/>
        <v>20.886577819344065</v>
      </c>
      <c r="BG38" s="4"/>
      <c r="BH38" s="179"/>
    </row>
    <row r="39" spans="2:60" ht="12">
      <c r="B39" s="3"/>
      <c r="C39" s="7">
        <f>+IF(C38&gt;$G$13+$G$14,XX,C38+1)</f>
        <v>2010</v>
      </c>
      <c r="D39" s="7"/>
      <c r="E39" s="311">
        <f t="shared" si="11"/>
        <v>2.5000000000000001E-2</v>
      </c>
      <c r="F39" s="7"/>
      <c r="G39" s="23">
        <f t="shared" si="12"/>
        <v>9239.3694826569736</v>
      </c>
      <c r="H39" s="7"/>
      <c r="I39" s="30">
        <f t="shared" si="13"/>
        <v>418.2276221741534</v>
      </c>
      <c r="J39" s="7"/>
      <c r="K39" s="30">
        <f t="shared" si="14"/>
        <v>0</v>
      </c>
      <c r="L39" s="7"/>
      <c r="M39" s="30">
        <f t="shared" si="15"/>
        <v>0</v>
      </c>
      <c r="N39" s="7"/>
      <c r="O39" s="314"/>
      <c r="P39" s="7"/>
      <c r="Q39" s="30"/>
      <c r="R39" s="7"/>
      <c r="S39" s="23">
        <v>0</v>
      </c>
      <c r="T39" s="7"/>
      <c r="U39" s="23">
        <f t="shared" si="5"/>
        <v>381.56234936742248</v>
      </c>
      <c r="V39" s="7"/>
      <c r="W39" s="23">
        <f t="shared" si="0"/>
        <v>-381.56234936742248</v>
      </c>
      <c r="X39" s="7"/>
      <c r="Y39" s="315">
        <f t="shared" si="6"/>
        <v>-41.297444601998556</v>
      </c>
      <c r="Z39" s="271"/>
      <c r="AB39" s="168">
        <f>+IF(AB38&gt;$G$13+$G$14,XX,AB38+1)</f>
        <v>2010</v>
      </c>
      <c r="AC39" s="138"/>
      <c r="AD39" s="173">
        <f t="shared" si="1"/>
        <v>9239.3694826569736</v>
      </c>
      <c r="AE39" s="4"/>
      <c r="AF39" s="176">
        <f t="shared" si="16"/>
        <v>65.565305922252435</v>
      </c>
      <c r="AG39" s="4"/>
      <c r="AH39" s="176">
        <f t="shared" si="17"/>
        <v>8.045734221451454</v>
      </c>
      <c r="AI39" s="4"/>
      <c r="AJ39" s="176">
        <f t="shared" si="18"/>
        <v>1.8795596167057602</v>
      </c>
      <c r="AK39" s="4"/>
      <c r="AL39" s="175">
        <f t="shared" si="7"/>
        <v>117.98976885796058</v>
      </c>
      <c r="AM39" s="4"/>
      <c r="AN39" s="176">
        <f>INDEX('(2.2)_Forward_Price_Curve'!$H:$H,MATCH($AB39,'(2.2)_Forward_Price_Curve'!$C:$C,0),1)</f>
        <v>3.77</v>
      </c>
      <c r="AO39" s="4"/>
      <c r="AP39" s="176">
        <f t="shared" si="8"/>
        <v>27.007302783083222</v>
      </c>
      <c r="AQ39" s="4"/>
      <c r="AR39" s="176">
        <f t="shared" si="19"/>
        <v>3.8369364595644551</v>
      </c>
      <c r="AS39" s="176"/>
      <c r="AT39" s="175">
        <f t="shared" si="2"/>
        <v>96.581026593132918</v>
      </c>
      <c r="AU39" s="4"/>
      <c r="AV39" s="175">
        <f t="shared" si="3"/>
        <v>284.98132277428959</v>
      </c>
      <c r="AW39" s="318"/>
      <c r="AX39" s="177">
        <f t="shared" si="9"/>
        <v>381.56234936742248</v>
      </c>
      <c r="AZ39" s="168">
        <f>+IF(AZ38&gt;$G$13+$G$14,XX,AZ38+1)</f>
        <v>2010</v>
      </c>
      <c r="BA39" s="138"/>
      <c r="BB39" s="176">
        <f t="shared" si="20"/>
        <v>56.319211853918915</v>
      </c>
      <c r="BC39" s="4"/>
      <c r="BD39" s="176">
        <f t="shared" si="21"/>
        <v>12.24494911997467</v>
      </c>
      <c r="BE39" s="4"/>
      <c r="BF39" s="175">
        <f t="shared" si="10"/>
        <v>21.408742264827669</v>
      </c>
      <c r="BG39" s="4"/>
      <c r="BH39" s="179"/>
    </row>
    <row r="40" spans="2:60" ht="12">
      <c r="B40" s="3"/>
      <c r="C40" s="7">
        <f>+IF(C39&gt;$G$13+$G$14,XX,C39+1)</f>
        <v>2011</v>
      </c>
      <c r="D40" s="7"/>
      <c r="E40" s="311">
        <f t="shared" si="11"/>
        <v>2.5000000000000001E-2</v>
      </c>
      <c r="F40" s="7"/>
      <c r="G40" s="23">
        <f t="shared" si="12"/>
        <v>9239.3694826569736</v>
      </c>
      <c r="H40" s="7"/>
      <c r="I40" s="30">
        <f t="shared" si="13"/>
        <v>428.68331272850719</v>
      </c>
      <c r="J40" s="7"/>
      <c r="K40" s="30">
        <f t="shared" si="14"/>
        <v>0</v>
      </c>
      <c r="L40" s="7"/>
      <c r="M40" s="30">
        <f t="shared" si="15"/>
        <v>0</v>
      </c>
      <c r="N40" s="7"/>
      <c r="O40" s="314"/>
      <c r="P40" s="7"/>
      <c r="Q40" s="30"/>
      <c r="R40" s="7"/>
      <c r="S40" s="23">
        <v>0</v>
      </c>
      <c r="T40" s="7"/>
      <c r="U40" s="23">
        <f t="shared" si="5"/>
        <v>394.12952959982755</v>
      </c>
      <c r="V40" s="7"/>
      <c r="W40" s="23">
        <f t="shared" si="0"/>
        <v>-394.12952959982755</v>
      </c>
      <c r="X40" s="7"/>
      <c r="Y40" s="315">
        <f t="shared" si="6"/>
        <v>-42.657621858249072</v>
      </c>
      <c r="Z40" s="271"/>
      <c r="AB40" s="168">
        <f>+IF(AB39&gt;$G$13+$G$14,XX,AB39+1)</f>
        <v>2011</v>
      </c>
      <c r="AC40" s="138"/>
      <c r="AD40" s="173">
        <f t="shared" si="1"/>
        <v>9239.3694826569736</v>
      </c>
      <c r="AE40" s="4"/>
      <c r="AF40" s="176">
        <f t="shared" si="16"/>
        <v>67.204438570308739</v>
      </c>
      <c r="AG40" s="4"/>
      <c r="AH40" s="176">
        <f t="shared" si="17"/>
        <v>8.2468775769877389</v>
      </c>
      <c r="AI40" s="4"/>
      <c r="AJ40" s="176">
        <f t="shared" si="18"/>
        <v>1.9265486071234041</v>
      </c>
      <c r="AK40" s="4"/>
      <c r="AL40" s="175">
        <f t="shared" si="7"/>
        <v>120.93951307940961</v>
      </c>
      <c r="AM40" s="4"/>
      <c r="AN40" s="176">
        <f>INDEX('(2.2)_Forward_Price_Curve'!$H:$H,MATCH($AB40,'(2.2)_Forward_Price_Curve'!$C:$C,0),1)</f>
        <v>3.91</v>
      </c>
      <c r="AO40" s="4"/>
      <c r="AP40" s="176">
        <f t="shared" si="8"/>
        <v>28.010226493860845</v>
      </c>
      <c r="AQ40" s="4"/>
      <c r="AR40" s="176">
        <f t="shared" si="19"/>
        <v>3.9328598710535663</v>
      </c>
      <c r="AS40" s="176"/>
      <c r="AT40" s="175">
        <f t="shared" si="2"/>
        <v>98.995552257961251</v>
      </c>
      <c r="AU40" s="4"/>
      <c r="AV40" s="175">
        <f t="shared" si="3"/>
        <v>295.13397734186628</v>
      </c>
      <c r="AW40" s="318"/>
      <c r="AX40" s="177">
        <f t="shared" si="9"/>
        <v>394.12952959982755</v>
      </c>
      <c r="AZ40" s="168">
        <f>+IF(AZ39&gt;$G$13+$G$14,XX,AZ39+1)</f>
        <v>2011</v>
      </c>
      <c r="BA40" s="138"/>
      <c r="BB40" s="176">
        <f t="shared" si="20"/>
        <v>57.72719215026688</v>
      </c>
      <c r="BC40" s="4"/>
      <c r="BD40" s="176">
        <f t="shared" si="21"/>
        <v>12.551072847974035</v>
      </c>
      <c r="BE40" s="4"/>
      <c r="BF40" s="175">
        <f t="shared" si="10"/>
        <v>21.943960821448353</v>
      </c>
      <c r="BG40" s="4"/>
      <c r="BH40" s="179"/>
    </row>
    <row r="41" spans="2:60" ht="12">
      <c r="B41" s="3"/>
      <c r="C41" s="7">
        <f>+IF(C40&gt;$G$13+$G$14,XX,C40+1)</f>
        <v>2012</v>
      </c>
      <c r="D41" s="7"/>
      <c r="E41" s="311">
        <f t="shared" si="11"/>
        <v>2.5000000000000001E-2</v>
      </c>
      <c r="F41" s="7"/>
      <c r="G41" s="23">
        <f t="shared" si="12"/>
        <v>9239.3694826569736</v>
      </c>
      <c r="H41" s="7"/>
      <c r="I41" s="30">
        <f t="shared" si="13"/>
        <v>439.40039554671984</v>
      </c>
      <c r="J41" s="7"/>
      <c r="K41" s="30">
        <f t="shared" si="14"/>
        <v>0</v>
      </c>
      <c r="L41" s="7"/>
      <c r="M41" s="30">
        <f t="shared" si="15"/>
        <v>0</v>
      </c>
      <c r="N41" s="7"/>
      <c r="O41" s="314"/>
      <c r="P41" s="7"/>
      <c r="Q41" s="30"/>
      <c r="R41" s="7"/>
      <c r="S41" s="23">
        <v>0</v>
      </c>
      <c r="T41" s="7"/>
      <c r="U41" s="23">
        <f t="shared" si="5"/>
        <v>429.94518658685274</v>
      </c>
      <c r="V41" s="7"/>
      <c r="W41" s="23">
        <f t="shared" si="0"/>
        <v>-429.94518658685274</v>
      </c>
      <c r="X41" s="7"/>
      <c r="Y41" s="315">
        <f t="shared" si="6"/>
        <v>-46.534039730080487</v>
      </c>
      <c r="Z41" s="271"/>
      <c r="AB41" s="168">
        <f>+IF(AB40&gt;$G$13+$G$14,XX,AB40+1)</f>
        <v>2012</v>
      </c>
      <c r="AC41" s="138"/>
      <c r="AD41" s="173">
        <f t="shared" si="1"/>
        <v>9239.3694826569736</v>
      </c>
      <c r="AE41" s="4"/>
      <c r="AF41" s="176">
        <f t="shared" si="16"/>
        <v>68.884549534566446</v>
      </c>
      <c r="AG41" s="4"/>
      <c r="AH41" s="176">
        <f t="shared" si="17"/>
        <v>8.4530495164124311</v>
      </c>
      <c r="AI41" s="4"/>
      <c r="AJ41" s="176">
        <f t="shared" si="18"/>
        <v>1.9747123223014891</v>
      </c>
      <c r="AK41" s="4"/>
      <c r="AL41" s="175">
        <f t="shared" si="7"/>
        <v>123.96300090639483</v>
      </c>
      <c r="AM41" s="4"/>
      <c r="AN41" s="176">
        <f>INDEX('(2.2)_Forward_Price_Curve'!$H:$H,MATCH($AB41,'(2.2)_Forward_Price_Curve'!$C:$C,0),1)</f>
        <v>4.4000000000000004</v>
      </c>
      <c r="AO41" s="4"/>
      <c r="AP41" s="176">
        <f t="shared" si="8"/>
        <v>31.520459481582542</v>
      </c>
      <c r="AQ41" s="4"/>
      <c r="AR41" s="176">
        <f t="shared" si="19"/>
        <v>4.0311813678299053</v>
      </c>
      <c r="AS41" s="176"/>
      <c r="AT41" s="175">
        <f t="shared" si="2"/>
        <v>101.47044106441027</v>
      </c>
      <c r="AU41" s="4"/>
      <c r="AV41" s="175">
        <f t="shared" si="3"/>
        <v>328.47474552244245</v>
      </c>
      <c r="AW41" s="318"/>
      <c r="AX41" s="177">
        <f t="shared" si="9"/>
        <v>429.94518658685274</v>
      </c>
      <c r="AZ41" s="168">
        <f>+IF(AZ40&gt;$G$13+$G$14,XX,AZ40+1)</f>
        <v>2012</v>
      </c>
      <c r="BA41" s="138"/>
      <c r="BB41" s="176">
        <f t="shared" si="20"/>
        <v>59.170371954023544</v>
      </c>
      <c r="BC41" s="4"/>
      <c r="BD41" s="176">
        <f t="shared" si="21"/>
        <v>12.864849669173385</v>
      </c>
      <c r="BE41" s="4"/>
      <c r="BF41" s="175">
        <f t="shared" si="10"/>
        <v>22.492559841984562</v>
      </c>
      <c r="BG41" s="4"/>
      <c r="BH41" s="179"/>
    </row>
    <row r="42" spans="2:60" ht="12">
      <c r="B42" s="3"/>
      <c r="C42" s="7">
        <f>+IF(C41&gt;$G$13+$G$14,XX,C41+1)</f>
        <v>2013</v>
      </c>
      <c r="D42" s="7"/>
      <c r="E42" s="311">
        <f t="shared" si="11"/>
        <v>2.5000000000000001E-2</v>
      </c>
      <c r="F42" s="7"/>
      <c r="G42" s="23">
        <f t="shared" si="12"/>
        <v>9239.3694826569736</v>
      </c>
      <c r="H42" s="7"/>
      <c r="I42" s="30">
        <f t="shared" si="13"/>
        <v>450.38540543538778</v>
      </c>
      <c r="J42" s="7"/>
      <c r="K42" s="30">
        <f t="shared" si="14"/>
        <v>0</v>
      </c>
      <c r="L42" s="7"/>
      <c r="M42" s="30">
        <f t="shared" si="15"/>
        <v>0</v>
      </c>
      <c r="N42" s="7"/>
      <c r="O42" s="314"/>
      <c r="P42" s="7"/>
      <c r="Q42" s="30"/>
      <c r="R42" s="7"/>
      <c r="S42" s="23">
        <v>0</v>
      </c>
      <c r="T42" s="7"/>
      <c r="U42" s="23">
        <f t="shared" si="5"/>
        <v>449.29831449783075</v>
      </c>
      <c r="V42" s="7"/>
      <c r="W42" s="23">
        <f t="shared" si="0"/>
        <v>-449.29831449783075</v>
      </c>
      <c r="X42" s="7"/>
      <c r="Y42" s="315">
        <f t="shared" si="6"/>
        <v>-48.628677026197423</v>
      </c>
      <c r="Z42" s="271"/>
      <c r="AB42" s="168">
        <f>+IF(AB41&gt;$G$13+$G$14,XX,AB41+1)</f>
        <v>2013</v>
      </c>
      <c r="AC42" s="138"/>
      <c r="AD42" s="173">
        <f t="shared" si="1"/>
        <v>9239.3694826569736</v>
      </c>
      <c r="AE42" s="4"/>
      <c r="AF42" s="176">
        <f t="shared" si="16"/>
        <v>70.606663272930604</v>
      </c>
      <c r="AG42" s="4"/>
      <c r="AH42" s="176">
        <f t="shared" si="17"/>
        <v>8.6643757543227409</v>
      </c>
      <c r="AI42" s="4"/>
      <c r="AJ42" s="176">
        <f t="shared" si="18"/>
        <v>2.0240801303590263</v>
      </c>
      <c r="AK42" s="4"/>
      <c r="AL42" s="175">
        <f t="shared" si="7"/>
        <v>127.0620759290547</v>
      </c>
      <c r="AM42" s="4"/>
      <c r="AN42" s="176">
        <f>INDEX('(2.2)_Forward_Price_Curve'!$H:$H,MATCH($AB42,'(2.2)_Forward_Price_Curve'!$C:$C,0),1)</f>
        <v>4.6399999999999997</v>
      </c>
      <c r="AO42" s="4"/>
      <c r="AP42" s="176">
        <f t="shared" si="8"/>
        <v>33.239757271487044</v>
      </c>
      <c r="AQ42" s="4"/>
      <c r="AR42" s="176">
        <f t="shared" si="19"/>
        <v>4.1319609020256527</v>
      </c>
      <c r="AS42" s="176"/>
      <c r="AT42" s="175">
        <f t="shared" si="2"/>
        <v>104.00720209102053</v>
      </c>
      <c r="AU42" s="4"/>
      <c r="AV42" s="175">
        <f t="shared" si="3"/>
        <v>345.29111240681021</v>
      </c>
      <c r="AW42" s="318"/>
      <c r="AX42" s="177">
        <f t="shared" si="9"/>
        <v>449.29831449783075</v>
      </c>
      <c r="AZ42" s="168">
        <f>+IF(AZ41&gt;$G$13+$G$14,XX,AZ41+1)</f>
        <v>2013</v>
      </c>
      <c r="BA42" s="138"/>
      <c r="BB42" s="176">
        <f t="shared" si="20"/>
        <v>60.64963125287413</v>
      </c>
      <c r="BC42" s="4"/>
      <c r="BD42" s="176">
        <f t="shared" si="21"/>
        <v>13.186470910902719</v>
      </c>
      <c r="BE42" s="4"/>
      <c r="BF42" s="175">
        <f t="shared" si="10"/>
        <v>23.054873838034172</v>
      </c>
      <c r="BG42" s="4"/>
      <c r="BH42" s="179"/>
    </row>
    <row r="43" spans="2:60" ht="12">
      <c r="B43" s="3"/>
      <c r="C43" s="7">
        <f>+IF(C42&gt;$G$13+$G$14,XX,C42+1)</f>
        <v>2014</v>
      </c>
      <c r="D43" s="7"/>
      <c r="E43" s="311">
        <f t="shared" si="11"/>
        <v>2.5000000000000001E-2</v>
      </c>
      <c r="F43" s="7"/>
      <c r="G43" s="23">
        <f t="shared" si="12"/>
        <v>9239.3694826569736</v>
      </c>
      <c r="H43" s="7"/>
      <c r="I43" s="30">
        <f t="shared" si="13"/>
        <v>461.64504057127243</v>
      </c>
      <c r="J43" s="7"/>
      <c r="K43" s="30">
        <f t="shared" si="14"/>
        <v>0</v>
      </c>
      <c r="L43" s="7"/>
      <c r="M43" s="30">
        <f t="shared" si="15"/>
        <v>0</v>
      </c>
      <c r="N43" s="7"/>
      <c r="O43" s="314"/>
      <c r="P43" s="7"/>
      <c r="Q43" s="30"/>
      <c r="R43" s="7"/>
      <c r="S43" s="23">
        <v>0</v>
      </c>
      <c r="T43" s="7"/>
      <c r="U43" s="23">
        <f t="shared" si="5"/>
        <v>440.27710725743134</v>
      </c>
      <c r="V43" s="7"/>
      <c r="W43" s="23">
        <f t="shared" si="0"/>
        <v>-440.27710725743134</v>
      </c>
      <c r="X43" s="7"/>
      <c r="Y43" s="315">
        <f t="shared" si="6"/>
        <v>-47.652289269724115</v>
      </c>
      <c r="Z43" s="271"/>
      <c r="AB43" s="168">
        <f>+IF(AB42&gt;$G$13+$G$14,XX,AB42+1)</f>
        <v>2014</v>
      </c>
      <c r="AC43" s="138"/>
      <c r="AD43" s="173">
        <f t="shared" si="1"/>
        <v>9239.3694826569736</v>
      </c>
      <c r="AE43" s="4"/>
      <c r="AF43" s="176">
        <f t="shared" si="16"/>
        <v>72.371829854753869</v>
      </c>
      <c r="AG43" s="4"/>
      <c r="AH43" s="176">
        <f t="shared" si="17"/>
        <v>8.8809851481808089</v>
      </c>
      <c r="AI43" s="4"/>
      <c r="AJ43" s="176">
        <f t="shared" si="18"/>
        <v>2.0746821336180017</v>
      </c>
      <c r="AK43" s="4"/>
      <c r="AL43" s="175">
        <f t="shared" si="7"/>
        <v>130.23862782728105</v>
      </c>
      <c r="AM43" s="4"/>
      <c r="AN43" s="176">
        <f>INDEX('(2.2)_Forward_Price_Curve'!$H:$H,MATCH($AB43,'(2.2)_Forward_Price_Curve'!$C:$C,0),1)</f>
        <v>4.45</v>
      </c>
      <c r="AO43" s="4"/>
      <c r="AP43" s="176">
        <f t="shared" si="8"/>
        <v>31.878646521145978</v>
      </c>
      <c r="AQ43" s="4"/>
      <c r="AR43" s="176">
        <f t="shared" si="19"/>
        <v>4.2352599245762939</v>
      </c>
      <c r="AS43" s="176"/>
      <c r="AT43" s="175">
        <f t="shared" si="2"/>
        <v>106.60738214329602</v>
      </c>
      <c r="AU43" s="4"/>
      <c r="AV43" s="175">
        <f t="shared" si="3"/>
        <v>333.6697251141353</v>
      </c>
      <c r="AW43" s="318"/>
      <c r="AX43" s="177">
        <f t="shared" si="9"/>
        <v>440.27710725743134</v>
      </c>
      <c r="AZ43" s="168">
        <f>+IF(AZ42&gt;$G$13+$G$14,XX,AZ42+1)</f>
        <v>2014</v>
      </c>
      <c r="BA43" s="138"/>
      <c r="BB43" s="176">
        <f t="shared" si="20"/>
        <v>62.165872034195978</v>
      </c>
      <c r="BC43" s="4"/>
      <c r="BD43" s="176">
        <f t="shared" si="21"/>
        <v>13.516132683675286</v>
      </c>
      <c r="BE43" s="4"/>
      <c r="BF43" s="175">
        <f t="shared" si="10"/>
        <v>23.631245683985028</v>
      </c>
      <c r="BG43" s="4"/>
      <c r="BH43" s="179"/>
    </row>
    <row r="44" spans="2:60" ht="12">
      <c r="B44" s="3"/>
      <c r="C44" s="7">
        <f>+IF(C43&gt;$G$13+$G$14,XX,C43+1)</f>
        <v>2015</v>
      </c>
      <c r="D44" s="7"/>
      <c r="E44" s="311">
        <f t="shared" si="11"/>
        <v>2.5000000000000001E-2</v>
      </c>
      <c r="F44" s="7"/>
      <c r="G44" s="23">
        <f t="shared" si="12"/>
        <v>9239.3694826569736</v>
      </c>
      <c r="H44" s="7"/>
      <c r="I44" s="30">
        <f t="shared" si="13"/>
        <v>473.18616658555419</v>
      </c>
      <c r="J44" s="7"/>
      <c r="K44" s="30">
        <f t="shared" si="14"/>
        <v>0</v>
      </c>
      <c r="L44" s="7"/>
      <c r="M44" s="30">
        <f t="shared" si="15"/>
        <v>0</v>
      </c>
      <c r="N44" s="7"/>
      <c r="O44" s="314"/>
      <c r="P44" s="7"/>
      <c r="Q44" s="30"/>
      <c r="R44" s="7"/>
      <c r="S44" s="23">
        <v>0</v>
      </c>
      <c r="T44" s="7"/>
      <c r="U44" s="23">
        <f t="shared" si="5"/>
        <v>472.38160275433074</v>
      </c>
      <c r="V44" s="7"/>
      <c r="W44" s="23">
        <f t="shared" si="0"/>
        <v>-472.38160275433074</v>
      </c>
      <c r="X44" s="7"/>
      <c r="Y44" s="315">
        <f t="shared" si="6"/>
        <v>-51.127038878684125</v>
      </c>
      <c r="Z44" s="271"/>
      <c r="AB44" s="168">
        <f>+IF(AB43&gt;$G$13+$G$14,XX,AB43+1)</f>
        <v>2015</v>
      </c>
      <c r="AC44" s="138"/>
      <c r="AD44" s="173">
        <f t="shared" si="1"/>
        <v>9239.3694826569736</v>
      </c>
      <c r="AE44" s="4"/>
      <c r="AF44" s="176">
        <f t="shared" si="16"/>
        <v>74.181125601122716</v>
      </c>
      <c r="AG44" s="4"/>
      <c r="AH44" s="176">
        <f t="shared" si="17"/>
        <v>9.1030097768853278</v>
      </c>
      <c r="AI44" s="4"/>
      <c r="AJ44" s="176">
        <f t="shared" si="18"/>
        <v>2.1265491869584516</v>
      </c>
      <c r="AK44" s="4"/>
      <c r="AL44" s="175">
        <f t="shared" si="7"/>
        <v>133.49459352296307</v>
      </c>
      <c r="AM44" s="4"/>
      <c r="AN44" s="176">
        <f>INDEX('(2.2)_Forward_Price_Curve'!$H:$H,MATCH($AB44,'(2.2)_Forward_Price_Curve'!$C:$C,0),1)</f>
        <v>4.88</v>
      </c>
      <c r="AO44" s="4"/>
      <c r="AP44" s="176">
        <f t="shared" si="8"/>
        <v>34.959055061391538</v>
      </c>
      <c r="AQ44" s="4"/>
      <c r="AR44" s="176">
        <f t="shared" si="19"/>
        <v>4.3411414226907006</v>
      </c>
      <c r="AS44" s="176"/>
      <c r="AT44" s="175">
        <f t="shared" si="2"/>
        <v>109.27256669687843</v>
      </c>
      <c r="AU44" s="4"/>
      <c r="AV44" s="175">
        <f t="shared" si="3"/>
        <v>363.10903605745233</v>
      </c>
      <c r="AW44" s="318"/>
      <c r="AX44" s="177">
        <f t="shared" si="9"/>
        <v>472.38160275433074</v>
      </c>
      <c r="AZ44" s="168">
        <f>+IF(AZ43&gt;$G$13+$G$14,XX,AZ43+1)</f>
        <v>2015</v>
      </c>
      <c r="BA44" s="138"/>
      <c r="BB44" s="176">
        <f t="shared" si="20"/>
        <v>63.720018835050872</v>
      </c>
      <c r="BC44" s="4"/>
      <c r="BD44" s="176">
        <f t="shared" si="21"/>
        <v>13.854036000767167</v>
      </c>
      <c r="BE44" s="4"/>
      <c r="BF44" s="175">
        <f t="shared" si="10"/>
        <v>24.222026826084647</v>
      </c>
      <c r="BG44" s="4"/>
      <c r="BH44" s="179"/>
    </row>
    <row r="45" spans="2:60" ht="12">
      <c r="B45" s="3"/>
      <c r="C45" s="7">
        <f>+IF(C44&gt;$G$13+$G$14,XX,C44+1)</f>
        <v>2016</v>
      </c>
      <c r="D45" s="7"/>
      <c r="E45" s="311">
        <f t="shared" si="11"/>
        <v>2.5000000000000001E-2</v>
      </c>
      <c r="F45" s="7"/>
      <c r="G45" s="23">
        <f t="shared" si="12"/>
        <v>9239.3694826569736</v>
      </c>
      <c r="H45" s="7"/>
      <c r="I45" s="30">
        <f t="shared" si="13"/>
        <v>485.01582075019303</v>
      </c>
      <c r="J45" s="7"/>
      <c r="K45" s="30">
        <f t="shared" si="14"/>
        <v>0</v>
      </c>
      <c r="L45" s="7"/>
      <c r="M45" s="30">
        <f t="shared" si="15"/>
        <v>0</v>
      </c>
      <c r="N45" s="7"/>
      <c r="O45" s="314"/>
      <c r="P45" s="7"/>
      <c r="Q45" s="30"/>
      <c r="R45" s="7"/>
      <c r="S45" s="23">
        <v>0</v>
      </c>
      <c r="T45" s="7"/>
      <c r="U45" s="23">
        <f t="shared" si="5"/>
        <v>490.67761073194328</v>
      </c>
      <c r="V45" s="7"/>
      <c r="W45" s="23">
        <f t="shared" si="0"/>
        <v>-490.67761073194328</v>
      </c>
      <c r="X45" s="7"/>
      <c r="Y45" s="315">
        <f t="shared" si="6"/>
        <v>-53.107261448195565</v>
      </c>
      <c r="Z45" s="271"/>
      <c r="AB45" s="168">
        <f>+IF(AB44&gt;$G$13+$G$14,XX,AB44+1)</f>
        <v>2016</v>
      </c>
      <c r="AC45" s="138"/>
      <c r="AD45" s="173">
        <f t="shared" si="1"/>
        <v>9239.3694826569736</v>
      </c>
      <c r="AE45" s="4"/>
      <c r="AF45" s="176">
        <f t="shared" si="16"/>
        <v>76.035653741150782</v>
      </c>
      <c r="AG45" s="4"/>
      <c r="AH45" s="176">
        <f t="shared" si="17"/>
        <v>9.3305850213074599</v>
      </c>
      <c r="AI45" s="4"/>
      <c r="AJ45" s="176">
        <f t="shared" si="18"/>
        <v>2.1797129166324125</v>
      </c>
      <c r="AK45" s="4"/>
      <c r="AL45" s="175">
        <f t="shared" si="7"/>
        <v>136.83195836103712</v>
      </c>
      <c r="AM45" s="4"/>
      <c r="AN45" s="176">
        <f>INDEX('(2.2)_Forward_Price_Curve'!$H:$H,MATCH($AB45,'(2.2)_Forward_Price_Curve'!$C:$C,0),1)</f>
        <v>5.0999999999999996</v>
      </c>
      <c r="AO45" s="4"/>
      <c r="AP45" s="176">
        <f t="shared" si="8"/>
        <v>36.535078035470669</v>
      </c>
      <c r="AQ45" s="4"/>
      <c r="AR45" s="176">
        <f t="shared" si="19"/>
        <v>4.4496699582579673</v>
      </c>
      <c r="AS45" s="176"/>
      <c r="AT45" s="175">
        <f t="shared" si="2"/>
        <v>112.00438086430036</v>
      </c>
      <c r="AU45" s="4"/>
      <c r="AV45" s="175">
        <f t="shared" si="3"/>
        <v>378.67322986764293</v>
      </c>
      <c r="AW45" s="318"/>
      <c r="AX45" s="177">
        <f t="shared" si="9"/>
        <v>490.67761073194328</v>
      </c>
      <c r="AZ45" s="168">
        <f>+IF(AZ44&gt;$G$13+$G$14,XX,AZ44+1)</f>
        <v>2016</v>
      </c>
      <c r="BA45" s="138"/>
      <c r="BB45" s="176">
        <f t="shared" si="20"/>
        <v>65.313019305927142</v>
      </c>
      <c r="BC45" s="4"/>
      <c r="BD45" s="176">
        <f t="shared" si="21"/>
        <v>14.200386900786345</v>
      </c>
      <c r="BE45" s="4"/>
      <c r="BF45" s="175">
        <f t="shared" si="10"/>
        <v>24.827577496736765</v>
      </c>
      <c r="BG45" s="4"/>
      <c r="BH45" s="179"/>
    </row>
    <row r="46" spans="2:60" ht="12">
      <c r="B46" s="3"/>
      <c r="C46" s="7">
        <f>+IF(C45&gt;$G$13+$G$14,XX,C45+1)</f>
        <v>2017</v>
      </c>
      <c r="D46" s="7"/>
      <c r="E46" s="311">
        <f t="shared" si="11"/>
        <v>2.5000000000000001E-2</v>
      </c>
      <c r="F46" s="7"/>
      <c r="G46" s="23">
        <f t="shared" si="12"/>
        <v>9239.3694826569736</v>
      </c>
      <c r="H46" s="7"/>
      <c r="I46" s="30">
        <f t="shared" si="13"/>
        <v>497.1412162689478</v>
      </c>
      <c r="J46" s="7"/>
      <c r="K46" s="30">
        <f t="shared" si="14"/>
        <v>0</v>
      </c>
      <c r="L46" s="7"/>
      <c r="M46" s="30">
        <f t="shared" si="15"/>
        <v>0</v>
      </c>
      <c r="N46" s="7"/>
      <c r="O46" s="314"/>
      <c r="P46" s="7"/>
      <c r="Q46" s="30"/>
      <c r="R46" s="7"/>
      <c r="S46" s="23">
        <v>0</v>
      </c>
      <c r="T46" s="7"/>
      <c r="U46" s="23">
        <f t="shared" si="5"/>
        <v>502.44813763987804</v>
      </c>
      <c r="V46" s="7"/>
      <c r="W46" s="23">
        <f t="shared" si="0"/>
        <v>-502.44813763987804</v>
      </c>
      <c r="X46" s="7"/>
      <c r="Y46" s="315">
        <f t="shared" si="6"/>
        <v>-54.381214928465937</v>
      </c>
      <c r="Z46" s="271"/>
      <c r="AB46" s="168">
        <f>+IF(AB45&gt;$G$13+$G$14,XX,AB45+1)</f>
        <v>2017</v>
      </c>
      <c r="AC46" s="138"/>
      <c r="AD46" s="173">
        <f t="shared" si="1"/>
        <v>9239.3694826569736</v>
      </c>
      <c r="AE46" s="4"/>
      <c r="AF46" s="176">
        <f t="shared" si="16"/>
        <v>77.936545084679551</v>
      </c>
      <c r="AG46" s="4"/>
      <c r="AH46" s="176">
        <f t="shared" si="17"/>
        <v>9.5638496468401453</v>
      </c>
      <c r="AI46" s="4"/>
      <c r="AJ46" s="176">
        <f t="shared" si="18"/>
        <v>2.2342057395482224</v>
      </c>
      <c r="AK46" s="4"/>
      <c r="AL46" s="175">
        <f t="shared" si="7"/>
        <v>140.25275732006307</v>
      </c>
      <c r="AM46" s="4"/>
      <c r="AN46" s="176">
        <f>INDEX('(2.2)_Forward_Price_Curve'!$H:$H,MATCH($AB46,'(2.2)_Forward_Price_Curve'!$C:$C,0),1)</f>
        <v>5.22</v>
      </c>
      <c r="AO46" s="4"/>
      <c r="AP46" s="176">
        <f t="shared" si="8"/>
        <v>37.39472693042292</v>
      </c>
      <c r="AQ46" s="4"/>
      <c r="AR46" s="176">
        <f t="shared" si="19"/>
        <v>4.5609117072144159</v>
      </c>
      <c r="AS46" s="176"/>
      <c r="AT46" s="175">
        <f t="shared" si="2"/>
        <v>114.80449038590788</v>
      </c>
      <c r="AU46" s="4"/>
      <c r="AV46" s="175">
        <f t="shared" si="3"/>
        <v>387.64364725397019</v>
      </c>
      <c r="AW46" s="318"/>
      <c r="AX46" s="177">
        <f t="shared" si="9"/>
        <v>502.44813763987804</v>
      </c>
      <c r="AZ46" s="168">
        <f>+IF(AZ45&gt;$G$13+$G$14,XX,AZ45+1)</f>
        <v>2017</v>
      </c>
      <c r="BA46" s="138"/>
      <c r="BB46" s="176">
        <f t="shared" si="20"/>
        <v>66.945844788575315</v>
      </c>
      <c r="BC46" s="4"/>
      <c r="BD46" s="176">
        <f t="shared" si="21"/>
        <v>14.555396573306002</v>
      </c>
      <c r="BE46" s="4"/>
      <c r="BF46" s="175">
        <f t="shared" si="10"/>
        <v>25.448266934155182</v>
      </c>
      <c r="BG46" s="4"/>
      <c r="BH46" s="179"/>
    </row>
    <row r="47" spans="2:60" ht="12">
      <c r="B47" s="3"/>
      <c r="C47" s="7">
        <f>+IF(C46&gt;$G$13+$G$14,XX,C46+1)</f>
        <v>2018</v>
      </c>
      <c r="D47" s="7"/>
      <c r="E47" s="311">
        <f t="shared" si="11"/>
        <v>2.5000000000000001E-2</v>
      </c>
      <c r="F47" s="7"/>
      <c r="G47" s="23">
        <f t="shared" si="12"/>
        <v>9239.3694826569736</v>
      </c>
      <c r="H47" s="7"/>
      <c r="I47" s="30">
        <f t="shared" si="13"/>
        <v>509.56974667567147</v>
      </c>
      <c r="J47" s="7"/>
      <c r="K47" s="30">
        <f t="shared" si="14"/>
        <v>0</v>
      </c>
      <c r="L47" s="7"/>
      <c r="M47" s="30">
        <f t="shared" si="15"/>
        <v>0</v>
      </c>
      <c r="N47" s="7"/>
      <c r="O47" s="314"/>
      <c r="P47" s="7"/>
      <c r="Q47" s="30"/>
      <c r="R47" s="7"/>
      <c r="S47" s="23">
        <v>0</v>
      </c>
      <c r="T47" s="7"/>
      <c r="U47" s="23">
        <f t="shared" si="5"/>
        <v>514.31436237636558</v>
      </c>
      <c r="V47" s="7"/>
      <c r="W47" s="23">
        <f t="shared" si="0"/>
        <v>-514.31436237636558</v>
      </c>
      <c r="X47" s="7"/>
      <c r="Y47" s="315">
        <f t="shared" si="6"/>
        <v>-55.665526023369267</v>
      </c>
      <c r="Z47" s="271"/>
      <c r="AB47" s="168">
        <f>+IF(AB46&gt;$G$13+$G$14,XX,AB46+1)</f>
        <v>2018</v>
      </c>
      <c r="AC47" s="138"/>
      <c r="AD47" s="173">
        <f t="shared" si="1"/>
        <v>9239.3694826569736</v>
      </c>
      <c r="AE47" s="4"/>
      <c r="AF47" s="176">
        <f t="shared" si="16"/>
        <v>79.884958711796529</v>
      </c>
      <c r="AG47" s="4"/>
      <c r="AH47" s="176">
        <f t="shared" si="17"/>
        <v>9.8029458880111484</v>
      </c>
      <c r="AI47" s="4"/>
      <c r="AJ47" s="176">
        <f t="shared" si="18"/>
        <v>2.290060883036928</v>
      </c>
      <c r="AK47" s="4"/>
      <c r="AL47" s="175">
        <f t="shared" si="7"/>
        <v>143.75907625306465</v>
      </c>
      <c r="AM47" s="4"/>
      <c r="AN47" s="176">
        <f>INDEX('(2.2)_Forward_Price_Curve'!$H:$H,MATCH($AB47,'(2.2)_Forward_Price_Curve'!$C:$C,0),1)</f>
        <v>5.34</v>
      </c>
      <c r="AO47" s="4"/>
      <c r="AP47" s="176">
        <f t="shared" si="8"/>
        <v>38.25437582537517</v>
      </c>
      <c r="AQ47" s="4"/>
      <c r="AR47" s="176">
        <f t="shared" si="19"/>
        <v>4.6749344998947757</v>
      </c>
      <c r="AS47" s="176"/>
      <c r="AT47" s="175">
        <f t="shared" si="2"/>
        <v>117.67460264555558</v>
      </c>
      <c r="AU47" s="4"/>
      <c r="AV47" s="175">
        <f t="shared" si="3"/>
        <v>396.63975973081006</v>
      </c>
      <c r="AW47" s="318"/>
      <c r="AX47" s="177">
        <f t="shared" si="9"/>
        <v>514.31436237636558</v>
      </c>
      <c r="AZ47" s="168">
        <f>+IF(AZ46&gt;$G$13+$G$14,XX,AZ46+1)</f>
        <v>2018</v>
      </c>
      <c r="BA47" s="138"/>
      <c r="BB47" s="176">
        <f t="shared" si="20"/>
        <v>68.619490908289691</v>
      </c>
      <c r="BC47" s="4"/>
      <c r="BD47" s="176">
        <f t="shared" si="21"/>
        <v>14.919281487638651</v>
      </c>
      <c r="BE47" s="4"/>
      <c r="BF47" s="175">
        <f t="shared" si="10"/>
        <v>26.084473607509061</v>
      </c>
      <c r="BG47" s="4"/>
      <c r="BH47" s="179"/>
    </row>
    <row r="48" spans="2:60" ht="12">
      <c r="B48" s="3"/>
      <c r="C48" s="7">
        <f>+IF(C47&gt;$G$13+$G$14,XX,C47+1)</f>
        <v>2019</v>
      </c>
      <c r="D48" s="7"/>
      <c r="E48" s="311">
        <f t="shared" si="11"/>
        <v>2.5000000000000001E-2</v>
      </c>
      <c r="F48" s="7"/>
      <c r="G48" s="23">
        <f t="shared" si="12"/>
        <v>9239.3694826569736</v>
      </c>
      <c r="H48" s="7"/>
      <c r="I48" s="30">
        <f t="shared" si="13"/>
        <v>522.30899034256322</v>
      </c>
      <c r="J48" s="7"/>
      <c r="K48" s="30">
        <f t="shared" si="14"/>
        <v>0</v>
      </c>
      <c r="L48" s="7"/>
      <c r="M48" s="30">
        <f t="shared" si="15"/>
        <v>0</v>
      </c>
      <c r="N48" s="7"/>
      <c r="O48" s="314"/>
      <c r="P48" s="7"/>
      <c r="Q48" s="30"/>
      <c r="R48" s="7"/>
      <c r="S48" s="23">
        <v>0</v>
      </c>
      <c r="T48" s="7"/>
      <c r="U48" s="23">
        <f t="shared" si="5"/>
        <v>526.27867738711973</v>
      </c>
      <c r="V48" s="7"/>
      <c r="W48" s="23">
        <f t="shared" si="0"/>
        <v>-526.27867738711973</v>
      </c>
      <c r="X48" s="7"/>
      <c r="Y48" s="315">
        <f t="shared" si="6"/>
        <v>-56.96045367327136</v>
      </c>
      <c r="Z48" s="271"/>
      <c r="AB48" s="168">
        <f>+IF(AB47&gt;$G$13+$G$14,XX,AB47+1)</f>
        <v>2019</v>
      </c>
      <c r="AC48" s="138"/>
      <c r="AD48" s="173">
        <f t="shared" si="1"/>
        <v>9239.3694826569736</v>
      </c>
      <c r="AE48" s="4"/>
      <c r="AF48" s="176">
        <f t="shared" si="16"/>
        <v>81.882082679591434</v>
      </c>
      <c r="AG48" s="4"/>
      <c r="AH48" s="176">
        <f t="shared" si="17"/>
        <v>10.048019535211425</v>
      </c>
      <c r="AI48" s="4"/>
      <c r="AJ48" s="176">
        <f t="shared" si="18"/>
        <v>2.3473124051128509</v>
      </c>
      <c r="AK48" s="4"/>
      <c r="AL48" s="175">
        <f t="shared" si="7"/>
        <v>147.35305315939121</v>
      </c>
      <c r="AM48" s="4"/>
      <c r="AN48" s="176">
        <f>INDEX('(2.2)_Forward_Price_Curve'!$H:$H,MATCH($AB48,'(2.2)_Forward_Price_Curve'!$C:$C,0),1)</f>
        <v>5.46</v>
      </c>
      <c r="AO48" s="4"/>
      <c r="AP48" s="176">
        <f t="shared" si="8"/>
        <v>39.114024720327421</v>
      </c>
      <c r="AQ48" s="4"/>
      <c r="AR48" s="176">
        <f t="shared" si="19"/>
        <v>4.7918078623921447</v>
      </c>
      <c r="AS48" s="176"/>
      <c r="AT48" s="175">
        <f t="shared" si="2"/>
        <v>120.61646771169443</v>
      </c>
      <c r="AU48" s="4"/>
      <c r="AV48" s="175">
        <f t="shared" si="3"/>
        <v>405.66220967542534</v>
      </c>
      <c r="AW48" s="318"/>
      <c r="AX48" s="177">
        <f t="shared" si="9"/>
        <v>526.27867738711973</v>
      </c>
      <c r="AZ48" s="168">
        <f>+IF(AZ47&gt;$G$13+$G$14,XX,AZ47+1)</f>
        <v>2019</v>
      </c>
      <c r="BA48" s="138"/>
      <c r="BB48" s="176">
        <f t="shared" si="20"/>
        <v>70.334978180996927</v>
      </c>
      <c r="BC48" s="4"/>
      <c r="BD48" s="176">
        <f t="shared" si="21"/>
        <v>15.292263524829616</v>
      </c>
      <c r="BE48" s="4"/>
      <c r="BF48" s="175">
        <f t="shared" si="10"/>
        <v>26.736585447696786</v>
      </c>
      <c r="BG48" s="4"/>
      <c r="BH48" s="179"/>
    </row>
    <row r="49" spans="2:60" ht="12">
      <c r="B49" s="3"/>
      <c r="C49" s="7">
        <f>+IF(C48&gt;$G$13+$G$14,XX,C48+1)</f>
        <v>2020</v>
      </c>
      <c r="D49" s="7"/>
      <c r="E49" s="311">
        <f t="shared" si="11"/>
        <v>2.5000000000000001E-2</v>
      </c>
      <c r="F49" s="7"/>
      <c r="G49" s="23">
        <f t="shared" si="12"/>
        <v>9239.3694826569736</v>
      </c>
      <c r="H49" s="7"/>
      <c r="I49" s="30">
        <f t="shared" si="13"/>
        <v>535.36671510112728</v>
      </c>
      <c r="J49" s="7"/>
      <c r="K49" s="30">
        <f t="shared" si="14"/>
        <v>0</v>
      </c>
      <c r="L49" s="7"/>
      <c r="M49" s="30">
        <f t="shared" si="15"/>
        <v>0</v>
      </c>
      <c r="N49" s="7"/>
      <c r="O49" s="314"/>
      <c r="P49" s="7"/>
      <c r="Q49" s="30"/>
      <c r="R49" s="7"/>
      <c r="S49" s="23">
        <v>0</v>
      </c>
      <c r="T49" s="7"/>
      <c r="U49" s="23">
        <f t="shared" si="5"/>
        <v>539.00541940948244</v>
      </c>
      <c r="V49" s="7"/>
      <c r="W49" s="23">
        <f t="shared" si="0"/>
        <v>-539.00541940948244</v>
      </c>
      <c r="X49" s="7"/>
      <c r="Y49" s="315">
        <f t="shared" si="6"/>
        <v>-58.337900699959903</v>
      </c>
      <c r="Z49" s="271"/>
      <c r="AB49" s="168">
        <f>+IF(AB48&gt;$G$13+$G$14,XX,AB48+1)</f>
        <v>2020</v>
      </c>
      <c r="AC49" s="138"/>
      <c r="AD49" s="173">
        <f t="shared" si="1"/>
        <v>9239.3694826569736</v>
      </c>
      <c r="AE49" s="4"/>
      <c r="AF49" s="176">
        <f t="shared" si="16"/>
        <v>83.929134746581212</v>
      </c>
      <c r="AG49" s="4"/>
      <c r="AH49" s="176">
        <f t="shared" si="17"/>
        <v>10.29922002359171</v>
      </c>
      <c r="AI49" s="4"/>
      <c r="AJ49" s="176">
        <f t="shared" si="18"/>
        <v>2.4059952152406718</v>
      </c>
      <c r="AK49" s="4"/>
      <c r="AL49" s="175">
        <f t="shared" si="7"/>
        <v>151.03687948837603</v>
      </c>
      <c r="AM49" s="4"/>
      <c r="AN49" s="176">
        <f>INDEX('(2.2)_Forward_Price_Curve'!$H:$H,MATCH($AB49,'(2.2)_Forward_Price_Curve'!$C:$C,0),1)</f>
        <v>5.59</v>
      </c>
      <c r="AO49" s="4"/>
      <c r="AP49" s="176">
        <f t="shared" si="8"/>
        <v>40.045311023192355</v>
      </c>
      <c r="AQ49" s="4"/>
      <c r="AR49" s="176">
        <f t="shared" si="19"/>
        <v>4.9116030589519477</v>
      </c>
      <c r="AS49" s="176"/>
      <c r="AT49" s="175">
        <f t="shared" si="2"/>
        <v>123.63187940448682</v>
      </c>
      <c r="AU49" s="4"/>
      <c r="AV49" s="175">
        <f t="shared" si="3"/>
        <v>415.37354000499562</v>
      </c>
      <c r="AW49" s="318"/>
      <c r="AX49" s="177">
        <f t="shared" si="9"/>
        <v>539.00541940948244</v>
      </c>
      <c r="AZ49" s="168">
        <f>+IF(AZ48&gt;$G$13+$G$14,XX,AZ48+1)</f>
        <v>2020</v>
      </c>
      <c r="BA49" s="138"/>
      <c r="BB49" s="176">
        <f t="shared" si="20"/>
        <v>72.093352635521839</v>
      </c>
      <c r="BC49" s="4"/>
      <c r="BD49" s="176">
        <f t="shared" si="21"/>
        <v>15.674570112950356</v>
      </c>
      <c r="BE49" s="4"/>
      <c r="BF49" s="175">
        <f t="shared" si="10"/>
        <v>27.405000083889199</v>
      </c>
      <c r="BG49" s="4"/>
      <c r="BH49" s="179"/>
    </row>
    <row r="50" spans="2:60" ht="12">
      <c r="B50" s="3"/>
      <c r="C50" s="7">
        <f>+IF(C49&gt;$G$13+$G$14,XX,C49+1)</f>
        <v>2021</v>
      </c>
      <c r="D50" s="7"/>
      <c r="E50" s="311">
        <f t="shared" si="11"/>
        <v>2.5000000000000001E-2</v>
      </c>
      <c r="F50" s="7"/>
      <c r="G50" s="23">
        <f t="shared" si="12"/>
        <v>9239.3694826569736</v>
      </c>
      <c r="H50" s="7"/>
      <c r="I50" s="30">
        <f t="shared" si="13"/>
        <v>548.75088297865545</v>
      </c>
      <c r="J50" s="7"/>
      <c r="K50" s="30">
        <f t="shared" si="14"/>
        <v>0</v>
      </c>
      <c r="L50" s="7"/>
      <c r="M50" s="30">
        <f t="shared" si="15"/>
        <v>0</v>
      </c>
      <c r="N50" s="7"/>
      <c r="O50" s="314"/>
      <c r="P50" s="7"/>
      <c r="Q50" s="30"/>
      <c r="R50" s="7"/>
      <c r="S50" s="23">
        <v>0</v>
      </c>
      <c r="T50" s="7"/>
      <c r="U50" s="23">
        <f t="shared" si="5"/>
        <v>549.18767960430591</v>
      </c>
      <c r="V50" s="7"/>
      <c r="W50" s="23">
        <f t="shared" si="0"/>
        <v>-549.18767960430591</v>
      </c>
      <c r="X50" s="7"/>
      <c r="Y50" s="315">
        <f t="shared" si="6"/>
        <v>-59.439952113093277</v>
      </c>
      <c r="Z50" s="271"/>
      <c r="AB50" s="168">
        <f>+IF(AB49&gt;$G$13+$G$14,XX,AB49+1)</f>
        <v>2021</v>
      </c>
      <c r="AC50" s="138"/>
      <c r="AD50" s="173">
        <f t="shared" si="1"/>
        <v>9239.3694826569736</v>
      </c>
      <c r="AE50" s="4"/>
      <c r="AF50" s="176">
        <f t="shared" si="16"/>
        <v>86.027363115245734</v>
      </c>
      <c r="AG50" s="4"/>
      <c r="AH50" s="176">
        <f t="shared" si="17"/>
        <v>10.556700524181501</v>
      </c>
      <c r="AI50" s="4"/>
      <c r="AJ50" s="176">
        <f t="shared" si="18"/>
        <v>2.4661450956216884</v>
      </c>
      <c r="AK50" s="4"/>
      <c r="AL50" s="175">
        <f t="shared" si="7"/>
        <v>154.81280147558536</v>
      </c>
      <c r="AM50" s="4"/>
      <c r="AN50" s="176">
        <f>INDEX('(2.2)_Forward_Price_Curve'!$H:$H,MATCH($AB50,'(2.2)_Forward_Price_Curve'!$C:$C,0),1)</f>
        <v>5.68</v>
      </c>
      <c r="AO50" s="4"/>
      <c r="AP50" s="176">
        <f t="shared" si="8"/>
        <v>40.690047694406545</v>
      </c>
      <c r="AQ50" s="4"/>
      <c r="AR50" s="176">
        <f t="shared" si="19"/>
        <v>5.0343931354257458</v>
      </c>
      <c r="AS50" s="176"/>
      <c r="AT50" s="175">
        <f t="shared" si="2"/>
        <v>126.72267638959893</v>
      </c>
      <c r="AU50" s="4"/>
      <c r="AV50" s="175">
        <f t="shared" si="3"/>
        <v>422.46500321470694</v>
      </c>
      <c r="AW50" s="318"/>
      <c r="AX50" s="177">
        <f t="shared" si="9"/>
        <v>549.18767960430591</v>
      </c>
      <c r="AZ50" s="168">
        <f>+IF(AZ49&gt;$G$13+$G$14,XX,AZ49+1)</f>
        <v>2021</v>
      </c>
      <c r="BA50" s="138"/>
      <c r="BB50" s="176">
        <f t="shared" si="20"/>
        <v>73.895686451409873</v>
      </c>
      <c r="BC50" s="4"/>
      <c r="BD50" s="176">
        <f t="shared" si="21"/>
        <v>16.066434365774114</v>
      </c>
      <c r="BE50" s="4"/>
      <c r="BF50" s="175">
        <f t="shared" si="10"/>
        <v>28.090125085986426</v>
      </c>
      <c r="BG50" s="4"/>
      <c r="BH50" s="179"/>
    </row>
    <row r="51" spans="2:60" ht="12">
      <c r="B51" s="3"/>
      <c r="C51" s="7">
        <f>+IF(C50&gt;$G$13+$G$14,XX,C50+1)</f>
        <v>2022</v>
      </c>
      <c r="D51" s="7"/>
      <c r="E51" s="311">
        <f t="shared" si="11"/>
        <v>2.5000000000000001E-2</v>
      </c>
      <c r="F51" s="7"/>
      <c r="G51" s="23">
        <f t="shared" si="12"/>
        <v>9239.3694826569736</v>
      </c>
      <c r="H51" s="7"/>
      <c r="I51" s="30">
        <f t="shared" si="13"/>
        <v>562.46965505312176</v>
      </c>
      <c r="J51" s="7"/>
      <c r="K51" s="30">
        <f t="shared" si="14"/>
        <v>0</v>
      </c>
      <c r="L51" s="7"/>
      <c r="M51" s="30">
        <f t="shared" si="15"/>
        <v>0</v>
      </c>
      <c r="N51" s="7"/>
      <c r="O51" s="314"/>
      <c r="P51" s="7"/>
      <c r="Q51" s="30"/>
      <c r="R51" s="7"/>
      <c r="S51" s="23">
        <v>0</v>
      </c>
      <c r="T51" s="7"/>
      <c r="U51" s="23">
        <f t="shared" si="5"/>
        <v>556.16614989346522</v>
      </c>
      <c r="V51" s="7"/>
      <c r="W51" s="23">
        <f t="shared" si="0"/>
        <v>-556.16614989346522</v>
      </c>
      <c r="X51" s="7"/>
      <c r="Y51" s="315">
        <f t="shared" si="6"/>
        <v>-60.195249355211196</v>
      </c>
      <c r="Z51" s="271"/>
      <c r="AB51" s="168">
        <f>+IF(AB50&gt;$G$13+$G$14,XX,AB50+1)</f>
        <v>2022</v>
      </c>
      <c r="AC51" s="138"/>
      <c r="AD51" s="173">
        <f t="shared" si="1"/>
        <v>9239.3694826569736</v>
      </c>
      <c r="AE51" s="4"/>
      <c r="AF51" s="176">
        <f t="shared" si="16"/>
        <v>88.178047193126872</v>
      </c>
      <c r="AG51" s="4"/>
      <c r="AH51" s="176">
        <f t="shared" si="17"/>
        <v>10.820618037286037</v>
      </c>
      <c r="AI51" s="4"/>
      <c r="AJ51" s="176">
        <f t="shared" si="18"/>
        <v>2.5277987230122303</v>
      </c>
      <c r="AK51" s="4"/>
      <c r="AL51" s="175">
        <f t="shared" si="7"/>
        <v>158.68312151247503</v>
      </c>
      <c r="AM51" s="4"/>
      <c r="AN51" s="176">
        <f>INDEX('(2.2)_Forward_Price_Curve'!$H:$H,MATCH($AB51,'(2.2)_Forward_Price_Curve'!$C:$C,0),1)</f>
        <v>5.72</v>
      </c>
      <c r="AO51" s="4"/>
      <c r="AP51" s="176">
        <f t="shared" si="8"/>
        <v>40.976597326057295</v>
      </c>
      <c r="AQ51" s="4"/>
      <c r="AR51" s="176">
        <f t="shared" si="19"/>
        <v>5.1602529638113888</v>
      </c>
      <c r="AS51" s="176"/>
      <c r="AT51" s="175">
        <f t="shared" si="2"/>
        <v>129.89074329933894</v>
      </c>
      <c r="AU51" s="4"/>
      <c r="AV51" s="175">
        <f t="shared" si="3"/>
        <v>426.27540659412625</v>
      </c>
      <c r="AW51" s="318"/>
      <c r="AX51" s="177">
        <f t="shared" si="9"/>
        <v>556.16614989346522</v>
      </c>
      <c r="AZ51" s="168">
        <f>+IF(AZ50&gt;$G$13+$G$14,XX,AZ50+1)</f>
        <v>2022</v>
      </c>
      <c r="BA51" s="138"/>
      <c r="BB51" s="176">
        <f t="shared" si="20"/>
        <v>75.743078612695115</v>
      </c>
      <c r="BC51" s="4"/>
      <c r="BD51" s="176">
        <f t="shared" si="21"/>
        <v>16.468095224918464</v>
      </c>
      <c r="BE51" s="4"/>
      <c r="BF51" s="175">
        <f t="shared" si="10"/>
        <v>28.792378213136086</v>
      </c>
      <c r="BG51" s="4"/>
      <c r="BH51" s="179"/>
    </row>
    <row r="52" spans="2:60" ht="12">
      <c r="B52" s="3"/>
      <c r="C52" s="7">
        <f>+IF(C51&gt;$G$13+$G$14,XX,C51+1)</f>
        <v>2023</v>
      </c>
      <c r="D52" s="7"/>
      <c r="E52" s="311">
        <f t="shared" si="11"/>
        <v>2.5000000000000001E-2</v>
      </c>
      <c r="F52" s="7"/>
      <c r="G52" s="23">
        <f t="shared" si="12"/>
        <v>9239.3694826569736</v>
      </c>
      <c r="H52" s="7"/>
      <c r="I52" s="30">
        <f t="shared" si="13"/>
        <v>576.53139642944973</v>
      </c>
      <c r="J52" s="7"/>
      <c r="K52" s="30">
        <f t="shared" si="14"/>
        <v>0</v>
      </c>
      <c r="L52" s="7"/>
      <c r="M52" s="30">
        <f t="shared" si="15"/>
        <v>0</v>
      </c>
      <c r="N52" s="7"/>
      <c r="O52" s="314"/>
      <c r="P52" s="7"/>
      <c r="Q52" s="30"/>
      <c r="R52" s="7"/>
      <c r="S52" s="23">
        <v>0</v>
      </c>
      <c r="T52" s="7"/>
      <c r="U52" s="23">
        <f t="shared" si="5"/>
        <v>569.20985381617106</v>
      </c>
      <c r="V52" s="7"/>
      <c r="W52" s="23">
        <f t="shared" si="0"/>
        <v>-569.20985381617106</v>
      </c>
      <c r="X52" s="7"/>
      <c r="Y52" s="315">
        <f t="shared" si="6"/>
        <v>-61.607001958804972</v>
      </c>
      <c r="Z52" s="271"/>
      <c r="AB52" s="168">
        <f>+IF(AB51&gt;$G$13+$G$14,XX,AB51+1)</f>
        <v>2023</v>
      </c>
      <c r="AC52" s="138"/>
      <c r="AD52" s="173">
        <f t="shared" si="1"/>
        <v>9239.3694826569736</v>
      </c>
      <c r="AE52" s="4"/>
      <c r="AF52" s="176">
        <f t="shared" si="16"/>
        <v>90.382498372955041</v>
      </c>
      <c r="AG52" s="4"/>
      <c r="AH52" s="176">
        <f t="shared" si="17"/>
        <v>11.091133488218187</v>
      </c>
      <c r="AI52" s="4"/>
      <c r="AJ52" s="176">
        <f t="shared" si="18"/>
        <v>2.5909936910875357</v>
      </c>
      <c r="AK52" s="4"/>
      <c r="AL52" s="175">
        <f t="shared" si="7"/>
        <v>162.65019955028686</v>
      </c>
      <c r="AM52" s="4"/>
      <c r="AN52" s="176">
        <f>INDEX('(2.2)_Forward_Price_Curve'!$H:$H,MATCH($AB52,'(2.2)_Forward_Price_Curve'!$C:$C,0),1)</f>
        <v>5.85</v>
      </c>
      <c r="AO52" s="4"/>
      <c r="AP52" s="176">
        <f t="shared" si="8"/>
        <v>41.907883628922235</v>
      </c>
      <c r="AQ52" s="4"/>
      <c r="AR52" s="176">
        <f t="shared" si="19"/>
        <v>5.2892592879066731</v>
      </c>
      <c r="AS52" s="176"/>
      <c r="AT52" s="175">
        <f t="shared" si="2"/>
        <v>133.13801188182237</v>
      </c>
      <c r="AU52" s="4"/>
      <c r="AV52" s="175">
        <f t="shared" si="3"/>
        <v>436.07184193434875</v>
      </c>
      <c r="AW52" s="318"/>
      <c r="AX52" s="177">
        <f t="shared" si="9"/>
        <v>569.20985381617106</v>
      </c>
      <c r="AZ52" s="168">
        <f>+IF(AZ51&gt;$G$13+$G$14,XX,AZ51+1)</f>
        <v>2023</v>
      </c>
      <c r="BA52" s="138"/>
      <c r="BB52" s="176">
        <f t="shared" si="20"/>
        <v>77.63665557801248</v>
      </c>
      <c r="BC52" s="4"/>
      <c r="BD52" s="176">
        <f t="shared" si="21"/>
        <v>16.879797605541423</v>
      </c>
      <c r="BE52" s="4"/>
      <c r="BF52" s="175">
        <f t="shared" si="10"/>
        <v>29.512187668464481</v>
      </c>
      <c r="BG52" s="4"/>
      <c r="BH52" s="179"/>
    </row>
    <row r="53" spans="2:60" ht="12">
      <c r="B53" s="3"/>
      <c r="C53" s="7">
        <f>+IF(C52&gt;$G$13+$G$14,XX,C52+1)</f>
        <v>2024</v>
      </c>
      <c r="D53" s="7"/>
      <c r="E53" s="311">
        <f t="shared" si="11"/>
        <v>2.5000000000000001E-2</v>
      </c>
      <c r="F53" s="7"/>
      <c r="G53" s="23">
        <f t="shared" si="12"/>
        <v>9239.3694826569736</v>
      </c>
      <c r="H53" s="7"/>
      <c r="I53" s="30">
        <f t="shared" si="13"/>
        <v>590.94468134018587</v>
      </c>
      <c r="J53" s="7"/>
      <c r="K53" s="30">
        <f t="shared" si="14"/>
        <v>0</v>
      </c>
      <c r="L53" s="7"/>
      <c r="M53" s="30">
        <f t="shared" si="15"/>
        <v>0</v>
      </c>
      <c r="N53" s="7"/>
      <c r="O53" s="314"/>
      <c r="P53" s="7"/>
      <c r="Q53" s="30"/>
      <c r="R53" s="7"/>
      <c r="S53" s="23">
        <v>0</v>
      </c>
      <c r="T53" s="7"/>
      <c r="U53" s="23">
        <f t="shared" si="5"/>
        <v>583.4401001615754</v>
      </c>
      <c r="V53" s="7"/>
      <c r="W53" s="23">
        <f t="shared" si="0"/>
        <v>-583.4401001615754</v>
      </c>
      <c r="X53" s="7"/>
      <c r="Y53" s="315">
        <f t="shared" si="6"/>
        <v>-63.147177007775099</v>
      </c>
      <c r="Z53" s="271"/>
      <c r="AB53" s="168">
        <f>+IF(AB52&gt;$G$13+$G$14,XX,AB52+1)</f>
        <v>2024</v>
      </c>
      <c r="AC53" s="138"/>
      <c r="AD53" s="173">
        <f t="shared" si="1"/>
        <v>9239.3694826569736</v>
      </c>
      <c r="AE53" s="4"/>
      <c r="AF53" s="176">
        <f t="shared" si="16"/>
        <v>92.642060832278915</v>
      </c>
      <c r="AG53" s="4"/>
      <c r="AH53" s="176">
        <f t="shared" si="17"/>
        <v>11.368411825423641</v>
      </c>
      <c r="AI53" s="4"/>
      <c r="AJ53" s="176">
        <f t="shared" si="18"/>
        <v>2.6557685333647241</v>
      </c>
      <c r="AK53" s="4"/>
      <c r="AL53" s="175">
        <f t="shared" si="7"/>
        <v>166.71645453904404</v>
      </c>
      <c r="AM53" s="4"/>
      <c r="AN53" s="176">
        <f>INDEX('(2.2)_Forward_Price_Curve'!$H:$H,MATCH($AB53,'(2.2)_Forward_Price_Curve'!$C:$C,0),1)</f>
        <v>5.996249999999999</v>
      </c>
      <c r="AO53" s="4"/>
      <c r="AP53" s="176">
        <f t="shared" si="8"/>
        <v>42.95558071964529</v>
      </c>
      <c r="AQ53" s="4"/>
      <c r="AR53" s="176">
        <f t="shared" si="19"/>
        <v>5.4214907701043398</v>
      </c>
      <c r="AS53" s="176"/>
      <c r="AT53" s="175">
        <f t="shared" si="2"/>
        <v>136.46646217886794</v>
      </c>
      <c r="AU53" s="4"/>
      <c r="AV53" s="175">
        <f t="shared" si="3"/>
        <v>446.97363798270749</v>
      </c>
      <c r="AW53" s="318"/>
      <c r="AX53" s="177">
        <f t="shared" si="9"/>
        <v>583.4401001615754</v>
      </c>
      <c r="AZ53" s="168">
        <f>+IF(AZ52&gt;$G$13+$G$14,XX,AZ52+1)</f>
        <v>2024</v>
      </c>
      <c r="BA53" s="138"/>
      <c r="BB53" s="176">
        <f t="shared" si="20"/>
        <v>79.577571967462788</v>
      </c>
      <c r="BC53" s="4"/>
      <c r="BD53" s="176">
        <f t="shared" si="21"/>
        <v>17.301792545679959</v>
      </c>
      <c r="BE53" s="4"/>
      <c r="BF53" s="175">
        <f t="shared" si="10"/>
        <v>30.249992360176091</v>
      </c>
      <c r="BG53" s="4"/>
      <c r="BH53" s="179"/>
    </row>
    <row r="54" spans="2:60" ht="12">
      <c r="B54" s="3"/>
      <c r="C54" s="7">
        <f>+IF(C53&gt;$G$13+$G$14,XX,C53+1)</f>
        <v>2025</v>
      </c>
      <c r="D54" s="7"/>
      <c r="E54" s="311">
        <f t="shared" si="11"/>
        <v>2.5000000000000001E-2</v>
      </c>
      <c r="F54" s="7"/>
      <c r="G54" s="23">
        <f t="shared" si="12"/>
        <v>9239.3694826569736</v>
      </c>
      <c r="H54" s="7"/>
      <c r="I54" s="30">
        <f t="shared" si="13"/>
        <v>605.71829837369046</v>
      </c>
      <c r="J54" s="7"/>
      <c r="K54" s="30">
        <f t="shared" si="14"/>
        <v>0</v>
      </c>
      <c r="L54" s="7"/>
      <c r="M54" s="30">
        <f t="shared" si="15"/>
        <v>0</v>
      </c>
      <c r="N54" s="7"/>
      <c r="O54" s="314"/>
      <c r="P54" s="7"/>
      <c r="Q54" s="30"/>
      <c r="R54" s="7"/>
      <c r="S54" s="23">
        <v>0</v>
      </c>
      <c r="T54" s="7"/>
      <c r="U54" s="23">
        <f t="shared" si="5"/>
        <v>598.02610266561476</v>
      </c>
      <c r="V54" s="7"/>
      <c r="W54" s="23">
        <f t="shared" si="0"/>
        <v>-598.02610266561476</v>
      </c>
      <c r="X54" s="7"/>
      <c r="Y54" s="315">
        <f t="shared" si="6"/>
        <v>-64.725856432969479</v>
      </c>
      <c r="Z54" s="271"/>
      <c r="AB54" s="168">
        <f>+IF(AB53&gt;$G$13+$G$14,XX,AB53+1)</f>
        <v>2025</v>
      </c>
      <c r="AC54" s="138"/>
      <c r="AD54" s="173">
        <f t="shared" si="1"/>
        <v>9239.3694826569736</v>
      </c>
      <c r="AE54" s="4"/>
      <c r="AF54" s="176">
        <f t="shared" si="16"/>
        <v>94.95811235308588</v>
      </c>
      <c r="AG54" s="4"/>
      <c r="AH54" s="176">
        <f t="shared" si="17"/>
        <v>11.652622121059231</v>
      </c>
      <c r="AI54" s="4"/>
      <c r="AJ54" s="176">
        <f t="shared" si="18"/>
        <v>2.7221627466988418</v>
      </c>
      <c r="AK54" s="4"/>
      <c r="AL54" s="175">
        <f t="shared" si="7"/>
        <v>170.88436590252013</v>
      </c>
      <c r="AM54" s="4"/>
      <c r="AN54" s="176">
        <f>INDEX('(2.2)_Forward_Price_Curve'!$H:$H,MATCH($AB54,'(2.2)_Forward_Price_Curve'!$C:$C,0),1)</f>
        <v>6.146156249999998</v>
      </c>
      <c r="AO54" s="4"/>
      <c r="AP54" s="176">
        <f t="shared" si="8"/>
        <v>44.029470237636417</v>
      </c>
      <c r="AQ54" s="4"/>
      <c r="AR54" s="176">
        <f t="shared" si="19"/>
        <v>5.5570280393569478</v>
      </c>
      <c r="AS54" s="176"/>
      <c r="AT54" s="175">
        <f t="shared" si="2"/>
        <v>139.87812373333963</v>
      </c>
      <c r="AU54" s="4"/>
      <c r="AV54" s="175">
        <f t="shared" si="3"/>
        <v>458.14797893227512</v>
      </c>
      <c r="AW54" s="318"/>
      <c r="AX54" s="177">
        <f t="shared" si="9"/>
        <v>598.02610266561476</v>
      </c>
      <c r="AZ54" s="168">
        <f>+IF(AZ53&gt;$G$13+$G$14,XX,AZ53+1)</f>
        <v>2025</v>
      </c>
      <c r="BA54" s="138"/>
      <c r="BB54" s="176">
        <f t="shared" si="20"/>
        <v>81.567011266649345</v>
      </c>
      <c r="BC54" s="4"/>
      <c r="BD54" s="176">
        <f t="shared" si="21"/>
        <v>17.734337359321955</v>
      </c>
      <c r="BE54" s="4"/>
      <c r="BF54" s="175">
        <f t="shared" si="10"/>
        <v>31.006242169180489</v>
      </c>
      <c r="BG54" s="4"/>
      <c r="BH54" s="179"/>
    </row>
    <row r="55" spans="2:60" ht="12">
      <c r="B55" s="3"/>
      <c r="C55" s="7">
        <f>+IF(C54&gt;$G$13+$G$14,XX,C54+1)</f>
        <v>2026</v>
      </c>
      <c r="D55" s="7"/>
      <c r="E55" s="311">
        <f t="shared" si="11"/>
        <v>2.5000000000000001E-2</v>
      </c>
      <c r="F55" s="7"/>
      <c r="G55" s="23">
        <f t="shared" si="12"/>
        <v>9239.3694826569736</v>
      </c>
      <c r="H55" s="7"/>
      <c r="I55" s="30">
        <f t="shared" si="13"/>
        <v>620.86125583303271</v>
      </c>
      <c r="J55" s="7"/>
      <c r="K55" s="30">
        <f t="shared" si="14"/>
        <v>0</v>
      </c>
      <c r="L55" s="7"/>
      <c r="M55" s="30">
        <f t="shared" si="15"/>
        <v>0</v>
      </c>
      <c r="N55" s="7"/>
      <c r="O55" s="314"/>
      <c r="P55" s="7"/>
      <c r="Q55" s="30"/>
      <c r="R55" s="7"/>
      <c r="S55" s="23">
        <v>0</v>
      </c>
      <c r="T55" s="7"/>
      <c r="U55" s="23">
        <f t="shared" si="5"/>
        <v>612.97675523225496</v>
      </c>
      <c r="V55" s="7"/>
      <c r="W55" s="23">
        <f t="shared" si="0"/>
        <v>-612.97675523225496</v>
      </c>
      <c r="X55" s="7"/>
      <c r="Y55" s="315">
        <f t="shared" si="6"/>
        <v>-66.344002843793703</v>
      </c>
      <c r="Z55" s="271"/>
      <c r="AB55" s="168">
        <f>+IF(AB54&gt;$G$13+$G$14,XX,AB54+1)</f>
        <v>2026</v>
      </c>
      <c r="AC55" s="138"/>
      <c r="AD55" s="173">
        <f t="shared" si="1"/>
        <v>9239.3694826569736</v>
      </c>
      <c r="AE55" s="4"/>
      <c r="AF55" s="176">
        <f t="shared" si="16"/>
        <v>97.332065161913022</v>
      </c>
      <c r="AG55" s="4"/>
      <c r="AH55" s="176">
        <f t="shared" si="17"/>
        <v>11.943937674085712</v>
      </c>
      <c r="AI55" s="4"/>
      <c r="AJ55" s="176">
        <f t="shared" si="18"/>
        <v>2.7902168153663127</v>
      </c>
      <c r="AK55" s="4"/>
      <c r="AL55" s="175">
        <f t="shared" si="7"/>
        <v>175.15647505008312</v>
      </c>
      <c r="AM55" s="4"/>
      <c r="AN55" s="176">
        <f>INDEX('(2.2)_Forward_Price_Curve'!$H:$H,MATCH($AB55,'(2.2)_Forward_Price_Curve'!$C:$C,0),1)</f>
        <v>6.2998101562499977</v>
      </c>
      <c r="AO55" s="4"/>
      <c r="AP55" s="176">
        <f t="shared" si="8"/>
        <v>45.130206993577318</v>
      </c>
      <c r="AQ55" s="4"/>
      <c r="AR55" s="176">
        <f t="shared" si="19"/>
        <v>5.6959537403408707</v>
      </c>
      <c r="AS55" s="176"/>
      <c r="AT55" s="175">
        <f t="shared" si="2"/>
        <v>143.37507682667311</v>
      </c>
      <c r="AU55" s="4"/>
      <c r="AV55" s="175">
        <f t="shared" si="3"/>
        <v>469.60167840558188</v>
      </c>
      <c r="AW55" s="318"/>
      <c r="AX55" s="177">
        <f t="shared" si="9"/>
        <v>612.97675523225496</v>
      </c>
      <c r="AZ55" s="168">
        <f>+IF(AZ54&gt;$G$13+$G$14,XX,AZ54+1)</f>
        <v>2026</v>
      </c>
      <c r="BA55" s="138"/>
      <c r="BB55" s="176">
        <f t="shared" si="20"/>
        <v>83.606186548315577</v>
      </c>
      <c r="BC55" s="4"/>
      <c r="BD55" s="176">
        <f t="shared" si="21"/>
        <v>18.177695793305002</v>
      </c>
      <c r="BE55" s="4"/>
      <c r="BF55" s="175">
        <f t="shared" si="10"/>
        <v>31.781398223410001</v>
      </c>
      <c r="BG55" s="4"/>
      <c r="BH55" s="179"/>
    </row>
    <row r="56" spans="2:60" ht="12">
      <c r="B56" s="3"/>
      <c r="C56" s="7">
        <f>+IF(C55&gt;$G$13+$G$14,XX,C55+1)</f>
        <v>2027</v>
      </c>
      <c r="D56" s="7"/>
      <c r="E56" s="311">
        <f t="shared" si="11"/>
        <v>2.5000000000000001E-2</v>
      </c>
      <c r="F56" s="7"/>
      <c r="G56" s="23">
        <f t="shared" si="12"/>
        <v>9239.3694826569736</v>
      </c>
      <c r="H56" s="7"/>
      <c r="I56" s="30">
        <f t="shared" si="13"/>
        <v>636.38278722885843</v>
      </c>
      <c r="J56" s="7"/>
      <c r="K56" s="30">
        <f t="shared" si="14"/>
        <v>0</v>
      </c>
      <c r="L56" s="7"/>
      <c r="M56" s="30">
        <f t="shared" si="15"/>
        <v>0</v>
      </c>
      <c r="N56" s="7"/>
      <c r="O56" s="314"/>
      <c r="P56" s="7"/>
      <c r="Q56" s="30"/>
      <c r="R56" s="7"/>
      <c r="S56" s="23">
        <v>0</v>
      </c>
      <c r="T56" s="7"/>
      <c r="U56" s="23">
        <f t="shared" si="5"/>
        <v>628.30117411306128</v>
      </c>
      <c r="V56" s="7"/>
      <c r="W56" s="23">
        <f t="shared" si="0"/>
        <v>-628.30117411306128</v>
      </c>
      <c r="X56" s="7"/>
      <c r="Y56" s="315">
        <f t="shared" si="6"/>
        <v>-68.002602914888541</v>
      </c>
      <c r="Z56" s="271"/>
      <c r="AB56" s="168">
        <f>+IF(AB55&gt;$G$13+$G$14,XX,AB55+1)</f>
        <v>2027</v>
      </c>
      <c r="AC56" s="138"/>
      <c r="AD56" s="173">
        <f t="shared" si="1"/>
        <v>9239.3694826569736</v>
      </c>
      <c r="AE56" s="4"/>
      <c r="AF56" s="176">
        <f t="shared" si="16"/>
        <v>99.76536679096084</v>
      </c>
      <c r="AG56" s="4"/>
      <c r="AH56" s="176">
        <f t="shared" si="17"/>
        <v>12.242536115937854</v>
      </c>
      <c r="AI56" s="4"/>
      <c r="AJ56" s="176">
        <f t="shared" si="18"/>
        <v>2.8599722357504702</v>
      </c>
      <c r="AK56" s="4"/>
      <c r="AL56" s="175">
        <f t="shared" si="7"/>
        <v>179.53538692633518</v>
      </c>
      <c r="AM56" s="4"/>
      <c r="AN56" s="176">
        <f>INDEX('(2.2)_Forward_Price_Curve'!$H:$H,MATCH($AB56,'(2.2)_Forward_Price_Curve'!$C:$C,0),1)</f>
        <v>6.4573054101562475</v>
      </c>
      <c r="AO56" s="4"/>
      <c r="AP56" s="176">
        <f t="shared" si="8"/>
        <v>46.258462168416749</v>
      </c>
      <c r="AQ56" s="4"/>
      <c r="AR56" s="176">
        <f t="shared" si="19"/>
        <v>5.8383525838493915</v>
      </c>
      <c r="AS56" s="176"/>
      <c r="AT56" s="175">
        <f t="shared" si="2"/>
        <v>146.95945374733992</v>
      </c>
      <c r="AU56" s="4"/>
      <c r="AV56" s="175">
        <f t="shared" si="3"/>
        <v>481.34172036572136</v>
      </c>
      <c r="AW56" s="318"/>
      <c r="AX56" s="177">
        <f t="shared" si="9"/>
        <v>628.30117411306128</v>
      </c>
      <c r="AZ56" s="168">
        <f>+IF(AZ55&gt;$G$13+$G$14,XX,AZ55+1)</f>
        <v>2027</v>
      </c>
      <c r="BA56" s="138"/>
      <c r="BB56" s="176">
        <f t="shared" si="20"/>
        <v>85.696341212023455</v>
      </c>
      <c r="BC56" s="4"/>
      <c r="BD56" s="176">
        <f t="shared" si="21"/>
        <v>18.632138188137624</v>
      </c>
      <c r="BE56" s="4"/>
      <c r="BF56" s="175">
        <f t="shared" si="10"/>
        <v>32.57593317899525</v>
      </c>
      <c r="BG56" s="4"/>
      <c r="BH56" s="179"/>
    </row>
    <row r="57" spans="2:60" ht="12">
      <c r="B57" s="3"/>
      <c r="C57" s="7">
        <f>+IF(C56&gt;$G$13+$G$14,XX,C56+1)</f>
        <v>2028</v>
      </c>
      <c r="D57" s="7"/>
      <c r="E57" s="311">
        <f t="shared" si="11"/>
        <v>2.5000000000000001E-2</v>
      </c>
      <c r="F57" s="7"/>
      <c r="G57" s="23">
        <f t="shared" si="12"/>
        <v>9239.3694826569736</v>
      </c>
      <c r="H57" s="7"/>
      <c r="I57" s="30">
        <f t="shared" si="13"/>
        <v>652.29235690957989</v>
      </c>
      <c r="J57" s="7"/>
      <c r="K57" s="30">
        <f t="shared" si="14"/>
        <v>0</v>
      </c>
      <c r="L57" s="7"/>
      <c r="M57" s="30">
        <f t="shared" si="15"/>
        <v>0</v>
      </c>
      <c r="N57" s="7"/>
      <c r="O57" s="314"/>
      <c r="P57" s="7"/>
      <c r="Q57" s="30"/>
      <c r="R57" s="7"/>
      <c r="S57" s="23">
        <v>0</v>
      </c>
      <c r="T57" s="7"/>
      <c r="U57" s="23">
        <f t="shared" si="5"/>
        <v>644.00870346588783</v>
      </c>
      <c r="V57" s="7"/>
      <c r="W57" s="23">
        <f t="shared" si="0"/>
        <v>-644.00870346588783</v>
      </c>
      <c r="X57" s="7"/>
      <c r="Y57" s="315">
        <f t="shared" si="6"/>
        <v>-69.702667987760748</v>
      </c>
      <c r="Z57" s="271"/>
      <c r="AB57" s="168">
        <f>+IF(AB56&gt;$G$13+$G$14,XX,AB56+1)</f>
        <v>2028</v>
      </c>
      <c r="AC57" s="138"/>
      <c r="AD57" s="173">
        <f t="shared" si="1"/>
        <v>9239.3694826569736</v>
      </c>
      <c r="AE57" s="4"/>
      <c r="AF57" s="176">
        <f t="shared" si="16"/>
        <v>102.25950096073485</v>
      </c>
      <c r="AG57" s="4"/>
      <c r="AH57" s="176">
        <f t="shared" si="17"/>
        <v>12.5485995188363</v>
      </c>
      <c r="AI57" s="4"/>
      <c r="AJ57" s="176">
        <f t="shared" si="18"/>
        <v>2.9314715416442318</v>
      </c>
      <c r="AK57" s="4"/>
      <c r="AL57" s="175">
        <f t="shared" si="7"/>
        <v>184.02377159949353</v>
      </c>
      <c r="AM57" s="4"/>
      <c r="AN57" s="176">
        <f>INDEX('(2.2)_Forward_Price_Curve'!$H:$H,MATCH($AB57,'(2.2)_Forward_Price_Curve'!$C:$C,0),1)</f>
        <v>6.6187380454101534</v>
      </c>
      <c r="AO57" s="4"/>
      <c r="AP57" s="176">
        <f t="shared" si="8"/>
        <v>47.414923722627172</v>
      </c>
      <c r="AQ57" s="4"/>
      <c r="AR57" s="176">
        <f t="shared" si="19"/>
        <v>5.9843113984456258</v>
      </c>
      <c r="AS57" s="176"/>
      <c r="AT57" s="175">
        <f t="shared" si="2"/>
        <v>150.6334400910234</v>
      </c>
      <c r="AU57" s="4"/>
      <c r="AV57" s="175">
        <f t="shared" si="3"/>
        <v>493.37526337486446</v>
      </c>
      <c r="AW57" s="318"/>
      <c r="AX57" s="177">
        <f t="shared" si="9"/>
        <v>644.00870346588783</v>
      </c>
      <c r="AZ57" s="168">
        <f>+IF(AZ56&gt;$G$13+$G$14,XX,AZ56+1)</f>
        <v>2028</v>
      </c>
      <c r="BA57" s="138"/>
      <c r="BB57" s="176">
        <f t="shared" si="20"/>
        <v>87.83874974232404</v>
      </c>
      <c r="BC57" s="4"/>
      <c r="BD57" s="176">
        <f t="shared" si="21"/>
        <v>19.097941642841064</v>
      </c>
      <c r="BE57" s="4"/>
      <c r="BF57" s="175">
        <f t="shared" si="10"/>
        <v>33.390331508470126</v>
      </c>
      <c r="BG57" s="4"/>
      <c r="BH57" s="179"/>
    </row>
    <row r="58" spans="2:60" ht="12">
      <c r="B58" s="3"/>
      <c r="C58" s="7">
        <f>+IF(C57&gt;$G$13+$G$14,XX,C57+1)</f>
        <v>2029</v>
      </c>
      <c r="D58" s="7"/>
      <c r="E58" s="311">
        <f t="shared" si="11"/>
        <v>2.5000000000000001E-2</v>
      </c>
      <c r="F58" s="7"/>
      <c r="G58" s="23">
        <f t="shared" si="12"/>
        <v>9239.3694826569736</v>
      </c>
      <c r="H58" s="7"/>
      <c r="I58" s="30">
        <f t="shared" si="13"/>
        <v>668.59966583231937</v>
      </c>
      <c r="J58" s="7"/>
      <c r="K58" s="30">
        <f t="shared" si="14"/>
        <v>0</v>
      </c>
      <c r="L58" s="7"/>
      <c r="M58" s="30">
        <f t="shared" si="15"/>
        <v>0</v>
      </c>
      <c r="N58" s="7"/>
      <c r="O58" s="314"/>
      <c r="P58" s="7"/>
      <c r="Q58" s="30"/>
      <c r="R58" s="7"/>
      <c r="S58" s="23">
        <v>0</v>
      </c>
      <c r="T58" s="7"/>
      <c r="U58" s="23">
        <f t="shared" si="5"/>
        <v>660.10892105253504</v>
      </c>
      <c r="V58" s="7"/>
      <c r="W58" s="23">
        <f t="shared" si="0"/>
        <v>-660.10892105253504</v>
      </c>
      <c r="X58" s="7"/>
      <c r="Y58" s="315">
        <f t="shared" si="6"/>
        <v>-71.445234687454771</v>
      </c>
      <c r="Z58" s="271"/>
      <c r="AB58" s="168">
        <f>+IF(AB57&gt;$G$13+$G$14,XX,AB57+1)</f>
        <v>2029</v>
      </c>
      <c r="AC58" s="138"/>
      <c r="AD58" s="173">
        <f t="shared" si="1"/>
        <v>9239.3694826569736</v>
      </c>
      <c r="AE58" s="4"/>
      <c r="AF58" s="176">
        <f t="shared" si="16"/>
        <v>104.81598848475322</v>
      </c>
      <c r="AG58" s="4"/>
      <c r="AH58" s="176">
        <f t="shared" si="17"/>
        <v>12.862314506807206</v>
      </c>
      <c r="AI58" s="4"/>
      <c r="AJ58" s="176">
        <f t="shared" si="18"/>
        <v>3.0047583301853376</v>
      </c>
      <c r="AK58" s="4"/>
      <c r="AL58" s="175">
        <f t="shared" si="7"/>
        <v>188.62436588948086</v>
      </c>
      <c r="AM58" s="4"/>
      <c r="AN58" s="176">
        <f>INDEX('(2.2)_Forward_Price_Curve'!$H:$H,MATCH($AB58,'(2.2)_Forward_Price_Curve'!$C:$C,0),1)</f>
        <v>6.7842064965454068</v>
      </c>
      <c r="AO58" s="4"/>
      <c r="AP58" s="176">
        <f t="shared" si="8"/>
        <v>48.60029681569285</v>
      </c>
      <c r="AQ58" s="4"/>
      <c r="AR58" s="176">
        <f t="shared" si="19"/>
        <v>6.1339191834067659</v>
      </c>
      <c r="AS58" s="176"/>
      <c r="AT58" s="175">
        <f t="shared" si="2"/>
        <v>154.39927609329897</v>
      </c>
      <c r="AU58" s="4"/>
      <c r="AV58" s="175">
        <f t="shared" si="3"/>
        <v>505.70964495923607</v>
      </c>
      <c r="AW58" s="318"/>
      <c r="AX58" s="177">
        <f t="shared" si="9"/>
        <v>660.10892105253504</v>
      </c>
      <c r="AZ58" s="168">
        <f>+IF(AZ57&gt;$G$13+$G$14,XX,AZ57+1)</f>
        <v>2029</v>
      </c>
      <c r="BA58" s="138"/>
      <c r="BB58" s="176">
        <f t="shared" si="20"/>
        <v>90.034718485882138</v>
      </c>
      <c r="BC58" s="4"/>
      <c r="BD58" s="176">
        <f t="shared" si="21"/>
        <v>19.575390183912088</v>
      </c>
      <c r="BE58" s="4"/>
      <c r="BF58" s="175">
        <f t="shared" si="10"/>
        <v>34.225089796181877</v>
      </c>
      <c r="BG58" s="4"/>
      <c r="BH58" s="179"/>
    </row>
    <row r="59" spans="2:60" ht="12">
      <c r="B59" s="3"/>
      <c r="C59" s="7">
        <f>+IF(C58&gt;$G$13+$G$14,XX,C58+1)</f>
        <v>2030</v>
      </c>
      <c r="D59" s="7"/>
      <c r="E59" s="311">
        <f t="shared" si="11"/>
        <v>2.5000000000000001E-2</v>
      </c>
      <c r="F59" s="7"/>
      <c r="G59" s="23">
        <f t="shared" si="12"/>
        <v>9239.3694826569736</v>
      </c>
      <c r="H59" s="7"/>
      <c r="I59" s="30">
        <f t="shared" si="13"/>
        <v>685.31465747812729</v>
      </c>
      <c r="J59" s="7"/>
      <c r="K59" s="30">
        <f t="shared" si="14"/>
        <v>0</v>
      </c>
      <c r="L59" s="7"/>
      <c r="M59" s="30">
        <f t="shared" si="15"/>
        <v>0</v>
      </c>
      <c r="N59" s="7"/>
      <c r="O59" s="314"/>
      <c r="P59" s="7"/>
      <c r="Q59" s="30"/>
      <c r="R59" s="7"/>
      <c r="S59" s="23">
        <v>0</v>
      </c>
      <c r="T59" s="7"/>
      <c r="U59" s="23">
        <f t="shared" si="5"/>
        <v>676.61164407884837</v>
      </c>
      <c r="V59" s="7"/>
      <c r="W59" s="23">
        <f t="shared" si="0"/>
        <v>-676.61164407884837</v>
      </c>
      <c r="X59" s="7"/>
      <c r="Y59" s="315">
        <f t="shared" si="6"/>
        <v>-73.231365554641144</v>
      </c>
      <c r="Z59" s="271"/>
      <c r="AB59" s="168">
        <f>+IF(AB58&gt;$G$13+$G$14,XX,AB58+1)</f>
        <v>2030</v>
      </c>
      <c r="AC59" s="138"/>
      <c r="AD59" s="173">
        <f t="shared" si="1"/>
        <v>9239.3694826569736</v>
      </c>
      <c r="AE59" s="4"/>
      <c r="AF59" s="176">
        <f t="shared" si="16"/>
        <v>107.43638819687204</v>
      </c>
      <c r="AG59" s="4"/>
      <c r="AH59" s="176">
        <f t="shared" si="17"/>
        <v>13.183872369477385</v>
      </c>
      <c r="AI59" s="4"/>
      <c r="AJ59" s="176">
        <f t="shared" si="18"/>
        <v>3.0798772884399708</v>
      </c>
      <c r="AK59" s="4"/>
      <c r="AL59" s="175">
        <f t="shared" si="7"/>
        <v>193.3399750367179</v>
      </c>
      <c r="AM59" s="4"/>
      <c r="AN59" s="176">
        <f>INDEX('(2.2)_Forward_Price_Curve'!$H:$H,MATCH($AB59,'(2.2)_Forward_Price_Curve'!$C:$C,0),1)</f>
        <v>6.9538116589590411</v>
      </c>
      <c r="AO59" s="4"/>
      <c r="AP59" s="176">
        <f t="shared" si="8"/>
        <v>49.815304236085161</v>
      </c>
      <c r="AQ59" s="4"/>
      <c r="AR59" s="176">
        <f t="shared" si="19"/>
        <v>6.2872671629919346</v>
      </c>
      <c r="AS59" s="176"/>
      <c r="AT59" s="175">
        <f t="shared" si="2"/>
        <v>158.25925799563149</v>
      </c>
      <c r="AU59" s="4"/>
      <c r="AV59" s="175">
        <f t="shared" si="3"/>
        <v>518.35238608321686</v>
      </c>
      <c r="AW59" s="318"/>
      <c r="AX59" s="177">
        <f t="shared" si="9"/>
        <v>676.61164407884837</v>
      </c>
      <c r="AZ59" s="168">
        <f>+IF(AZ58&gt;$G$13+$G$14,XX,AZ58+1)</f>
        <v>2030</v>
      </c>
      <c r="BA59" s="138"/>
      <c r="BB59" s="176">
        <f t="shared" si="20"/>
        <v>92.285586448029179</v>
      </c>
      <c r="BC59" s="4"/>
      <c r="BD59" s="176">
        <f t="shared" si="21"/>
        <v>20.064774938509888</v>
      </c>
      <c r="BE59" s="4"/>
      <c r="BF59" s="175">
        <f t="shared" si="10"/>
        <v>35.080717041086416</v>
      </c>
      <c r="BG59" s="4"/>
      <c r="BH59" s="179"/>
    </row>
    <row r="60" spans="2:60" ht="12">
      <c r="B60" s="3"/>
      <c r="C60" s="7">
        <f>+IF(C59&gt;$G$13+$G$14,XX,C59+1)</f>
        <v>2031</v>
      </c>
      <c r="D60" s="7"/>
      <c r="E60" s="311">
        <f t="shared" si="11"/>
        <v>2.5000000000000001E-2</v>
      </c>
      <c r="F60" s="7"/>
      <c r="G60" s="23">
        <f t="shared" si="12"/>
        <v>9239.3694826569736</v>
      </c>
      <c r="H60" s="7"/>
      <c r="I60" s="30">
        <f t="shared" si="13"/>
        <v>702.44752391508041</v>
      </c>
      <c r="J60" s="7"/>
      <c r="K60" s="30">
        <f t="shared" si="14"/>
        <v>0</v>
      </c>
      <c r="L60" s="7"/>
      <c r="M60" s="30">
        <f t="shared" si="15"/>
        <v>0</v>
      </c>
      <c r="N60" s="7"/>
      <c r="O60" s="314"/>
      <c r="P60" s="7"/>
      <c r="Q60" s="30"/>
      <c r="R60" s="7"/>
      <c r="S60" s="23">
        <v>0</v>
      </c>
      <c r="T60" s="7"/>
      <c r="U60" s="23">
        <f t="shared" si="5"/>
        <v>693.52693518081946</v>
      </c>
      <c r="V60" s="7"/>
      <c r="W60" s="23">
        <f t="shared" si="0"/>
        <v>-693.52693518081946</v>
      </c>
      <c r="X60" s="7"/>
      <c r="Y60" s="315">
        <f t="shared" si="6"/>
        <v>-75.062149693507152</v>
      </c>
      <c r="Z60" s="271"/>
      <c r="AB60" s="168">
        <f>+IF(AB59&gt;$G$13+$G$14,XX,AB59+1)</f>
        <v>2031</v>
      </c>
      <c r="AC60" s="138"/>
      <c r="AD60" s="173">
        <f t="shared" si="1"/>
        <v>9239.3694826569736</v>
      </c>
      <c r="AE60" s="4"/>
      <c r="AF60" s="176">
        <f t="shared" si="16"/>
        <v>110.12229790179384</v>
      </c>
      <c r="AG60" s="4"/>
      <c r="AH60" s="176">
        <f t="shared" si="17"/>
        <v>13.513469178714319</v>
      </c>
      <c r="AI60" s="4"/>
      <c r="AJ60" s="176">
        <f t="shared" si="18"/>
        <v>3.1568742206509697</v>
      </c>
      <c r="AK60" s="4"/>
      <c r="AL60" s="175">
        <f t="shared" si="7"/>
        <v>198.17347441263581</v>
      </c>
      <c r="AM60" s="4"/>
      <c r="AN60" s="176">
        <f>INDEX('(2.2)_Forward_Price_Curve'!$H:$H,MATCH($AB60,'(2.2)_Forward_Price_Curve'!$C:$C,0),1)</f>
        <v>7.1276569504330167</v>
      </c>
      <c r="AO60" s="4"/>
      <c r="AP60" s="176">
        <f t="shared" si="8"/>
        <v>51.060686841987284</v>
      </c>
      <c r="AQ60" s="4"/>
      <c r="AR60" s="176">
        <f t="shared" si="19"/>
        <v>6.4444488420667323</v>
      </c>
      <c r="AS60" s="176"/>
      <c r="AT60" s="175">
        <f t="shared" si="2"/>
        <v>162.21573944552225</v>
      </c>
      <c r="AU60" s="4"/>
      <c r="AV60" s="175">
        <f t="shared" si="3"/>
        <v>531.31119573529725</v>
      </c>
      <c r="AW60" s="318"/>
      <c r="AX60" s="177">
        <f t="shared" si="9"/>
        <v>693.52693518081946</v>
      </c>
      <c r="AZ60" s="168">
        <f>+IF(AZ59&gt;$G$13+$G$14,XX,AZ59+1)</f>
        <v>2031</v>
      </c>
      <c r="BA60" s="138"/>
      <c r="BB60" s="176">
        <f t="shared" si="20"/>
        <v>94.592726109229901</v>
      </c>
      <c r="BC60" s="4"/>
      <c r="BD60" s="176">
        <f t="shared" si="21"/>
        <v>20.566394311972633</v>
      </c>
      <c r="BE60" s="4"/>
      <c r="BF60" s="175">
        <f t="shared" si="10"/>
        <v>35.957734967113574</v>
      </c>
      <c r="BG60" s="4"/>
      <c r="BH60" s="179"/>
    </row>
    <row r="61" spans="2:60" ht="12">
      <c r="B61" s="3"/>
      <c r="C61" s="7">
        <f>+IF(C60&gt;$G$13+$G$14,XX,C60+1)</f>
        <v>2032</v>
      </c>
      <c r="D61" s="7"/>
      <c r="E61" s="311">
        <f t="shared" si="11"/>
        <v>2.5000000000000001E-2</v>
      </c>
      <c r="F61" s="7"/>
      <c r="G61" s="23">
        <f t="shared" si="12"/>
        <v>9239.3694826569736</v>
      </c>
      <c r="H61" s="7"/>
      <c r="I61" s="30">
        <f t="shared" si="13"/>
        <v>720.0087120129574</v>
      </c>
      <c r="J61" s="7"/>
      <c r="K61" s="30">
        <f t="shared" si="14"/>
        <v>0</v>
      </c>
      <c r="L61" s="7"/>
      <c r="M61" s="30">
        <f t="shared" si="15"/>
        <v>0</v>
      </c>
      <c r="N61" s="7"/>
      <c r="O61" s="314"/>
      <c r="P61" s="7"/>
      <c r="Q61" s="30"/>
      <c r="R61" s="7"/>
      <c r="S61" s="23">
        <v>0</v>
      </c>
      <c r="T61" s="7"/>
      <c r="U61" s="23">
        <f t="shared" si="5"/>
        <v>710.86510856033988</v>
      </c>
      <c r="V61" s="7"/>
      <c r="W61" s="23">
        <f t="shared" si="0"/>
        <v>-710.86510856033988</v>
      </c>
      <c r="X61" s="7"/>
      <c r="Y61" s="315">
        <f t="shared" si="6"/>
        <v>-76.938703435844829</v>
      </c>
      <c r="Z61" s="271"/>
      <c r="AB61" s="168">
        <f>+IF(AB60&gt;$G$13+$G$14,XX,AB60+1)</f>
        <v>2032</v>
      </c>
      <c r="AC61" s="138"/>
      <c r="AD61" s="173">
        <f t="shared" si="1"/>
        <v>9239.3694826569736</v>
      </c>
      <c r="AE61" s="4"/>
      <c r="AF61" s="176">
        <f t="shared" si="16"/>
        <v>112.87535534933868</v>
      </c>
      <c r="AG61" s="4"/>
      <c r="AH61" s="176">
        <f t="shared" si="17"/>
        <v>13.851305908182175</v>
      </c>
      <c r="AI61" s="4"/>
      <c r="AJ61" s="176">
        <f t="shared" si="18"/>
        <v>3.2357960761672437</v>
      </c>
      <c r="AK61" s="4"/>
      <c r="AL61" s="175">
        <f t="shared" si="7"/>
        <v>203.12781127295167</v>
      </c>
      <c r="AM61" s="4"/>
      <c r="AN61" s="176">
        <f>INDEX('(2.2)_Forward_Price_Curve'!$H:$H,MATCH($AB61,'(2.2)_Forward_Price_Curve'!$C:$C,0),1)</f>
        <v>7.3058483741938414</v>
      </c>
      <c r="AO61" s="4"/>
      <c r="AP61" s="176">
        <f t="shared" si="8"/>
        <v>52.337204013036967</v>
      </c>
      <c r="AQ61" s="4"/>
      <c r="AR61" s="176">
        <f t="shared" si="19"/>
        <v>6.6055600631183999</v>
      </c>
      <c r="AS61" s="176"/>
      <c r="AT61" s="175">
        <f t="shared" si="2"/>
        <v>166.27113293166025</v>
      </c>
      <c r="AU61" s="4"/>
      <c r="AV61" s="175">
        <f t="shared" si="3"/>
        <v>544.59397562867969</v>
      </c>
      <c r="AW61" s="318"/>
      <c r="AX61" s="177">
        <f t="shared" si="9"/>
        <v>710.86510856033988</v>
      </c>
      <c r="AZ61" s="168">
        <f>+IF(AZ60&gt;$G$13+$G$14,XX,AZ60+1)</f>
        <v>2032</v>
      </c>
      <c r="BA61" s="138"/>
      <c r="BB61" s="176">
        <f t="shared" si="20"/>
        <v>96.957544261960635</v>
      </c>
      <c r="BC61" s="4"/>
      <c r="BD61" s="176">
        <f t="shared" si="21"/>
        <v>21.080554169771947</v>
      </c>
      <c r="BE61" s="4"/>
      <c r="BF61" s="175">
        <f t="shared" si="10"/>
        <v>36.856678341291413</v>
      </c>
      <c r="BG61" s="4"/>
      <c r="BH61" s="179"/>
    </row>
    <row r="62" spans="2:60" ht="12">
      <c r="B62" s="3"/>
      <c r="C62" s="7">
        <f>+IF(C61&gt;$G$13+$G$14,XX,C61+1)</f>
        <v>2033</v>
      </c>
      <c r="D62" s="7"/>
      <c r="E62" s="311">
        <f t="shared" si="11"/>
        <v>2.5000000000000001E-2</v>
      </c>
      <c r="F62" s="7"/>
      <c r="G62" s="23">
        <f t="shared" si="12"/>
        <v>9239.3694826569736</v>
      </c>
      <c r="H62" s="7"/>
      <c r="I62" s="30">
        <f t="shared" si="13"/>
        <v>738.00892981328127</v>
      </c>
      <c r="J62" s="7"/>
      <c r="K62" s="30">
        <f t="shared" si="14"/>
        <v>0</v>
      </c>
      <c r="L62" s="7"/>
      <c r="M62" s="30">
        <f t="shared" si="15"/>
        <v>0</v>
      </c>
      <c r="N62" s="7"/>
      <c r="O62" s="314"/>
      <c r="P62" s="7"/>
      <c r="Q62" s="30"/>
      <c r="R62" s="7"/>
      <c r="S62" s="23">
        <v>0</v>
      </c>
      <c r="T62" s="7"/>
      <c r="U62" s="23">
        <f t="shared" si="5"/>
        <v>728.63673627434832</v>
      </c>
      <c r="V62" s="7"/>
      <c r="W62" s="23">
        <f t="shared" si="0"/>
        <v>-728.63673627434832</v>
      </c>
      <c r="X62" s="7"/>
      <c r="Y62" s="315">
        <f t="shared" si="6"/>
        <v>-78.862171021740934</v>
      </c>
      <c r="Z62" s="271"/>
      <c r="AB62" s="168">
        <f>+IF(AB61&gt;$G$13+$G$14,XX,AB61+1)</f>
        <v>2033</v>
      </c>
      <c r="AC62" s="138"/>
      <c r="AD62" s="173">
        <f t="shared" si="1"/>
        <v>9239.3694826569736</v>
      </c>
      <c r="AE62" s="4"/>
      <c r="AF62" s="176">
        <f t="shared" si="16"/>
        <v>115.69723923307214</v>
      </c>
      <c r="AG62" s="4"/>
      <c r="AH62" s="176">
        <f t="shared" si="17"/>
        <v>14.197588555886728</v>
      </c>
      <c r="AI62" s="4"/>
      <c r="AJ62" s="176">
        <f t="shared" si="18"/>
        <v>3.3166909780714247</v>
      </c>
      <c r="AK62" s="4"/>
      <c r="AL62" s="175">
        <f t="shared" si="7"/>
        <v>208.20600655477548</v>
      </c>
      <c r="AM62" s="4"/>
      <c r="AN62" s="176">
        <f>INDEX('(2.2)_Forward_Price_Curve'!$H:$H,MATCH($AB62,'(2.2)_Forward_Price_Curve'!$C:$C,0),1)</f>
        <v>7.4884945835486869</v>
      </c>
      <c r="AO62" s="4"/>
      <c r="AP62" s="176">
        <f t="shared" si="8"/>
        <v>53.645634113362881</v>
      </c>
      <c r="AQ62" s="4"/>
      <c r="AR62" s="176">
        <f t="shared" si="19"/>
        <v>6.770699064696359</v>
      </c>
      <c r="AS62" s="176"/>
      <c r="AT62" s="175">
        <f t="shared" si="2"/>
        <v>170.42791125495179</v>
      </c>
      <c r="AU62" s="4"/>
      <c r="AV62" s="175">
        <f t="shared" si="3"/>
        <v>558.2088250193965</v>
      </c>
      <c r="AW62" s="318"/>
      <c r="AX62" s="177">
        <f t="shared" si="9"/>
        <v>728.63673627434832</v>
      </c>
      <c r="AZ62" s="168">
        <f>+IF(AZ61&gt;$G$13+$G$14,XX,AZ61+1)</f>
        <v>2033</v>
      </c>
      <c r="BA62" s="138"/>
      <c r="BB62" s="176">
        <f t="shared" si="20"/>
        <v>99.381482868509636</v>
      </c>
      <c r="BC62" s="4"/>
      <c r="BD62" s="176">
        <f t="shared" si="21"/>
        <v>21.607568024016242</v>
      </c>
      <c r="BE62" s="4"/>
      <c r="BF62" s="175">
        <f t="shared" si="10"/>
        <v>37.77809529982369</v>
      </c>
      <c r="BG62" s="4"/>
      <c r="BH62" s="179"/>
    </row>
    <row r="63" spans="2:60" ht="12">
      <c r="B63" s="3"/>
      <c r="C63" s="7"/>
      <c r="D63" s="7"/>
      <c r="E63" s="311"/>
      <c r="F63" s="7"/>
      <c r="G63" s="23"/>
      <c r="H63" s="7"/>
      <c r="I63" s="30"/>
      <c r="J63" s="7"/>
      <c r="K63" s="30"/>
      <c r="L63" s="7"/>
      <c r="M63" s="30"/>
      <c r="N63" s="7"/>
      <c r="O63" s="314"/>
      <c r="P63" s="7"/>
      <c r="Q63" s="30"/>
      <c r="R63" s="7"/>
      <c r="S63" s="23"/>
      <c r="T63" s="7"/>
      <c r="U63" s="23"/>
      <c r="V63" s="7"/>
      <c r="W63" s="23"/>
      <c r="X63" s="7"/>
      <c r="Y63" s="315"/>
      <c r="Z63" s="271"/>
      <c r="AB63" s="168"/>
      <c r="AC63" s="138"/>
      <c r="AD63" s="173"/>
      <c r="AE63" s="4"/>
      <c r="AF63" s="176"/>
      <c r="AG63" s="4"/>
      <c r="AH63" s="176"/>
      <c r="AI63" s="4"/>
      <c r="AJ63" s="176"/>
      <c r="AK63" s="4"/>
      <c r="AL63" s="175"/>
      <c r="AM63" s="4"/>
      <c r="AN63" s="176"/>
      <c r="AO63" s="4"/>
      <c r="AP63" s="176"/>
      <c r="AQ63" s="4"/>
      <c r="AR63" s="176"/>
      <c r="AS63" s="176"/>
      <c r="AT63" s="175"/>
      <c r="AU63" s="4"/>
      <c r="AV63" s="175"/>
      <c r="AW63" s="318"/>
      <c r="AX63" s="177"/>
      <c r="AZ63" s="168"/>
      <c r="BA63" s="138"/>
      <c r="BB63" s="176"/>
      <c r="BC63" s="4"/>
      <c r="BD63" s="176"/>
      <c r="BE63" s="4"/>
      <c r="BF63" s="175"/>
      <c r="BG63" s="4"/>
      <c r="BH63" s="179"/>
    </row>
    <row r="64" spans="2:60">
      <c r="B64" s="3"/>
      <c r="C64" s="7"/>
      <c r="D64" s="4"/>
      <c r="E64" s="192"/>
      <c r="F64" s="4"/>
      <c r="G64" s="309"/>
      <c r="H64" s="4"/>
      <c r="I64" s="309"/>
      <c r="J64" s="4"/>
      <c r="K64" s="309"/>
      <c r="L64" s="4"/>
      <c r="M64" s="309"/>
      <c r="N64" s="4"/>
      <c r="O64" s="309"/>
      <c r="P64" s="4"/>
      <c r="Q64" s="309"/>
      <c r="R64" s="4"/>
      <c r="S64" s="309"/>
      <c r="T64" s="4"/>
      <c r="U64" s="309"/>
      <c r="V64" s="4"/>
      <c r="W64" s="309"/>
      <c r="X64" s="4"/>
      <c r="Y64" s="319"/>
      <c r="Z64" s="271"/>
      <c r="AB64" s="3"/>
      <c r="AC64" s="4"/>
      <c r="AD64" s="4"/>
      <c r="AE64" s="4"/>
      <c r="AF64" s="320"/>
      <c r="AG64" s="4"/>
      <c r="AH64" s="320"/>
      <c r="AI64" s="4"/>
      <c r="AJ64" s="320"/>
      <c r="AK64" s="4"/>
      <c r="AL64" s="318"/>
      <c r="AM64" s="4"/>
      <c r="AN64" s="320"/>
      <c r="AO64" s="4"/>
      <c r="AP64" s="320"/>
      <c r="AQ64" s="4"/>
      <c r="AR64" s="320"/>
      <c r="AS64" s="320"/>
      <c r="AT64" s="320"/>
      <c r="AU64" s="4"/>
      <c r="AV64" s="318"/>
      <c r="AW64" s="318"/>
      <c r="AX64" s="321"/>
      <c r="AZ64" s="3"/>
      <c r="BA64" s="4"/>
      <c r="BB64" s="320"/>
      <c r="BC64" s="4"/>
      <c r="BD64" s="4"/>
      <c r="BE64" s="4"/>
      <c r="BF64" s="318"/>
      <c r="BG64" s="4"/>
      <c r="BH64" s="271"/>
    </row>
    <row r="65" spans="2:60">
      <c r="B65" s="3"/>
      <c r="C65" s="7"/>
      <c r="D65" s="4"/>
      <c r="E65" s="192"/>
      <c r="F65" s="4"/>
      <c r="G65" s="309"/>
      <c r="H65" s="4"/>
      <c r="I65" s="309"/>
      <c r="J65" s="4"/>
      <c r="K65" s="309"/>
      <c r="L65" s="4"/>
      <c r="M65" s="309"/>
      <c r="N65" s="4"/>
      <c r="O65" s="309"/>
      <c r="P65" s="4"/>
      <c r="Q65" s="309"/>
      <c r="R65" s="4"/>
      <c r="S65" s="309"/>
      <c r="T65" s="4"/>
      <c r="U65" s="309"/>
      <c r="V65" s="4"/>
      <c r="W65" s="309"/>
      <c r="X65" s="4"/>
      <c r="Y65" s="319"/>
      <c r="Z65" s="271"/>
      <c r="AB65" s="3"/>
      <c r="AC65" s="4"/>
      <c r="AD65" s="4"/>
      <c r="AE65" s="4"/>
      <c r="AF65" s="320"/>
      <c r="AG65" s="4"/>
      <c r="AH65" s="320"/>
      <c r="AI65" s="4"/>
      <c r="AJ65" s="320"/>
      <c r="AK65" s="4"/>
      <c r="AL65" s="318"/>
      <c r="AM65" s="4"/>
      <c r="AN65" s="320"/>
      <c r="AO65" s="4"/>
      <c r="AP65" s="320"/>
      <c r="AQ65" s="4"/>
      <c r="AR65" s="320"/>
      <c r="AS65" s="320"/>
      <c r="AT65" s="320"/>
      <c r="AU65" s="4"/>
      <c r="AV65" s="318"/>
      <c r="AW65" s="318"/>
      <c r="AX65" s="321"/>
      <c r="AZ65" s="3"/>
      <c r="BA65" s="4"/>
      <c r="BB65" s="320"/>
      <c r="BC65" s="4"/>
      <c r="BD65" s="4"/>
      <c r="BE65" s="4"/>
      <c r="BF65" s="318"/>
      <c r="BG65" s="4"/>
      <c r="BH65" s="271"/>
    </row>
    <row r="66" spans="2:60" ht="12">
      <c r="B66" s="3"/>
      <c r="C66" s="322" t="str">
        <f>G14&amp;"-year Nominal Levelized at "&amp;TEXT($G$18,"#.00%")</f>
        <v>39-year Nominal Levelized at 7.82%</v>
      </c>
      <c r="E66" s="192"/>
      <c r="F66" s="4"/>
      <c r="G66" s="23">
        <f>+-PMT($G$18,$G$14,NPV($G$18,G28:G62))</f>
        <v>9057.4425184090578</v>
      </c>
      <c r="H66" s="7"/>
      <c r="I66" s="30">
        <f>+-PMT($G$18,$G$14,NPV($G$18,I28:I62))</f>
        <v>410.59593175635945</v>
      </c>
      <c r="J66" s="30"/>
      <c r="K66" s="30">
        <f>+-PMT($G$18,$G$14,NPV($G$18,K28:K62))</f>
        <v>0</v>
      </c>
      <c r="L66" s="7"/>
      <c r="M66" s="30">
        <f>+-PMT($G$18,$G$14,NPV($G$18,M28:M62))</f>
        <v>0</v>
      </c>
      <c r="N66" s="7"/>
      <c r="O66" s="30">
        <f>+-PMT($G$18,$G$14,NPV($G$18,O28:O62))</f>
        <v>0</v>
      </c>
      <c r="P66" s="7"/>
      <c r="Q66" s="30">
        <f>+-PMT($G$18,$G$14,NPV($G$18,Q28:Q62))</f>
        <v>0</v>
      </c>
      <c r="R66" s="7"/>
      <c r="S66" s="23">
        <f>+-PMT($G$18,$G$14,NPV($G$18,S28:S62))</f>
        <v>39.061852998687137</v>
      </c>
      <c r="T66" s="7"/>
      <c r="U66" s="23">
        <f>+-PMT($G$18,$G$14,NPV($G$18,U28:U62))</f>
        <v>411.16375667828771</v>
      </c>
      <c r="V66" s="4"/>
      <c r="W66" s="23">
        <f>+-PMT($G$18,$G$14,NPV($G$18,W28:W62))</f>
        <v>-372.10190367960053</v>
      </c>
      <c r="X66" s="4"/>
      <c r="Y66" s="315">
        <f>+-PMT($G$18,$G$14,NPV($G$18,Y28:Y62))</f>
        <v>-40.273516972999651</v>
      </c>
      <c r="Z66" s="271"/>
      <c r="AB66" s="3"/>
      <c r="AC66" s="4"/>
      <c r="AD66" s="173">
        <f>+-PMT($G$18,$G$14,NPV($G$18,AD28:AD62))</f>
        <v>9057.4425184090578</v>
      </c>
      <c r="AE66" s="4"/>
      <c r="AF66" s="176">
        <f>+-PMT($G$18,$G$14,NPV($G$18,AF28:AF62))</f>
        <v>64.368890165814861</v>
      </c>
      <c r="AG66" s="4"/>
      <c r="AH66" s="176">
        <f>+-PMT($G$18,$G$14,NPV($G$18,AH28:AH62))</f>
        <v>7.898918111021521</v>
      </c>
      <c r="AI66" s="4"/>
      <c r="AJ66" s="176">
        <f>+-PMT($G$18,$G$14,NPV($G$18,AJ28:AJ62))</f>
        <v>1.8452619846126967</v>
      </c>
      <c r="AK66" s="4"/>
      <c r="AL66" s="175">
        <f>+-PMT($G$18,$G$14,NPV($G$18,AL28:AL62))</f>
        <v>115.83672745024589</v>
      </c>
      <c r="AM66" s="4"/>
      <c r="AN66" s="176">
        <f>+-PMT($G$18,$G$14,NPV($G$18,AN28:AN62))</f>
        <v>4.2536294882824546</v>
      </c>
      <c r="AO66" s="4"/>
      <c r="AP66" s="176">
        <f>+-PMT($G$18,$G$14,NPV($G$18,AP28:AP62))</f>
        <v>30.471899076152688</v>
      </c>
      <c r="AQ66" s="4"/>
      <c r="AR66" s="176">
        <f>+-PMT($G$18,$G$14,NPV($G$18,AR28:AR62))</f>
        <v>3.7669212103087548</v>
      </c>
      <c r="AS66" s="176"/>
      <c r="AT66" s="175">
        <f>+-PMT($G$18,$G$14,NPV($G$18,AT28:AT62))</f>
        <v>94.81864540137947</v>
      </c>
      <c r="AU66" s="4"/>
      <c r="AV66" s="175">
        <f>+-PMT($G$18,$G$14,NPV($G$18,AV28:AV62))</f>
        <v>316.34511127690826</v>
      </c>
      <c r="AW66" s="318"/>
      <c r="AX66" s="177">
        <f>+-PMT($G$18,$G$14,NPV($G$18,AX28:AX62))</f>
        <v>411.16375667828771</v>
      </c>
      <c r="AZ66" s="3"/>
      <c r="BA66" s="4"/>
      <c r="BB66" s="176">
        <f>+-PMT($G$18,$G$14,NPV($G$18,BB28:BB62))</f>
        <v>55.291516009228189</v>
      </c>
      <c r="BC66" s="4"/>
      <c r="BD66" s="176">
        <f>+-PMT($G$18,$G$14,NPV($G$18,BD28:BD62))</f>
        <v>12.021507013545904</v>
      </c>
      <c r="BE66" s="4"/>
      <c r="BF66" s="175">
        <f>+-PMT($G$18,$G$14,NPV($G$18,BF28:BF62))</f>
        <v>21.018082048866439</v>
      </c>
      <c r="BG66" s="4"/>
      <c r="BH66" s="179"/>
    </row>
    <row r="67" spans="2:60">
      <c r="B67" s="3"/>
      <c r="C67" s="4"/>
      <c r="D67" s="4"/>
      <c r="E67" s="19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23"/>
      <c r="X67" s="4"/>
      <c r="Y67" s="324"/>
      <c r="Z67" s="271"/>
      <c r="AB67" s="3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318"/>
      <c r="AU67" s="4"/>
      <c r="AV67" s="4"/>
      <c r="AW67" s="4"/>
      <c r="AX67" s="271"/>
      <c r="AZ67" s="3"/>
      <c r="BA67" s="4"/>
      <c r="BB67" s="4"/>
      <c r="BC67" s="4"/>
      <c r="BD67" s="4"/>
      <c r="BE67" s="4"/>
      <c r="BF67" s="4"/>
      <c r="BG67" s="4"/>
      <c r="BH67" s="271"/>
    </row>
    <row r="68" spans="2:60">
      <c r="B68" s="275"/>
      <c r="C68" s="325"/>
      <c r="D68" s="325"/>
      <c r="E68" s="326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278"/>
      <c r="AB68" s="27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278"/>
      <c r="AZ68" s="275"/>
      <c r="BA68" s="325"/>
      <c r="BB68" s="325"/>
      <c r="BC68" s="325"/>
      <c r="BD68" s="325"/>
      <c r="BE68" s="325"/>
      <c r="BF68" s="325"/>
      <c r="BG68" s="325"/>
      <c r="BH68" s="278"/>
    </row>
    <row r="69" spans="2:60">
      <c r="E69" s="327"/>
    </row>
    <row r="70" spans="2:60">
      <c r="E70" s="327"/>
      <c r="G70" s="328"/>
      <c r="I70" s="328"/>
      <c r="K70" s="328"/>
      <c r="O70" s="328"/>
      <c r="Q70" s="328"/>
      <c r="S70" s="328"/>
      <c r="U70" s="328"/>
      <c r="W70" s="328"/>
    </row>
    <row r="71" spans="2:60">
      <c r="E71" s="327"/>
    </row>
    <row r="72" spans="2:60">
      <c r="E72" s="327"/>
    </row>
    <row r="73" spans="2:60">
      <c r="E73" s="327"/>
    </row>
    <row r="74" spans="2:60">
      <c r="E74" s="327"/>
    </row>
    <row r="75" spans="2:60">
      <c r="E75" s="327"/>
    </row>
    <row r="76" spans="2:60">
      <c r="E76" s="327"/>
    </row>
    <row r="77" spans="2:60">
      <c r="E77" s="327"/>
    </row>
    <row r="78" spans="2:60">
      <c r="E78" s="327"/>
    </row>
    <row r="79" spans="2:60">
      <c r="E79" s="327"/>
    </row>
    <row r="80" spans="2:60">
      <c r="E80" s="327"/>
    </row>
    <row r="81" spans="5:5">
      <c r="E81" s="327"/>
    </row>
    <row r="82" spans="5:5">
      <c r="E82" s="327"/>
    </row>
    <row r="83" spans="5:5">
      <c r="E83" s="327"/>
    </row>
    <row r="84" spans="5:5">
      <c r="E84" s="327"/>
    </row>
    <row r="85" spans="5:5">
      <c r="E85" s="327"/>
    </row>
    <row r="86" spans="5:5">
      <c r="E86" s="327"/>
    </row>
    <row r="87" spans="5:5">
      <c r="E87" s="327"/>
    </row>
    <row r="88" spans="5:5">
      <c r="E88" s="327"/>
    </row>
    <row r="89" spans="5:5">
      <c r="E89" s="327"/>
    </row>
    <row r="90" spans="5:5">
      <c r="E90" s="327"/>
    </row>
    <row r="91" spans="5:5">
      <c r="E91" s="327"/>
    </row>
    <row r="92" spans="5:5">
      <c r="E92" s="327"/>
    </row>
  </sheetData>
  <pageMargins left="0.25" right="0.25" top="0.25" bottom="0.75" header="0.3" footer="0.3"/>
  <pageSetup paperSize="5" scale="4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B6" sqref="B6"/>
    </sheetView>
  </sheetViews>
  <sheetFormatPr defaultRowHeight="11.25"/>
  <cols>
    <col min="1" max="1" width="4.6640625" customWidth="1"/>
    <col min="2" max="2" width="16.5" style="339" customWidth="1"/>
    <col min="3" max="3" width="2.83203125" style="340" customWidth="1"/>
    <col min="4" max="4" width="15.1640625" style="339" customWidth="1"/>
    <col min="5" max="5" width="2.6640625" style="340" customWidth="1"/>
    <col min="6" max="6" width="15.1640625" style="339" customWidth="1"/>
    <col min="7" max="7" width="2.33203125" style="340" customWidth="1"/>
    <col min="8" max="8" width="15.1640625" style="339" customWidth="1"/>
    <col min="9" max="9" width="2.5" style="340" customWidth="1"/>
    <col min="10" max="10" width="15.1640625" style="308" customWidth="1"/>
    <col min="11" max="11" width="2.6640625" style="308" customWidth="1"/>
    <col min="12" max="12" width="21.33203125" style="339" customWidth="1"/>
    <col min="13" max="14" width="14" customWidth="1"/>
    <col min="15" max="15" width="11.5" customWidth="1"/>
  </cols>
  <sheetData>
    <row r="1" spans="1:12" s="6" customFormat="1">
      <c r="A1" s="290" t="s">
        <v>0</v>
      </c>
      <c r="B1" s="363"/>
      <c r="C1" s="364"/>
      <c r="D1" s="363"/>
      <c r="E1" s="366"/>
      <c r="F1" s="363"/>
      <c r="G1" s="366"/>
      <c r="H1" s="363"/>
      <c r="I1" s="366"/>
      <c r="J1" s="364"/>
      <c r="K1" s="364"/>
      <c r="L1" s="363"/>
    </row>
    <row r="2" spans="1:12" s="6" customFormat="1">
      <c r="A2" s="290" t="s">
        <v>274</v>
      </c>
      <c r="B2" s="363"/>
      <c r="C2" s="364"/>
      <c r="D2" s="363"/>
      <c r="E2" s="365"/>
      <c r="F2" s="363"/>
      <c r="G2" s="365"/>
      <c r="H2" s="363"/>
      <c r="I2" s="365"/>
      <c r="J2" s="364"/>
      <c r="K2" s="364"/>
      <c r="L2" s="363"/>
    </row>
    <row r="3" spans="1:12" s="6" customFormat="1">
      <c r="A3" s="290" t="s">
        <v>1</v>
      </c>
      <c r="B3" s="363"/>
      <c r="C3" s="364"/>
      <c r="D3" s="363"/>
      <c r="E3" s="364"/>
      <c r="F3" s="363"/>
      <c r="G3" s="364"/>
      <c r="H3" s="363"/>
      <c r="I3" s="364"/>
      <c r="J3" s="364"/>
      <c r="K3" s="364"/>
      <c r="L3" s="363"/>
    </row>
    <row r="4" spans="1:12" s="6" customFormat="1">
      <c r="A4" s="290"/>
      <c r="B4" s="363"/>
      <c r="C4" s="364"/>
      <c r="D4" s="363"/>
      <c r="E4" s="364"/>
      <c r="F4" s="363"/>
      <c r="G4" s="364"/>
      <c r="H4" s="363"/>
      <c r="I4" s="364"/>
      <c r="J4" s="364"/>
      <c r="K4" s="364"/>
      <c r="L4" s="363"/>
    </row>
    <row r="5" spans="1:12" s="6" customFormat="1">
      <c r="A5" s="290" t="s">
        <v>241</v>
      </c>
      <c r="B5" s="363"/>
      <c r="C5" s="364"/>
      <c r="D5" s="363"/>
      <c r="E5" s="364"/>
      <c r="F5" s="363"/>
      <c r="G5" s="364"/>
      <c r="H5" s="363"/>
      <c r="I5" s="364"/>
      <c r="J5" s="364"/>
      <c r="K5" s="364"/>
      <c r="L5" s="363"/>
    </row>
    <row r="6" spans="1:12">
      <c r="A6" s="157"/>
      <c r="B6" s="362"/>
      <c r="C6" s="308"/>
      <c r="D6" s="362"/>
      <c r="E6" s="308"/>
      <c r="F6" s="362"/>
      <c r="G6" s="308"/>
      <c r="H6" s="362"/>
      <c r="I6" s="308"/>
      <c r="L6" s="362"/>
    </row>
    <row r="8" spans="1:12">
      <c r="B8" s="548" t="s">
        <v>240</v>
      </c>
      <c r="C8" s="549"/>
      <c r="D8" s="549"/>
      <c r="E8" s="549"/>
      <c r="F8" s="549"/>
      <c r="G8" s="549"/>
      <c r="H8" s="549"/>
      <c r="I8" s="549"/>
      <c r="J8" s="549"/>
      <c r="K8" s="549"/>
      <c r="L8" s="550"/>
    </row>
    <row r="9" spans="1:12">
      <c r="B9" s="361" t="s">
        <v>239</v>
      </c>
      <c r="C9" s="360"/>
      <c r="D9" s="36" t="s">
        <v>17</v>
      </c>
      <c r="E9" s="359"/>
      <c r="F9" s="36" t="s">
        <v>18</v>
      </c>
      <c r="G9" s="359"/>
      <c r="H9" s="36" t="s">
        <v>34</v>
      </c>
      <c r="I9" s="359"/>
      <c r="J9" s="36" t="s">
        <v>21</v>
      </c>
      <c r="K9" s="359"/>
      <c r="L9" s="358" t="s">
        <v>238</v>
      </c>
    </row>
    <row r="10" spans="1:12">
      <c r="B10" s="357"/>
      <c r="C10" s="134"/>
      <c r="D10" s="18" t="str">
        <f>"(3.1)"</f>
        <v>(3.1)</v>
      </c>
      <c r="E10" s="134"/>
      <c r="F10" s="18" t="str">
        <f>"(3.4)"</f>
        <v>(3.4)</v>
      </c>
      <c r="G10" s="134"/>
      <c r="H10" s="18" t="str">
        <f>"(3.2)"</f>
        <v>(3.2)</v>
      </c>
      <c r="I10" s="134"/>
      <c r="J10" s="18" t="str">
        <f>"(3.3)"</f>
        <v>(3.3)</v>
      </c>
      <c r="K10" s="134"/>
      <c r="L10" s="356"/>
    </row>
    <row r="11" spans="1:12" ht="6" customHeight="1">
      <c r="B11" s="355"/>
      <c r="C11" s="353"/>
      <c r="D11" s="354"/>
      <c r="E11" s="353"/>
      <c r="F11" s="354"/>
      <c r="G11" s="353"/>
      <c r="H11" s="354"/>
      <c r="I11" s="353"/>
      <c r="J11" s="354"/>
      <c r="K11" s="353"/>
      <c r="L11" s="349"/>
    </row>
    <row r="12" spans="1:12" ht="15.75" customHeight="1">
      <c r="B12" s="352" t="s">
        <v>237</v>
      </c>
      <c r="C12" s="351"/>
      <c r="D12" s="350">
        <f>'(1.2)_Lvl_Resource_Cost'!E20</f>
        <v>14.131675601963146</v>
      </c>
      <c r="E12" s="350"/>
      <c r="F12" s="350">
        <f>'(1.2)_Lvl_Resource_Cost'!K20</f>
        <v>3.5839563567065311</v>
      </c>
      <c r="G12" s="350"/>
      <c r="H12" s="350">
        <f>'(1.2)_Lvl_Resource_Cost'!G20</f>
        <v>6.4704515517312311</v>
      </c>
      <c r="I12" s="350"/>
      <c r="J12" s="350">
        <f>'(1.2)_Lvl_Resource_Cost'!I20</f>
        <v>12.106425175599828</v>
      </c>
      <c r="K12" s="350"/>
      <c r="L12" s="349"/>
    </row>
    <row r="13" spans="1:12" ht="15.75" customHeight="1">
      <c r="B13" s="347" t="s">
        <v>261</v>
      </c>
      <c r="C13" s="346"/>
      <c r="D13" s="345">
        <v>18292</v>
      </c>
      <c r="E13" s="345"/>
      <c r="F13" s="345">
        <v>16552</v>
      </c>
      <c r="G13" s="345"/>
      <c r="H13" s="345">
        <v>29087</v>
      </c>
      <c r="I13" s="345"/>
      <c r="J13" s="345">
        <v>13918</v>
      </c>
      <c r="K13" s="345"/>
      <c r="L13" s="348"/>
    </row>
    <row r="14" spans="1:12" ht="15.75" customHeight="1">
      <c r="B14" s="347" t="s">
        <v>254</v>
      </c>
      <c r="C14" s="346"/>
      <c r="D14" s="345">
        <v>20393</v>
      </c>
      <c r="E14" s="345"/>
      <c r="F14" s="345">
        <v>22980</v>
      </c>
      <c r="G14" s="345"/>
      <c r="H14" s="345">
        <v>29659</v>
      </c>
      <c r="I14" s="345"/>
      <c r="J14" s="345">
        <v>13008</v>
      </c>
      <c r="K14" s="345"/>
      <c r="L14" s="344"/>
    </row>
    <row r="15" spans="1:12" ht="15.75" customHeight="1">
      <c r="B15" s="347" t="s">
        <v>236</v>
      </c>
      <c r="C15" s="346"/>
      <c r="D15" s="345">
        <f>SUM(D13:D14)</f>
        <v>38685</v>
      </c>
      <c r="E15" s="345"/>
      <c r="F15" s="345">
        <f>SUM(F13:F14)</f>
        <v>39532</v>
      </c>
      <c r="G15" s="345"/>
      <c r="H15" s="345">
        <f>SUM(H13:H14)</f>
        <v>58746</v>
      </c>
      <c r="I15" s="345"/>
      <c r="J15" s="345">
        <f>SUM(J13:J14)</f>
        <v>26926</v>
      </c>
      <c r="K15" s="345"/>
      <c r="L15" s="344">
        <f>SUMPRODUCT(D12:J12, D15:J15)/SUM(D15:J15)</f>
        <v>8.5085367809399699</v>
      </c>
    </row>
    <row r="16" spans="1:12" ht="6" customHeight="1">
      <c r="B16" s="343"/>
      <c r="C16" s="342"/>
      <c r="D16" s="342"/>
      <c r="E16" s="342"/>
      <c r="F16" s="342"/>
      <c r="G16" s="342"/>
      <c r="H16" s="342"/>
      <c r="I16" s="342"/>
      <c r="J16" s="342"/>
      <c r="K16" s="342"/>
      <c r="L16" s="341"/>
    </row>
    <row r="18" spans="2:2">
      <c r="B18" s="436" t="s">
        <v>262</v>
      </c>
    </row>
  </sheetData>
  <mergeCells count="1">
    <mergeCell ref="B8:L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D699D3C8F0A049861D67C7CCC54673" ma:contentTypeVersion="56" ma:contentTypeDescription="" ma:contentTypeScope="" ma:versionID="97dfb996c56969ee147f53f5277fae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2019-08-23T07:00:00+00:00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190448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72BF3D-34EA-4BD1-A774-753DF9871D8B}"/>
</file>

<file path=customXml/itemProps2.xml><?xml version="1.0" encoding="utf-8"?>
<ds:datastoreItem xmlns:ds="http://schemas.openxmlformats.org/officeDocument/2006/customXml" ds:itemID="{4C496343-B360-4ED1-9F21-F7506B32F4B8}"/>
</file>

<file path=customXml/itemProps3.xml><?xml version="1.0" encoding="utf-8"?>
<ds:datastoreItem xmlns:ds="http://schemas.openxmlformats.org/officeDocument/2006/customXml" ds:itemID="{7D1DB701-4142-4E6C-BFA4-E991070F5E89}"/>
</file>

<file path=customXml/itemProps4.xml><?xml version="1.0" encoding="utf-8"?>
<ds:datastoreItem xmlns:ds="http://schemas.openxmlformats.org/officeDocument/2006/customXml" ds:itemID="{8EF7CDD3-3401-421C-B01F-519B538E4C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Workpaper Index</vt:lpstr>
      <vt:lpstr>(1.1)_Summary</vt:lpstr>
      <vt:lpstr>(1.2)_Lvl_Resource_Cost</vt:lpstr>
      <vt:lpstr>(2.1)_Resources</vt:lpstr>
      <vt:lpstr>(2.2)_Forward_Price_Curve</vt:lpstr>
      <vt:lpstr>(3.1)_Goodnoe_Hills</vt:lpstr>
      <vt:lpstr>(3.2)_Marengo</vt:lpstr>
      <vt:lpstr>(3.3)_Marengo 2</vt:lpstr>
      <vt:lpstr>(3.4)_Leaning Juniper</vt:lpstr>
      <vt:lpstr>(3.5)_Lemolo 1 (2003IRP)</vt:lpstr>
      <vt:lpstr>(3.6)_Lemolo 2 (2008 IRP)</vt:lpstr>
      <vt:lpstr>(3.7)_JC Boyle (2004 IRP)</vt:lpstr>
      <vt:lpstr>(3.8)_Prospect 2 (2003 IRP)</vt:lpstr>
      <vt:lpstr>(3.9)_WCA Wind Weighted Average</vt:lpstr>
      <vt:lpstr>'(2.1)_Resources'!Print_Area</vt:lpstr>
      <vt:lpstr>'(2.2)_Forward_Price_Curve'!Print_Area</vt:lpstr>
      <vt:lpstr>'(2.2)_Forward_Price_Curve'!Print_Titles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Kishore, Pooja</dc:creator>
  <cp:lastModifiedBy>Zahnow, Jessica</cp:lastModifiedBy>
  <dcterms:created xsi:type="dcterms:W3CDTF">2015-05-22T20:59:26Z</dcterms:created>
  <dcterms:modified xsi:type="dcterms:W3CDTF">2019-08-21T19:27:27Z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0x0101006E56B4D1795A2E4DB2F0B01679ED314A009BD699D3C8F0A049861D67C7CCC54673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