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45" windowWidth="13290" windowHeight="7455" activeTab="0"/>
  </bookViews>
  <sheets>
    <sheet name="Target Calculator" sheetId="1" r:id="rId1"/>
    <sheet name="Budget Estimator" sheetId="2" r:id="rId2"/>
    <sheet name="Data Base and Calculations" sheetId="3" r:id="rId3"/>
    <sheet name="EIA Source data" sheetId="4" r:id="rId4"/>
  </sheets>
  <definedNames>
    <definedName name="PNWSales_Com">'Data Base and Calculations'!$E$191</definedName>
    <definedName name="PNWSales_Ind">'Data Base and Calculations'!$F$195</definedName>
    <definedName name="PNWSales_Ind_Agr">'Data Base and Calculations'!$F$191</definedName>
    <definedName name="PNWSales_Irrg">'Data Base and Calculations'!$F$196</definedName>
    <definedName name="PNWSales_Res">'Data Base and Calculations'!$D$191</definedName>
    <definedName name="PNWSales_Total">'Data Base and Calculations'!$G$191</definedName>
    <definedName name="Sale_TargetData">'Data Base and Calculations'!$A$34:$AC$188</definedName>
    <definedName name="Share_Com">'Data Base and Calculations'!$F$4</definedName>
    <definedName name="Share_Ind_Agr">'Data Base and Calculations'!$G$4</definedName>
    <definedName name="Share_Non_Ind">'Data Base and Calculations'!$H$5</definedName>
    <definedName name="Share_Res">'Data Base and Calculations'!$E$4</definedName>
    <definedName name="Share_Total">'Data Base and Calculations'!$H$4</definedName>
    <definedName name="solver_adj" localSheetId="0" hidden="1">'Target Calculator'!#REF!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'Target Calculator'!#REF!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191</definedName>
  </definedNames>
  <calcPr fullCalcOnLoad="1"/>
</workbook>
</file>

<file path=xl/comments2.xml><?xml version="1.0" encoding="utf-8"?>
<comments xmlns="http://schemas.openxmlformats.org/spreadsheetml/2006/main">
  <authors>
    <author>Tom Eckman</author>
  </authors>
  <commentList>
    <comment ref="B4" authorId="0">
      <text>
        <r>
          <rPr>
            <b/>
            <sz val="8"/>
            <rFont val="Tahoma"/>
            <family val="0"/>
          </rPr>
          <t>Tom Eckman:</t>
        </r>
        <r>
          <rPr>
            <sz val="8"/>
            <rFont val="Tahoma"/>
            <family val="0"/>
          </rPr>
          <t xml:space="preserve">
Default values based on 2006 program reports to RTF for non-BPA funded savings</t>
        </r>
      </text>
    </comment>
  </commentList>
</comments>
</file>

<file path=xl/sharedStrings.xml><?xml version="1.0" encoding="utf-8"?>
<sst xmlns="http://schemas.openxmlformats.org/spreadsheetml/2006/main" count="520" uniqueCount="239">
  <si>
    <t>Year</t>
  </si>
  <si>
    <t>Residential</t>
  </si>
  <si>
    <t>Commercial</t>
  </si>
  <si>
    <t>Industrial</t>
  </si>
  <si>
    <t>Sector/Resource Type</t>
  </si>
  <si>
    <t>Commercial - Non Lost Opportunity</t>
  </si>
  <si>
    <t>Residential - Non Lost Opportunity</t>
  </si>
  <si>
    <t>Industrial - Non Lost Opportunity</t>
  </si>
  <si>
    <t>Irrigated Agriculture - Non Lost Opportunity</t>
  </si>
  <si>
    <t>Commercial - Lost Opportunity</t>
  </si>
  <si>
    <t>Residential - Lost Opportunity</t>
  </si>
  <si>
    <t>Total</t>
  </si>
  <si>
    <t>Commerical</t>
  </si>
  <si>
    <t>Puget Sound Energy Inc</t>
  </si>
  <si>
    <t>WA</t>
  </si>
  <si>
    <t>Irrigated Agriculture</t>
  </si>
  <si>
    <t>Total Target All Sectors</t>
  </si>
  <si>
    <t>State</t>
  </si>
  <si>
    <t>City of Albion</t>
  </si>
  <si>
    <t>ID</t>
  </si>
  <si>
    <t>Alder Mutual Light Co, Inc</t>
  </si>
  <si>
    <t>City of Ashland</t>
  </si>
  <si>
    <t>OR</t>
  </si>
  <si>
    <t>City of Bandon</t>
  </si>
  <si>
    <t>PUD No 1 of Benton County</t>
  </si>
  <si>
    <t>Benton Rural Electric Assn</t>
  </si>
  <si>
    <t>Big Bend Electric Coop, Inc</t>
  </si>
  <si>
    <t>City of Blaine</t>
  </si>
  <si>
    <t>City of Bonners Ferry</t>
  </si>
  <si>
    <t>City of Burley</t>
  </si>
  <si>
    <t>City of Cascade Locks</t>
  </si>
  <si>
    <t>City of Cashmere</t>
  </si>
  <si>
    <t>Central Lincoln People's Ut Dt</t>
  </si>
  <si>
    <t>City of Centralia</t>
  </si>
  <si>
    <t>PUD No 1 of Chelan County</t>
  </si>
  <si>
    <t>City of Cheney</t>
  </si>
  <si>
    <t>City of Chewelah</t>
  </si>
  <si>
    <t>PUD No 1 of Clallam County</t>
  </si>
  <si>
    <t>PUD No 1 of Clark County</t>
  </si>
  <si>
    <t>Clearwater Power Company</t>
  </si>
  <si>
    <t>Columbia Basin Elec Cooperative, Inc</t>
  </si>
  <si>
    <t>Columbia Power Coop Assn Inc</t>
  </si>
  <si>
    <t>Columbia Rural Elec Assn, Inc</t>
  </si>
  <si>
    <t>Coos-Curry Electric Coop, Inc</t>
  </si>
  <si>
    <t>City of Coulee Dam</t>
  </si>
  <si>
    <t>PUD No 1 of Cowlitz County</t>
  </si>
  <si>
    <t>Consumers Power, Inc</t>
  </si>
  <si>
    <t>PUD No 1 of Douglas County</t>
  </si>
  <si>
    <t>Douglas Electric Coop, Inc</t>
  </si>
  <si>
    <t>City of Drain</t>
  </si>
  <si>
    <t>East End Mutual Elec Co Ltd</t>
  </si>
  <si>
    <t>Town of Eatonville</t>
  </si>
  <si>
    <t>Elmhurst Mutual Power &amp; Light Co</t>
  </si>
  <si>
    <t>City of Eugene</t>
  </si>
  <si>
    <t>City of Ellensburg</t>
  </si>
  <si>
    <t>Farmers Electric Company, Ltd</t>
  </si>
  <si>
    <t>Fall River Rural Elec Coop Inc</t>
  </si>
  <si>
    <t>MT</t>
  </si>
  <si>
    <t>WY</t>
  </si>
  <si>
    <t>PUD No 1 of Ferry County</t>
  </si>
  <si>
    <t>Flathead Electric Coop Inc</t>
  </si>
  <si>
    <t>City of Forest Grove</t>
  </si>
  <si>
    <t>PUD No 1 of Franklin County</t>
  </si>
  <si>
    <t>City of Declo</t>
  </si>
  <si>
    <t>Glacier Electric Coop, Inc</t>
  </si>
  <si>
    <t>PUD No 1 of Grays Harbor Cnty</t>
  </si>
  <si>
    <t>City of Hermiston</t>
  </si>
  <si>
    <t>City of Heyburn</t>
  </si>
  <si>
    <t>Inland Power &amp; Light Company</t>
  </si>
  <si>
    <t>Hood River Electric Coop</t>
  </si>
  <si>
    <t>Idaho Cnty L&amp;P Coop Assn, Inc</t>
  </si>
  <si>
    <t>City of Idaho Falls</t>
  </si>
  <si>
    <t>Idaho Power Co</t>
  </si>
  <si>
    <t>PUD No 1 of Kittitas County</t>
  </si>
  <si>
    <t>PUD No 1 of Klickitat County</t>
  </si>
  <si>
    <t>Kootenai Electric Coop Inc</t>
  </si>
  <si>
    <t>Lakeview Light &amp; Power</t>
  </si>
  <si>
    <t>Lane Electric Coop Inc</t>
  </si>
  <si>
    <t>PUD No 1 of Lewis County</t>
  </si>
  <si>
    <t>Lincoln Electric Coop, Inc</t>
  </si>
  <si>
    <t>Lost River Electric Coop Inc</t>
  </si>
  <si>
    <t>Lower Valley Energy Inc</t>
  </si>
  <si>
    <t>Harney Electric Coop, Inc</t>
  </si>
  <si>
    <t>NV</t>
  </si>
  <si>
    <t>City of McCleary</t>
  </si>
  <si>
    <t>City of McMinnville</t>
  </si>
  <si>
    <t>Midstate Electric Coop, Inc</t>
  </si>
  <si>
    <t>City of Minidoka</t>
  </si>
  <si>
    <t>City of Milton-Freewater</t>
  </si>
  <si>
    <t>City of Milton</t>
  </si>
  <si>
    <t>Missoula Electric Coop, Inc</t>
  </si>
  <si>
    <t>Modern Electric Water Company</t>
  </si>
  <si>
    <t>City of Monmouth</t>
  </si>
  <si>
    <t>NorthWestern Energy LLC</t>
  </si>
  <si>
    <t>Nespelem Valley Elec Coop, Inc</t>
  </si>
  <si>
    <t>Northern Lights, Inc</t>
  </si>
  <si>
    <t>Northern Wasco County PUD</t>
  </si>
  <si>
    <t>Ohop Mutual Light Company, Inc</t>
  </si>
  <si>
    <t>PUD No 1 of Okanogan County</t>
  </si>
  <si>
    <t>Okanogan County Elec Coop, Inc</t>
  </si>
  <si>
    <t>Oregon Trail El Cons Coop, Inc</t>
  </si>
  <si>
    <t>Orcas Power &amp; Light Coop</t>
  </si>
  <si>
    <t>PUD No 2 of Pacific County</t>
  </si>
  <si>
    <t>PacifiCorp</t>
  </si>
  <si>
    <t>CA</t>
  </si>
  <si>
    <t>Parkland Light &amp; Water Company</t>
  </si>
  <si>
    <t>PUD No 2 of Grant County</t>
  </si>
  <si>
    <t>PUD No 1 of Pend Oreille Cnty</t>
  </si>
  <si>
    <t>Peninsula Light Company</t>
  </si>
  <si>
    <t>City of Port Angeles</t>
  </si>
  <si>
    <t>Portland General Electric Company</t>
  </si>
  <si>
    <t>City of Plummer</t>
  </si>
  <si>
    <t>PUD No 1 Wahkiakum County</t>
  </si>
  <si>
    <t>PUD No 3 of Mason County</t>
  </si>
  <si>
    <t>City of Richland</t>
  </si>
  <si>
    <t>City of Rupert</t>
  </si>
  <si>
    <t>Town of Ruston</t>
  </si>
  <si>
    <t>City of Salem</t>
  </si>
  <si>
    <t>Salmon River Electric Coop Inc</t>
  </si>
  <si>
    <t>City of Seattle</t>
  </si>
  <si>
    <t>PUD No 1 of Skamania County</t>
  </si>
  <si>
    <t>PUD No 1 of Snohomish County</t>
  </si>
  <si>
    <t>City of Soda Springs</t>
  </si>
  <si>
    <t>South Side Electric, Inc</t>
  </si>
  <si>
    <t>City of Springfield</t>
  </si>
  <si>
    <t>Town of Steilacoom</t>
  </si>
  <si>
    <t>Surprise Valley Electrification Corp.</t>
  </si>
  <si>
    <t>City of Sumas</t>
  </si>
  <si>
    <t>City of Tacoma</t>
  </si>
  <si>
    <t>Tanner Electric Coop</t>
  </si>
  <si>
    <t>Tillamook Peoples Utility Dist</t>
  </si>
  <si>
    <t>City of Troy</t>
  </si>
  <si>
    <t>Umatilla Electric Coop Assn</t>
  </si>
  <si>
    <t>United Electric Co-op, Inc</t>
  </si>
  <si>
    <t>Mission Valley Power</t>
  </si>
  <si>
    <t>Vera Irrigation District #15</t>
  </si>
  <si>
    <t>Wasco Electric Coop, Inc</t>
  </si>
  <si>
    <t>Avista Corp</t>
  </si>
  <si>
    <t>City of Weiser</t>
  </si>
  <si>
    <t>Wells Rural Electric Co</t>
  </si>
  <si>
    <t>West Oregon Electric Coop Inc</t>
  </si>
  <si>
    <t>PUD No 1 of Mason County</t>
  </si>
  <si>
    <t>Raft River Rural Elec Coop Inc</t>
  </si>
  <si>
    <t>Vigilante Electric Coop, Inc</t>
  </si>
  <si>
    <t>Ravalli County Elec Coop, Inc</t>
  </si>
  <si>
    <t>Clatskanie Peoples Util Dist</t>
  </si>
  <si>
    <t>Emerald People's Utility Dist</t>
  </si>
  <si>
    <t>Columbia River Peoples Ut Dist</t>
  </si>
  <si>
    <t>PUD No 1 of Whatcom County</t>
  </si>
  <si>
    <t>aMW</t>
  </si>
  <si>
    <t>EIA UTILITY_ID</t>
  </si>
  <si>
    <t>UTILITY NAME</t>
  </si>
  <si>
    <t>Residential Retail Sales (MWh)</t>
  </si>
  <si>
    <t>Commercial Retail Sales (MWh)</t>
  </si>
  <si>
    <t>Industrial Retail Sales (MWh)</t>
  </si>
  <si>
    <t>Total Retail Sales (MWh)</t>
  </si>
  <si>
    <t>Share of PNW Retail Sales</t>
  </si>
  <si>
    <t>MWH</t>
  </si>
  <si>
    <t>PNW - Total</t>
  </si>
  <si>
    <t>States</t>
  </si>
  <si>
    <t>UtitlityState Code</t>
  </si>
  <si>
    <t>Annual Conservation Target (aMW)</t>
  </si>
  <si>
    <t>Annual Conservation Target (MWH)</t>
  </si>
  <si>
    <t>Select Utility Service Area</t>
  </si>
  <si>
    <t xml:space="preserve">Residential </t>
  </si>
  <si>
    <t>Industrial and Irrigated Agriculture</t>
  </si>
  <si>
    <t>Res</t>
  </si>
  <si>
    <t>Com</t>
  </si>
  <si>
    <t>Ind/Irrg Ag</t>
  </si>
  <si>
    <t>Total - All Sectors</t>
  </si>
  <si>
    <t>Option 1 - Target Based on Utility Share of Total Regional Retail Sales</t>
  </si>
  <si>
    <t>Option 2 - Target Based on Utility Share of Total Regional Retail Sales by Sector</t>
  </si>
  <si>
    <t>Sector</t>
  </si>
  <si>
    <t>Ind</t>
  </si>
  <si>
    <t>Irrg Agr</t>
  </si>
  <si>
    <t>Irrg Ag</t>
  </si>
  <si>
    <t>Assumed Regional Irrg Ag Sales (aMW)</t>
  </si>
  <si>
    <t>Ind Sales, Net of Irrg Agr</t>
  </si>
  <si>
    <t xml:space="preserve">Irrg Ag Sales </t>
  </si>
  <si>
    <t>Option 3 - Target Based on Utility Reported Share of Total Regional Retail Sales by Sector - Adjusted for Irrigation Sales</t>
  </si>
  <si>
    <t>Share of Regional Sales</t>
  </si>
  <si>
    <t>Net Industrial Sales (MWh) =&gt;</t>
  </si>
  <si>
    <t>EIA 2005 Reported Industrial and Irrigated Agriculture Sales (MWH)</t>
  </si>
  <si>
    <t>PacifiCorp Id Irrig Sales</t>
  </si>
  <si>
    <t>Combined Ind &amp; Irrig Sales (MWh)=&gt;</t>
  </si>
  <si>
    <t>Agriculture/Irrigation</t>
  </si>
  <si>
    <t>All Sectors</t>
  </si>
  <si>
    <t xml:space="preserve">Default </t>
  </si>
  <si>
    <t>Planned</t>
  </si>
  <si>
    <t>Industrial/Irrigated Agriculture</t>
  </si>
  <si>
    <t>Option 1 - Annual Conservation Target (aMW)</t>
  </si>
  <si>
    <t>Option 2 - Annual Conservation Target (aMW)</t>
  </si>
  <si>
    <t>Option 3 - Annual Conservation Target (aMW)</t>
  </si>
  <si>
    <t>Select First Year Acquisition Cost/aMW Assumption</t>
  </si>
  <si>
    <r>
      <t>Intructions:</t>
    </r>
    <r>
      <rPr>
        <sz val="10"/>
        <rFont val="Arial"/>
        <family val="2"/>
      </rPr>
      <t xml:space="preserve"> The purpose of this worksheet is to provide utilities with an </t>
    </r>
    <r>
      <rPr>
        <i/>
        <u val="single"/>
        <sz val="10"/>
        <rFont val="Arial"/>
        <family val="2"/>
      </rPr>
      <t>estimate</t>
    </r>
    <r>
      <rPr>
        <sz val="10"/>
        <rFont val="Arial"/>
        <family val="2"/>
      </rPr>
      <t xml:space="preserve"> of the annual budget that </t>
    </r>
    <r>
      <rPr>
        <i/>
        <sz val="10"/>
        <rFont val="Arial"/>
        <family val="2"/>
      </rPr>
      <t>may be</t>
    </r>
    <r>
      <rPr>
        <sz val="10"/>
        <rFont val="Arial"/>
        <family val="2"/>
      </rPr>
      <t xml:space="preserve"> required to acquire "their share" of the Northwest Power and Conservation Council 5th Plan's regional conservation target. It is not intended to set minumum expenditure levels.  The Council does not formally assign individual utility targets or minimum expenditures in its planning process. Individual utility conservation goals are best established through utility integrated resource planning processes which can better account for local conditions and legal requirements. Nevertheless, the results of this calculator can be used as rough guidance for utility conservation program planning until such time as a utility completes its own integrated resource plan or other similar process. The "Utility First Year Acquistion Cost/aMW" shown under the "Default" heading are based in 2006 savings and expenditures reported to the RTF for savings acquired with local utility (i.e., non-Bonneville) funds. Users who enter "Planned" First Year Acquisition Cost based on their own prior program experience should then select "Planned" acquistion cost.</t>
    </r>
  </si>
  <si>
    <t>Non Lost Opportunity Resources</t>
  </si>
  <si>
    <t>Lost Opportubnity</t>
  </si>
  <si>
    <t>Version Number =&gt;</t>
  </si>
  <si>
    <t>Last Revised =&gt;</t>
  </si>
  <si>
    <t>Utility Shares Based on EIA Data for =&gt;</t>
  </si>
  <si>
    <t xml:space="preserve">Data Source Location: </t>
  </si>
  <si>
    <t>http://www.eia.doe.gov/cneaf/electricity/esr/esr_sum.html</t>
  </si>
  <si>
    <t>Data are from Tables 6 through 9</t>
  </si>
  <si>
    <t>EIA includes irrigation sales in its industrial sector total. In order to adjust for this, please enter your utility's 2006 retail sales in MWH for irrigation below in row 38. The industrial sector sales will update automatically so that the total still agrees with EIA data.</t>
  </si>
  <si>
    <t>All of Montana Sales - Total in Table Include W. MT Service Area Only, Assumed to be 27% of total sales</t>
  </si>
  <si>
    <t>Total 2005 - 2018</t>
  </si>
  <si>
    <t>Average Annual Target 2005 - 2018</t>
  </si>
  <si>
    <t>Utility First Year Cost of Savings (million 2007$/aMW)</t>
  </si>
  <si>
    <t>Estimated Annual Acquisition Budget Requirements (millions year 2006$)</t>
  </si>
  <si>
    <t>Idaho</t>
  </si>
  <si>
    <t>Montana</t>
  </si>
  <si>
    <t>Oregon</t>
  </si>
  <si>
    <t>Washingon</t>
  </si>
  <si>
    <t>Utitlity State Code</t>
  </si>
  <si>
    <t>Blachly-Lane Cnty Coop El Assn</t>
  </si>
  <si>
    <t>Canby Utility Board</t>
  </si>
  <si>
    <t>Central Electric Coop Inc</t>
  </si>
  <si>
    <t>6th Plan Conservation Annual Targets (aMW)</t>
  </si>
  <si>
    <t>2010 - 2029 Cumulative Total</t>
  </si>
  <si>
    <t>2007 Retail Sales (MWH)</t>
  </si>
  <si>
    <t>6th Plan Conservation Target Calculator</t>
  </si>
  <si>
    <r>
      <t>Introduction:</t>
    </r>
    <r>
      <rPr>
        <sz val="10"/>
        <rFont val="Arial"/>
        <family val="0"/>
      </rPr>
      <t xml:space="preserve"> The purpose of this calculator is to provide utilities with a simple means to compute "their share" of the Northwest Power and Conservation Council 6th Plan's regional conservation target. This calculator is intended to provide utilities with an "approximation" of the level of conservation they should target in order to be consistent with the Council's regional goals. The Council </t>
    </r>
    <r>
      <rPr>
        <b/>
        <i/>
        <u val="single"/>
        <sz val="10"/>
        <rFont val="Arial"/>
        <family val="2"/>
      </rPr>
      <t>does not</t>
    </r>
    <r>
      <rPr>
        <sz val="10"/>
        <rFont val="Arial"/>
        <family val="0"/>
      </rPr>
      <t xml:space="preserve"> formally assign individual utility targets in its planning process. Individual utility conservation goals are best established through utility integrated resource planning processes which can better account for local conditions and legal requirements. Nevertheless, the results of this calculator can be used as rough guidance for utility conservation program planning until such time as a utility completes its own integrated resource plan or other similar process.</t>
    </r>
  </si>
  <si>
    <r>
      <t>Instructions:</t>
    </r>
    <r>
      <rPr>
        <sz val="10"/>
        <rFont val="Arial"/>
        <family val="0"/>
      </rPr>
      <t xml:space="preserve"> Select utility from the pull-down menu in row 12.  Three options are provided to calculate individual utility shares of the 6th Plan's conservation target. Option 1 is best suited for larger utilities whose retail sales across residential, commercial and industrial sectors reasonably match those of the entire region. Option 2 is best suited for any utility regardless of size that does not have significant retail sales to irrigated agriculture.  Options 1 and 2 do not require any input data. Users only need to select the utility service territory of interest. Option 3 requires that the user enter the utility's 2005 retail sales to the irrigated agriculture sector (cell i38). Option 3 is the is preferred approach since it best accounts for differences in both the resource potential and the 5th Plan's targets across sectors. The results for Option 3 are not valid unless a utility's irrigation sector retail sales have been entered by the user.  </t>
    </r>
    <r>
      <rPr>
        <i/>
        <sz val="10"/>
        <rFont val="Arial"/>
        <family val="2"/>
      </rPr>
      <t xml:space="preserve">Note: Utilities that serve multiple states must add each states results together to determine their totals. </t>
    </r>
  </si>
  <si>
    <t>1_8</t>
  </si>
  <si>
    <t xml:space="preserve">6th Plan Annual Conservation Targets - Mean Build Out </t>
  </si>
  <si>
    <t>6th Plan Annual Conservation Targets - Mean Build Out  (Rounded)</t>
  </si>
  <si>
    <t>Other States in Region</t>
  </si>
  <si>
    <t>CA/WY/NV</t>
  </si>
  <si>
    <t>6th Plan Annual MW Targets by Sector &amp; Resource Type</t>
  </si>
  <si>
    <t>Distribution System Efficiency</t>
  </si>
  <si>
    <t>Distribution System Efficiency - Non Lost Opportunity</t>
  </si>
  <si>
    <t>2010-29</t>
  </si>
  <si>
    <t>DEI</t>
  </si>
  <si>
    <t>Total 2010 - 2023</t>
  </si>
  <si>
    <t>Average Annual Target 2010 - 2023</t>
  </si>
  <si>
    <t>Total 2010 - 2024</t>
  </si>
  <si>
    <t>Share Non_Ind</t>
  </si>
  <si>
    <t>Dis Eff</t>
  </si>
  <si>
    <t>Enter 2007 Irrigation Sales (MWh) =&gt;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</si>
</sst>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_(* #,##0.0_);_(* \(#,##0.0\);_(* &quot;-&quot;?_);_(@_)"/>
    <numFmt numFmtId="168" formatCode="0.000"/>
    <numFmt numFmtId="169" formatCode="0.0"/>
    <numFmt numFmtId="170" formatCode="0.00000"/>
    <numFmt numFmtId="171" formatCode="0.0000"/>
    <numFmt numFmtId="172" formatCode="_(&quot;$&quot;* #,##0_);_(&quot;$&quot;* \(#,##0\);_(&quot;$&quot;* &quot;-&quot;??_);_(@_)"/>
    <numFmt numFmtId="173" formatCode="_(&quot;$&quot;* #,##0.0_);_(&quot;$&quot;* \(#,##0.0\);_(&quot;$&quot;* &quot;-&quot;??_);_(@_)"/>
    <numFmt numFmtId="174" formatCode="_(&quot;$&quot;* #,##0.000_);_(&quot;$&quot;* \(#,##0.000\);_(&quot;$&quot;* &quot;-&quot;??_);_(@_)"/>
    <numFmt numFmtId="175" formatCode="_(* #,##0.000_);_(* \(#,##0.000\);_(* &quot;-&quot;??_);_(@_)"/>
    <numFmt numFmtId="176" formatCode="_(* #,##0.000_);_(* \(#,##0.000\);_(* &quot;-&quot;???_);_(@_)"/>
    <numFmt numFmtId="177" formatCode="0.000%"/>
    <numFmt numFmtId="178" formatCode="0.0000%"/>
    <numFmt numFmtId="179" formatCode="0.00000%"/>
    <numFmt numFmtId="180" formatCode="0.000000%"/>
    <numFmt numFmtId="181" formatCode="0.0000000%"/>
  </numFmts>
  <fonts count="16">
    <font>
      <sz val="10"/>
      <name val="Arial"/>
      <family val="0"/>
    </font>
    <font>
      <b/>
      <sz val="10"/>
      <name val="Arial"/>
      <family val="2"/>
    </font>
    <font>
      <u val="single"/>
      <sz val="10"/>
      <color indexed="12"/>
      <name val="Arial"/>
      <family val="0"/>
    </font>
    <font>
      <u val="single"/>
      <sz val="10"/>
      <color indexed="36"/>
      <name val="Arial"/>
      <family val="0"/>
    </font>
    <font>
      <sz val="10"/>
      <color indexed="8"/>
      <name val="Arial"/>
      <family val="0"/>
    </font>
    <font>
      <sz val="8"/>
      <name val="Tahoma"/>
      <family val="2"/>
    </font>
    <font>
      <b/>
      <sz val="14"/>
      <name val="Arial"/>
      <family val="2"/>
    </font>
    <font>
      <b/>
      <sz val="9"/>
      <name val="Arial"/>
      <family val="2"/>
    </font>
    <font>
      <sz val="9"/>
      <name val="Arial"/>
      <family val="0"/>
    </font>
    <font>
      <b/>
      <i/>
      <u val="single"/>
      <sz val="10"/>
      <name val="Arial"/>
      <family val="2"/>
    </font>
    <font>
      <i/>
      <sz val="10"/>
      <name val="Arial"/>
      <family val="2"/>
    </font>
    <font>
      <b/>
      <sz val="12"/>
      <name val="Arial"/>
      <family val="2"/>
    </font>
    <font>
      <b/>
      <sz val="8"/>
      <name val="Tahoma"/>
      <family val="0"/>
    </font>
    <font>
      <sz val="8"/>
      <name val="Arial"/>
      <family val="0"/>
    </font>
    <font>
      <i/>
      <u val="single"/>
      <sz val="10"/>
      <name val="Arial"/>
      <family val="2"/>
    </font>
    <font>
      <b/>
      <sz val="8"/>
      <name val="Arial"/>
      <family val="2"/>
    </font>
  </fonts>
  <fills count="15">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3"/>
        <bgColor indexed="64"/>
      </patternFill>
    </fill>
    <fill>
      <patternFill patternType="solid">
        <fgColor indexed="14"/>
        <bgColor indexed="64"/>
      </patternFill>
    </fill>
    <fill>
      <patternFill patternType="solid">
        <fgColor indexed="11"/>
        <bgColor indexed="64"/>
      </patternFill>
    </fill>
    <fill>
      <patternFill patternType="solid">
        <fgColor indexed="41"/>
        <bgColor indexed="64"/>
      </patternFill>
    </fill>
    <fill>
      <patternFill patternType="solid">
        <fgColor indexed="44"/>
        <bgColor indexed="64"/>
      </patternFill>
    </fill>
    <fill>
      <patternFill patternType="solid">
        <fgColor indexed="52"/>
        <bgColor indexed="64"/>
      </patternFill>
    </fill>
  </fills>
  <borders count="65">
    <border>
      <left/>
      <right/>
      <top/>
      <bottom/>
      <diagonal/>
    </border>
    <border>
      <left style="thin"/>
      <right style="thin"/>
      <top style="thin"/>
      <bottom style="thin"/>
    </border>
    <border>
      <left style="medium"/>
      <right style="thin"/>
      <top style="thin"/>
      <bottom style="thin"/>
    </border>
    <border>
      <left style="medium"/>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color indexed="22"/>
      </left>
      <right style="thin">
        <color indexed="22"/>
      </right>
      <top style="thin">
        <color indexed="22"/>
      </top>
      <bottom style="thin">
        <color indexed="22"/>
      </bottom>
    </border>
    <border>
      <left style="thin"/>
      <right style="thin"/>
      <top>
        <color indexed="63"/>
      </top>
      <bottom style="thin"/>
    </border>
    <border>
      <left style="thin">
        <color indexed="22"/>
      </left>
      <right style="thin">
        <color indexed="22"/>
      </right>
      <top>
        <color indexed="63"/>
      </top>
      <bottom style="thin">
        <color indexed="22"/>
      </bottom>
    </border>
    <border>
      <left style="medium"/>
      <right style="thin"/>
      <top style="thin"/>
      <bottom style="medium"/>
    </border>
    <border>
      <left style="medium"/>
      <right style="thin"/>
      <top style="medium"/>
      <bottom style="thin"/>
    </border>
    <border>
      <left style="thin"/>
      <right style="thin"/>
      <top style="medium"/>
      <bottom style="thin"/>
    </border>
    <border>
      <left style="thin"/>
      <right style="thin"/>
      <top style="thin"/>
      <bottom style="medium"/>
    </border>
    <border>
      <left style="medium"/>
      <right style="medium"/>
      <top style="medium"/>
      <bottom>
        <color indexed="63"/>
      </bottom>
    </border>
    <border>
      <left style="medium"/>
      <right style="medium"/>
      <top style="thin"/>
      <bottom style="medium"/>
    </border>
    <border>
      <left style="medium"/>
      <right style="medium"/>
      <top style="thin"/>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style="thin"/>
      <bottom style="medium"/>
    </border>
    <border>
      <left>
        <color indexed="63"/>
      </left>
      <right style="medium"/>
      <top style="thin"/>
      <bottom style="medium"/>
    </border>
    <border>
      <left style="medium"/>
      <right style="thin"/>
      <top>
        <color indexed="63"/>
      </top>
      <bottom style="thin"/>
    </border>
    <border>
      <left style="medium"/>
      <right style="medium"/>
      <top style="thin"/>
      <bottom>
        <color indexed="63"/>
      </bottom>
    </border>
    <border>
      <left style="medium"/>
      <right style="thin"/>
      <top>
        <color indexed="63"/>
      </top>
      <bottom style="medium"/>
    </border>
    <border>
      <left style="thin"/>
      <right style="thin"/>
      <top>
        <color indexed="63"/>
      </top>
      <bottom style="medium"/>
    </border>
    <border>
      <left style="medium"/>
      <right style="medium"/>
      <top style="medium"/>
      <bottom style="medium"/>
    </border>
    <border>
      <left style="medium"/>
      <right>
        <color indexed="63"/>
      </right>
      <top>
        <color indexed="63"/>
      </top>
      <bottom>
        <color indexed="63"/>
      </bottom>
    </border>
    <border>
      <left style="medium"/>
      <right>
        <color indexed="63"/>
      </right>
      <top style="medium"/>
      <bottom>
        <color indexed="63"/>
      </bottom>
    </border>
    <border>
      <left style="thin"/>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thin"/>
      <right style="medium"/>
      <top style="thin"/>
      <bottom style="medium"/>
    </border>
    <border>
      <left style="thin"/>
      <right style="medium"/>
      <top style="medium"/>
      <bottom style="thin"/>
    </border>
    <border>
      <left style="medium"/>
      <right>
        <color indexed="63"/>
      </right>
      <top style="medium"/>
      <bottom style="medium"/>
    </border>
    <border>
      <left style="thin"/>
      <right style="medium"/>
      <top>
        <color indexed="63"/>
      </top>
      <bottom>
        <color indexed="63"/>
      </bottom>
    </border>
    <border>
      <left style="medium"/>
      <right style="thin"/>
      <top style="medium"/>
      <bottom style="medium"/>
    </border>
    <border>
      <left style="thin"/>
      <right style="thin"/>
      <top style="medium"/>
      <bottom style="medium"/>
    </border>
    <border>
      <left style="medium"/>
      <right style="medium"/>
      <top>
        <color indexed="63"/>
      </top>
      <bottom style="medium"/>
    </border>
    <border>
      <left style="medium"/>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style="medium"/>
      <right style="medium"/>
      <top>
        <color indexed="63"/>
      </top>
      <bottom style="thin"/>
    </border>
    <border>
      <left style="thin"/>
      <right>
        <color indexed="63"/>
      </right>
      <top style="medium"/>
      <bottom>
        <color indexed="63"/>
      </bottom>
    </border>
    <border>
      <left style="medium"/>
      <right style="medium"/>
      <top style="medium"/>
      <bottom style="thin"/>
    </border>
    <border>
      <left style="thin"/>
      <right>
        <color indexed="63"/>
      </right>
      <top>
        <color indexed="63"/>
      </top>
      <bottom style="thin"/>
    </border>
    <border>
      <left style="thin"/>
      <right>
        <color indexed="63"/>
      </right>
      <top>
        <color indexed="63"/>
      </top>
      <bottom style="medium"/>
    </border>
    <border>
      <left style="thin"/>
      <right>
        <color indexed="63"/>
      </right>
      <top style="medium"/>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color indexed="63"/>
      </top>
      <bottom style="thin"/>
    </border>
    <border>
      <left>
        <color indexed="63"/>
      </left>
      <right style="medium"/>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4" fillId="0" borderId="0">
      <alignment/>
      <protection/>
    </xf>
    <xf numFmtId="0" fontId="4" fillId="0" borderId="0">
      <alignment/>
      <protection/>
    </xf>
    <xf numFmtId="9" fontId="0" fillId="0" borderId="0" applyFont="0" applyFill="0" applyBorder="0" applyAlignment="0" applyProtection="0"/>
  </cellStyleXfs>
  <cellXfs count="321">
    <xf numFmtId="0" fontId="0" fillId="0" borderId="0" xfId="0" applyAlignment="1">
      <alignment/>
    </xf>
    <xf numFmtId="0" fontId="0" fillId="0" borderId="1" xfId="0" applyBorder="1" applyAlignment="1">
      <alignment/>
    </xf>
    <xf numFmtId="164" fontId="0" fillId="0" borderId="1" xfId="15" applyNumberFormat="1" applyBorder="1" applyAlignment="1">
      <alignment/>
    </xf>
    <xf numFmtId="164" fontId="0" fillId="0" borderId="0" xfId="15" applyNumberFormat="1" applyAlignment="1">
      <alignment/>
    </xf>
    <xf numFmtId="0" fontId="1" fillId="0" borderId="0" xfId="0" applyFont="1" applyAlignment="1">
      <alignment/>
    </xf>
    <xf numFmtId="0" fontId="0" fillId="0" borderId="2" xfId="0" applyBorder="1" applyAlignment="1">
      <alignment/>
    </xf>
    <xf numFmtId="0" fontId="0" fillId="0" borderId="3" xfId="0" applyBorder="1" applyAlignment="1">
      <alignment/>
    </xf>
    <xf numFmtId="0" fontId="0" fillId="0" borderId="4" xfId="0" applyFill="1" applyBorder="1" applyAlignment="1">
      <alignment/>
    </xf>
    <xf numFmtId="0" fontId="0" fillId="0" borderId="5" xfId="0" applyFill="1" applyBorder="1" applyAlignment="1">
      <alignment/>
    </xf>
    <xf numFmtId="0" fontId="0" fillId="0" borderId="6" xfId="0" applyFill="1" applyBorder="1" applyAlignment="1">
      <alignment/>
    </xf>
    <xf numFmtId="0" fontId="4" fillId="0" borderId="1" xfId="22" applyFont="1" applyFill="1" applyBorder="1" applyAlignment="1">
      <alignment horizontal="right"/>
      <protection/>
    </xf>
    <xf numFmtId="0" fontId="4" fillId="0" borderId="1" xfId="22" applyFont="1" applyFill="1" applyBorder="1" applyAlignment="1">
      <alignment/>
      <protection/>
    </xf>
    <xf numFmtId="164" fontId="4" fillId="0" borderId="1" xfId="15" applyNumberFormat="1" applyFont="1" applyFill="1" applyBorder="1" applyAlignment="1">
      <alignment horizontal="right"/>
    </xf>
    <xf numFmtId="10" fontId="0" fillId="0" borderId="1" xfId="23" applyNumberFormat="1" applyBorder="1" applyAlignment="1">
      <alignment/>
    </xf>
    <xf numFmtId="165" fontId="0" fillId="0" borderId="1" xfId="15" applyNumberFormat="1" applyBorder="1" applyAlignment="1">
      <alignment/>
    </xf>
    <xf numFmtId="164" fontId="0" fillId="0" borderId="1" xfId="15" applyNumberFormat="1" applyBorder="1" applyAlignment="1">
      <alignment/>
    </xf>
    <xf numFmtId="164" fontId="0" fillId="0" borderId="0" xfId="15" applyNumberFormat="1" applyAlignment="1">
      <alignment/>
    </xf>
    <xf numFmtId="0" fontId="4" fillId="0" borderId="7" xfId="22" applyFont="1" applyFill="1" applyBorder="1" applyAlignment="1">
      <alignment horizontal="left"/>
      <protection/>
    </xf>
    <xf numFmtId="0" fontId="4" fillId="2" borderId="1" xfId="22" applyFont="1" applyFill="1" applyBorder="1" applyAlignment="1">
      <alignment horizontal="center" wrapText="1"/>
      <protection/>
    </xf>
    <xf numFmtId="164" fontId="4" fillId="2" borderId="1" xfId="15" applyNumberFormat="1" applyFont="1" applyFill="1" applyBorder="1" applyAlignment="1">
      <alignment horizontal="center" wrapText="1"/>
    </xf>
    <xf numFmtId="0" fontId="0" fillId="3" borderId="1" xfId="0" applyFill="1" applyBorder="1" applyAlignment="1">
      <alignment wrapText="1"/>
    </xf>
    <xf numFmtId="0" fontId="0" fillId="4" borderId="1" xfId="0" applyFill="1" applyBorder="1" applyAlignment="1">
      <alignment wrapText="1"/>
    </xf>
    <xf numFmtId="164" fontId="0" fillId="5" borderId="1" xfId="15" applyNumberFormat="1" applyFill="1" applyBorder="1" applyAlignment="1">
      <alignment/>
    </xf>
    <xf numFmtId="164" fontId="0" fillId="5" borderId="8" xfId="15" applyNumberFormat="1" applyFill="1" applyBorder="1" applyAlignment="1">
      <alignment/>
    </xf>
    <xf numFmtId="10" fontId="0" fillId="5" borderId="1" xfId="0" applyNumberFormat="1" applyFill="1" applyBorder="1" applyAlignment="1">
      <alignment/>
    </xf>
    <xf numFmtId="0" fontId="4" fillId="0" borderId="9" xfId="22" applyFont="1" applyFill="1" applyBorder="1" applyAlignment="1">
      <alignment horizontal="left"/>
      <protection/>
    </xf>
    <xf numFmtId="0" fontId="4" fillId="6" borderId="1" xfId="22" applyFont="1" applyFill="1" applyBorder="1" applyAlignment="1">
      <alignment/>
      <protection/>
    </xf>
    <xf numFmtId="0" fontId="4" fillId="0" borderId="1" xfId="22" applyFont="1" applyFill="1" applyBorder="1" applyAlignment="1">
      <alignment horizontal="left"/>
      <protection/>
    </xf>
    <xf numFmtId="10" fontId="0" fillId="0" borderId="0" xfId="23" applyNumberFormat="1" applyAlignment="1">
      <alignment/>
    </xf>
    <xf numFmtId="175" fontId="0" fillId="0" borderId="1" xfId="15" applyNumberFormat="1" applyBorder="1" applyAlignment="1">
      <alignment/>
    </xf>
    <xf numFmtId="10" fontId="0" fillId="0" borderId="0" xfId="23" applyNumberFormat="1" applyFont="1" applyAlignment="1">
      <alignment/>
    </xf>
    <xf numFmtId="0" fontId="1" fillId="4" borderId="10" xfId="0" applyFont="1" applyFill="1" applyBorder="1" applyAlignment="1">
      <alignment/>
    </xf>
    <xf numFmtId="10" fontId="0" fillId="0" borderId="11" xfId="23" applyNumberFormat="1" applyFont="1" applyBorder="1" applyAlignment="1">
      <alignment/>
    </xf>
    <xf numFmtId="175" fontId="0" fillId="0" borderId="12" xfId="15" applyNumberFormat="1" applyBorder="1" applyAlignment="1">
      <alignment/>
    </xf>
    <xf numFmtId="10" fontId="0" fillId="0" borderId="2" xfId="23" applyNumberFormat="1" applyFont="1" applyBorder="1" applyAlignment="1">
      <alignment/>
    </xf>
    <xf numFmtId="10" fontId="0" fillId="0" borderId="10" xfId="23" applyNumberFormat="1" applyFont="1" applyBorder="1" applyAlignment="1">
      <alignment/>
    </xf>
    <xf numFmtId="175" fontId="0" fillId="0" borderId="13" xfId="15" applyNumberFormat="1" applyBorder="1" applyAlignment="1">
      <alignment/>
    </xf>
    <xf numFmtId="164" fontId="0" fillId="0" borderId="0" xfId="15" applyNumberFormat="1" applyFont="1" applyAlignment="1">
      <alignment/>
    </xf>
    <xf numFmtId="164" fontId="0" fillId="0" borderId="0" xfId="15" applyNumberFormat="1" applyFont="1" applyAlignment="1">
      <alignment/>
    </xf>
    <xf numFmtId="164" fontId="0" fillId="0" borderId="14" xfId="15" applyNumberFormat="1" applyFont="1" applyBorder="1" applyAlignment="1">
      <alignment/>
    </xf>
    <xf numFmtId="164" fontId="0" fillId="0" borderId="1" xfId="15" applyNumberFormat="1" applyFont="1" applyBorder="1" applyAlignment="1">
      <alignment/>
    </xf>
    <xf numFmtId="43" fontId="0" fillId="0" borderId="1" xfId="15" applyBorder="1" applyAlignment="1">
      <alignment/>
    </xf>
    <xf numFmtId="43" fontId="0" fillId="0" borderId="12" xfId="15" applyBorder="1" applyAlignment="1">
      <alignment/>
    </xf>
    <xf numFmtId="43" fontId="0" fillId="0" borderId="13" xfId="15" applyBorder="1" applyAlignment="1">
      <alignment/>
    </xf>
    <xf numFmtId="10" fontId="0" fillId="0" borderId="1" xfId="23" applyNumberFormat="1" applyBorder="1" applyAlignment="1">
      <alignment/>
    </xf>
    <xf numFmtId="0" fontId="0" fillId="0" borderId="0" xfId="0" applyAlignment="1" applyProtection="1">
      <alignment/>
      <protection/>
    </xf>
    <xf numFmtId="0" fontId="1" fillId="0" borderId="15" xfId="0" applyFont="1" applyBorder="1" applyAlignment="1" applyProtection="1">
      <alignment/>
      <protection/>
    </xf>
    <xf numFmtId="175" fontId="0" fillId="5" borderId="10" xfId="15" applyNumberFormat="1" applyFill="1" applyBorder="1" applyAlignment="1" applyProtection="1">
      <alignment/>
      <protection/>
    </xf>
    <xf numFmtId="175" fontId="0" fillId="5" borderId="13" xfId="15" applyNumberFormat="1" applyFill="1" applyBorder="1" applyAlignment="1" applyProtection="1">
      <alignment/>
      <protection/>
    </xf>
    <xf numFmtId="0" fontId="1" fillId="0" borderId="14" xfId="0" applyFont="1" applyBorder="1" applyAlignment="1" applyProtection="1">
      <alignment/>
      <protection/>
    </xf>
    <xf numFmtId="0" fontId="1" fillId="0" borderId="16" xfId="0" applyFont="1" applyBorder="1" applyAlignment="1" applyProtection="1">
      <alignment/>
      <protection/>
    </xf>
    <xf numFmtId="175" fontId="0" fillId="5" borderId="8" xfId="15" applyNumberFormat="1" applyFill="1" applyBorder="1" applyAlignment="1" applyProtection="1">
      <alignment/>
      <protection/>
    </xf>
    <xf numFmtId="175" fontId="0" fillId="5" borderId="1" xfId="15" applyNumberFormat="1" applyFill="1" applyBorder="1" applyAlignment="1" applyProtection="1">
      <alignment/>
      <protection/>
    </xf>
    <xf numFmtId="165" fontId="0" fillId="4" borderId="1" xfId="0" applyNumberFormat="1" applyFill="1" applyBorder="1" applyAlignment="1" applyProtection="1">
      <alignment/>
      <protection/>
    </xf>
    <xf numFmtId="0" fontId="1" fillId="4" borderId="17" xfId="0" applyFont="1" applyFill="1" applyBorder="1" applyAlignment="1" applyProtection="1">
      <alignment/>
      <protection/>
    </xf>
    <xf numFmtId="10" fontId="0" fillId="4" borderId="18" xfId="0" applyNumberFormat="1" applyFill="1" applyBorder="1" applyAlignment="1" applyProtection="1">
      <alignment/>
      <protection/>
    </xf>
    <xf numFmtId="0" fontId="1" fillId="4" borderId="19" xfId="0" applyFont="1" applyFill="1" applyBorder="1" applyAlignment="1" applyProtection="1">
      <alignment/>
      <protection/>
    </xf>
    <xf numFmtId="10" fontId="0" fillId="4" borderId="20" xfId="0" applyNumberFormat="1" applyFill="1" applyBorder="1" applyAlignment="1" applyProtection="1">
      <alignment/>
      <protection/>
    </xf>
    <xf numFmtId="0" fontId="1" fillId="4" borderId="21" xfId="0" applyFont="1" applyFill="1" applyBorder="1" applyAlignment="1" applyProtection="1">
      <alignment/>
      <protection/>
    </xf>
    <xf numFmtId="0" fontId="1" fillId="4" borderId="22" xfId="0" applyFont="1" applyFill="1" applyBorder="1" applyAlignment="1" applyProtection="1">
      <alignment/>
      <protection/>
    </xf>
    <xf numFmtId="10" fontId="0" fillId="4" borderId="23" xfId="0" applyNumberFormat="1" applyFill="1" applyBorder="1" applyAlignment="1" applyProtection="1">
      <alignment/>
      <protection/>
    </xf>
    <xf numFmtId="175" fontId="0" fillId="5" borderId="11" xfId="15" applyNumberFormat="1" applyFill="1" applyBorder="1" applyAlignment="1" applyProtection="1">
      <alignment/>
      <protection/>
    </xf>
    <xf numFmtId="175" fontId="0" fillId="5" borderId="12" xfId="15" applyNumberFormat="1" applyFill="1" applyBorder="1" applyAlignment="1" applyProtection="1">
      <alignment/>
      <protection/>
    </xf>
    <xf numFmtId="175" fontId="0" fillId="5" borderId="24" xfId="15" applyNumberFormat="1" applyFill="1" applyBorder="1" applyAlignment="1" applyProtection="1">
      <alignment/>
      <protection/>
    </xf>
    <xf numFmtId="0" fontId="1" fillId="0" borderId="25" xfId="0" applyFont="1" applyBorder="1" applyAlignment="1" applyProtection="1">
      <alignment/>
      <protection/>
    </xf>
    <xf numFmtId="175" fontId="0" fillId="5" borderId="26" xfId="15" applyNumberFormat="1" applyFill="1" applyBorder="1" applyAlignment="1" applyProtection="1">
      <alignment/>
      <protection/>
    </xf>
    <xf numFmtId="175" fontId="0" fillId="5" borderId="27" xfId="15" applyNumberFormat="1" applyFill="1" applyBorder="1" applyAlignment="1" applyProtection="1">
      <alignment/>
      <protection/>
    </xf>
    <xf numFmtId="165" fontId="0" fillId="4" borderId="11" xfId="0" applyNumberFormat="1" applyFill="1" applyBorder="1" applyAlignment="1" applyProtection="1">
      <alignment/>
      <protection/>
    </xf>
    <xf numFmtId="165" fontId="0" fillId="4" borderId="2" xfId="0" applyNumberFormat="1" applyFill="1" applyBorder="1" applyAlignment="1" applyProtection="1">
      <alignment/>
      <protection/>
    </xf>
    <xf numFmtId="164" fontId="0" fillId="7" borderId="28" xfId="15" applyNumberFormat="1" applyFill="1" applyBorder="1" applyAlignment="1" applyProtection="1">
      <alignment/>
      <protection/>
    </xf>
    <xf numFmtId="0" fontId="0" fillId="0" borderId="29" xfId="0" applyBorder="1" applyAlignment="1" applyProtection="1">
      <alignment/>
      <protection/>
    </xf>
    <xf numFmtId="0" fontId="1" fillId="0" borderId="30" xfId="0" applyFont="1" applyBorder="1" applyAlignment="1" applyProtection="1">
      <alignment/>
      <protection/>
    </xf>
    <xf numFmtId="165" fontId="0" fillId="4" borderId="31" xfId="0" applyNumberFormat="1" applyFill="1" applyBorder="1" applyAlignment="1" applyProtection="1">
      <alignment/>
      <protection/>
    </xf>
    <xf numFmtId="164" fontId="0" fillId="4" borderId="1" xfId="15" applyNumberFormat="1" applyFill="1" applyBorder="1" applyAlignment="1" applyProtection="1">
      <alignment/>
      <protection/>
    </xf>
    <xf numFmtId="164" fontId="0" fillId="4" borderId="12" xfId="15" applyNumberFormat="1" applyFill="1" applyBorder="1" applyAlignment="1" applyProtection="1">
      <alignment/>
      <protection/>
    </xf>
    <xf numFmtId="164" fontId="0" fillId="4" borderId="13" xfId="15" applyNumberFormat="1" applyFill="1" applyBorder="1" applyAlignment="1" applyProtection="1">
      <alignment/>
      <protection/>
    </xf>
    <xf numFmtId="0" fontId="0" fillId="8" borderId="29" xfId="0" applyFill="1" applyBorder="1" applyAlignment="1" applyProtection="1">
      <alignment/>
      <protection/>
    </xf>
    <xf numFmtId="0" fontId="0" fillId="8" borderId="0" xfId="0" applyFill="1" applyBorder="1" applyAlignment="1" applyProtection="1">
      <alignment/>
      <protection/>
    </xf>
    <xf numFmtId="0" fontId="0" fillId="0" borderId="0" xfId="0" applyAlignment="1">
      <alignment horizontal="right"/>
    </xf>
    <xf numFmtId="44" fontId="0" fillId="0" borderId="1" xfId="0" applyNumberFormat="1" applyBorder="1" applyAlignment="1">
      <alignment/>
    </xf>
    <xf numFmtId="0" fontId="0" fillId="0" borderId="0" xfId="0" applyFill="1" applyBorder="1" applyAlignment="1">
      <alignment horizontal="right"/>
    </xf>
    <xf numFmtId="0" fontId="1" fillId="3" borderId="32" xfId="0" applyFont="1" applyFill="1" applyBorder="1" applyAlignment="1" applyProtection="1">
      <alignment/>
      <protection/>
    </xf>
    <xf numFmtId="0" fontId="1" fillId="3" borderId="33" xfId="0" applyFont="1" applyFill="1" applyBorder="1" applyAlignment="1" applyProtection="1">
      <alignment/>
      <protection/>
    </xf>
    <xf numFmtId="0" fontId="1" fillId="3" borderId="34" xfId="0" applyFont="1" applyFill="1" applyBorder="1" applyAlignment="1" applyProtection="1">
      <alignment/>
      <protection/>
    </xf>
    <xf numFmtId="175" fontId="0" fillId="5" borderId="2" xfId="15" applyNumberFormat="1" applyFill="1" applyBorder="1" applyAlignment="1" applyProtection="1">
      <alignment/>
      <protection/>
    </xf>
    <xf numFmtId="175" fontId="0" fillId="5" borderId="35" xfId="15" applyNumberFormat="1" applyFill="1" applyBorder="1" applyAlignment="1" applyProtection="1">
      <alignment/>
      <protection/>
    </xf>
    <xf numFmtId="175" fontId="0" fillId="5" borderId="36" xfId="15" applyNumberFormat="1" applyFill="1" applyBorder="1" applyAlignment="1" applyProtection="1">
      <alignment/>
      <protection/>
    </xf>
    <xf numFmtId="44" fontId="0" fillId="5" borderId="10" xfId="17" applyFill="1" applyBorder="1" applyAlignment="1" applyProtection="1">
      <alignment/>
      <protection/>
    </xf>
    <xf numFmtId="44" fontId="0" fillId="5" borderId="13" xfId="17" applyFill="1" applyBorder="1" applyAlignment="1" applyProtection="1">
      <alignment/>
      <protection/>
    </xf>
    <xf numFmtId="44" fontId="0" fillId="5" borderId="36" xfId="17" applyFill="1" applyBorder="1" applyAlignment="1" applyProtection="1">
      <alignment/>
      <protection/>
    </xf>
    <xf numFmtId="44" fontId="0" fillId="5" borderId="12" xfId="17" applyFill="1" applyBorder="1" applyAlignment="1" applyProtection="1">
      <alignment/>
      <protection/>
    </xf>
    <xf numFmtId="44" fontId="0" fillId="5" borderId="1" xfId="17" applyFill="1" applyBorder="1" applyAlignment="1" applyProtection="1">
      <alignment/>
      <protection/>
    </xf>
    <xf numFmtId="44" fontId="0" fillId="5" borderId="11" xfId="17" applyFill="1" applyBorder="1" applyAlignment="1" applyProtection="1">
      <alignment/>
      <protection/>
    </xf>
    <xf numFmtId="44" fontId="0" fillId="5" borderId="37" xfId="17" applyFill="1" applyBorder="1" applyAlignment="1" applyProtection="1">
      <alignment/>
      <protection/>
    </xf>
    <xf numFmtId="44" fontId="0" fillId="5" borderId="2" xfId="17" applyFill="1" applyBorder="1" applyAlignment="1" applyProtection="1">
      <alignment/>
      <protection/>
    </xf>
    <xf numFmtId="44" fontId="0" fillId="5" borderId="35" xfId="17" applyFill="1" applyBorder="1" applyAlignment="1" applyProtection="1">
      <alignment/>
      <protection/>
    </xf>
    <xf numFmtId="0" fontId="0" fillId="0" borderId="0" xfId="0" applyAlignment="1">
      <alignment vertical="center"/>
    </xf>
    <xf numFmtId="44" fontId="0" fillId="0" borderId="8" xfId="0" applyNumberFormat="1" applyBorder="1" applyAlignment="1">
      <alignment/>
    </xf>
    <xf numFmtId="44" fontId="1" fillId="3" borderId="38" xfId="17" applyFont="1" applyFill="1" applyBorder="1" applyAlignment="1">
      <alignment horizontal="left" wrapText="1"/>
    </xf>
    <xf numFmtId="0" fontId="1" fillId="3" borderId="28" xfId="0" applyFont="1" applyFill="1" applyBorder="1" applyAlignment="1">
      <alignment wrapText="1"/>
    </xf>
    <xf numFmtId="44" fontId="0" fillId="7" borderId="8" xfId="17" applyFill="1" applyBorder="1" applyAlignment="1" applyProtection="1">
      <alignment/>
      <protection locked="0"/>
    </xf>
    <xf numFmtId="44" fontId="0" fillId="7" borderId="1" xfId="17" applyFill="1" applyBorder="1" applyAlignment="1" applyProtection="1">
      <alignment/>
      <protection locked="0"/>
    </xf>
    <xf numFmtId="0" fontId="0" fillId="0" borderId="0" xfId="0" applyAlignment="1" applyProtection="1">
      <alignment/>
      <protection locked="0"/>
    </xf>
    <xf numFmtId="0" fontId="1" fillId="5" borderId="28" xfId="0" applyFont="1" applyFill="1" applyBorder="1" applyAlignment="1">
      <alignment/>
    </xf>
    <xf numFmtId="1" fontId="0" fillId="0" borderId="1" xfId="0" applyNumberFormat="1" applyBorder="1" applyAlignment="1">
      <alignment/>
    </xf>
    <xf numFmtId="164" fontId="0" fillId="0" borderId="1" xfId="0" applyNumberFormat="1" applyBorder="1" applyAlignment="1">
      <alignment/>
    </xf>
    <xf numFmtId="0" fontId="0" fillId="3" borderId="1" xfId="0" applyFill="1" applyBorder="1" applyAlignment="1">
      <alignment/>
    </xf>
    <xf numFmtId="0" fontId="1" fillId="0" borderId="38" xfId="0" applyFont="1" applyBorder="1" applyAlignment="1" applyProtection="1">
      <alignment/>
      <protection/>
    </xf>
    <xf numFmtId="0" fontId="1" fillId="0" borderId="4" xfId="0" applyFont="1" applyBorder="1" applyAlignment="1" applyProtection="1">
      <alignment/>
      <protection/>
    </xf>
    <xf numFmtId="0" fontId="1" fillId="0" borderId="5" xfId="0" applyFont="1" applyBorder="1" applyAlignment="1" applyProtection="1">
      <alignment/>
      <protection/>
    </xf>
    <xf numFmtId="0" fontId="1" fillId="0" borderId="39" xfId="0" applyFont="1" applyBorder="1" applyAlignment="1" applyProtection="1">
      <alignment/>
      <protection/>
    </xf>
    <xf numFmtId="165" fontId="0" fillId="5" borderId="40" xfId="0" applyNumberFormat="1" applyFill="1" applyBorder="1" applyAlignment="1" applyProtection="1">
      <alignment/>
      <protection/>
    </xf>
    <xf numFmtId="165" fontId="0" fillId="5" borderId="41" xfId="0" applyNumberFormat="1" applyFill="1" applyBorder="1" applyAlignment="1" applyProtection="1">
      <alignment/>
      <protection/>
    </xf>
    <xf numFmtId="0" fontId="1" fillId="0" borderId="6" xfId="0" applyFont="1" applyBorder="1" applyAlignment="1" applyProtection="1">
      <alignment/>
      <protection/>
    </xf>
    <xf numFmtId="0" fontId="1" fillId="4" borderId="42" xfId="0" applyFont="1" applyFill="1" applyBorder="1" applyAlignment="1">
      <alignment/>
    </xf>
    <xf numFmtId="0" fontId="1" fillId="0" borderId="19" xfId="0" applyFont="1" applyBorder="1" applyAlignment="1" applyProtection="1">
      <alignment/>
      <protection/>
    </xf>
    <xf numFmtId="165" fontId="0" fillId="4" borderId="12" xfId="0" applyNumberFormat="1" applyFill="1" applyBorder="1" applyAlignment="1" applyProtection="1">
      <alignment/>
      <protection/>
    </xf>
    <xf numFmtId="0" fontId="1" fillId="0" borderId="21" xfId="0" applyFont="1" applyBorder="1" applyAlignment="1" applyProtection="1">
      <alignment/>
      <protection/>
    </xf>
    <xf numFmtId="0" fontId="1" fillId="0" borderId="43" xfId="0" applyFont="1" applyBorder="1" applyAlignment="1" applyProtection="1">
      <alignment/>
      <protection/>
    </xf>
    <xf numFmtId="0" fontId="1" fillId="0" borderId="28" xfId="0" applyFont="1" applyBorder="1" applyAlignment="1" applyProtection="1">
      <alignment/>
      <protection/>
    </xf>
    <xf numFmtId="0" fontId="0" fillId="8" borderId="44" xfId="0" applyFill="1" applyBorder="1" applyAlignment="1" applyProtection="1">
      <alignment/>
      <protection/>
    </xf>
    <xf numFmtId="0" fontId="0" fillId="8" borderId="45" xfId="0" applyFill="1" applyBorder="1" applyAlignment="1" applyProtection="1">
      <alignment/>
      <protection/>
    </xf>
    <xf numFmtId="0" fontId="1" fillId="3" borderId="46" xfId="0" applyFont="1" applyFill="1" applyBorder="1" applyAlignment="1" applyProtection="1">
      <alignment/>
      <protection/>
    </xf>
    <xf numFmtId="0" fontId="1" fillId="3" borderId="46" xfId="0" applyFont="1" applyFill="1" applyBorder="1" applyAlignment="1" applyProtection="1">
      <alignment wrapText="1"/>
      <protection/>
    </xf>
    <xf numFmtId="0" fontId="7" fillId="9" borderId="42" xfId="0" applyFont="1" applyFill="1" applyBorder="1" applyAlignment="1" applyProtection="1">
      <alignment wrapText="1"/>
      <protection/>
    </xf>
    <xf numFmtId="164" fontId="0" fillId="4" borderId="11" xfId="15" applyNumberFormat="1" applyFill="1" applyBorder="1" applyAlignment="1" applyProtection="1">
      <alignment/>
      <protection/>
    </xf>
    <xf numFmtId="164" fontId="0" fillId="4" borderId="2" xfId="15" applyNumberFormat="1" applyFill="1" applyBorder="1" applyAlignment="1" applyProtection="1">
      <alignment/>
      <protection/>
    </xf>
    <xf numFmtId="164" fontId="0" fillId="4" borderId="10" xfId="15" applyNumberFormat="1" applyFill="1" applyBorder="1" applyAlignment="1" applyProtection="1">
      <alignment/>
      <protection/>
    </xf>
    <xf numFmtId="43" fontId="0" fillId="10" borderId="28" xfId="0" applyNumberFormat="1" applyFill="1" applyBorder="1" applyAlignment="1" applyProtection="1">
      <alignment/>
      <protection/>
    </xf>
    <xf numFmtId="175" fontId="0" fillId="5" borderId="47" xfId="15" applyNumberFormat="1" applyFill="1" applyBorder="1" applyAlignment="1" applyProtection="1">
      <alignment/>
      <protection/>
    </xf>
    <xf numFmtId="175" fontId="0" fillId="5" borderId="48" xfId="15" applyNumberFormat="1" applyFill="1" applyBorder="1" applyAlignment="1" applyProtection="1">
      <alignment/>
      <protection/>
    </xf>
    <xf numFmtId="165" fontId="0" fillId="4" borderId="47" xfId="0" applyNumberFormat="1" applyFill="1" applyBorder="1" applyAlignment="1" applyProtection="1">
      <alignment/>
      <protection/>
    </xf>
    <xf numFmtId="165" fontId="0" fillId="4" borderId="48" xfId="0" applyNumberFormat="1" applyFill="1" applyBorder="1" applyAlignment="1" applyProtection="1">
      <alignment/>
      <protection/>
    </xf>
    <xf numFmtId="165" fontId="0" fillId="4" borderId="3" xfId="0" applyNumberFormat="1" applyFill="1" applyBorder="1" applyAlignment="1" applyProtection="1">
      <alignment/>
      <protection/>
    </xf>
    <xf numFmtId="165" fontId="0" fillId="4" borderId="49" xfId="0" applyNumberFormat="1" applyFill="1" applyBorder="1" applyAlignment="1" applyProtection="1">
      <alignment/>
      <protection/>
    </xf>
    <xf numFmtId="165" fontId="0" fillId="10" borderId="16" xfId="15" applyNumberFormat="1" applyFill="1" applyBorder="1" applyAlignment="1" applyProtection="1">
      <alignment/>
      <protection/>
    </xf>
    <xf numFmtId="165" fontId="0" fillId="10" borderId="25" xfId="15" applyNumberFormat="1" applyFill="1" applyBorder="1" applyAlignment="1" applyProtection="1">
      <alignment/>
      <protection/>
    </xf>
    <xf numFmtId="165" fontId="0" fillId="10" borderId="50" xfId="15" applyNumberFormat="1" applyFill="1" applyBorder="1" applyAlignment="1" applyProtection="1">
      <alignment/>
      <protection/>
    </xf>
    <xf numFmtId="0" fontId="1" fillId="3" borderId="51" xfId="0" applyFont="1" applyFill="1" applyBorder="1" applyAlignment="1" applyProtection="1">
      <alignment/>
      <protection/>
    </xf>
    <xf numFmtId="165" fontId="0" fillId="5" borderId="52" xfId="15" applyNumberFormat="1" applyFill="1" applyBorder="1" applyAlignment="1" applyProtection="1">
      <alignment/>
      <protection/>
    </xf>
    <xf numFmtId="165" fontId="0" fillId="5" borderId="50" xfId="15" applyNumberFormat="1" applyFill="1" applyBorder="1" applyAlignment="1" applyProtection="1">
      <alignment/>
      <protection/>
    </xf>
    <xf numFmtId="175" fontId="0" fillId="5" borderId="53" xfId="15" applyNumberFormat="1" applyFill="1" applyBorder="1" applyAlignment="1" applyProtection="1">
      <alignment/>
      <protection/>
    </xf>
    <xf numFmtId="175" fontId="0" fillId="5" borderId="54" xfId="15" applyNumberFormat="1" applyFill="1" applyBorder="1" applyAlignment="1" applyProtection="1">
      <alignment/>
      <protection/>
    </xf>
    <xf numFmtId="165" fontId="0" fillId="5" borderId="55" xfId="0" applyNumberFormat="1" applyFill="1" applyBorder="1" applyAlignment="1" applyProtection="1">
      <alignment/>
      <protection/>
    </xf>
    <xf numFmtId="0" fontId="0" fillId="8" borderId="29" xfId="0" applyFill="1" applyBorder="1" applyAlignment="1">
      <alignment/>
    </xf>
    <xf numFmtId="0" fontId="0" fillId="8" borderId="0" xfId="0" applyFill="1" applyBorder="1" applyAlignment="1">
      <alignment/>
    </xf>
    <xf numFmtId="0" fontId="0" fillId="8" borderId="56" xfId="0" applyFill="1" applyBorder="1" applyAlignment="1">
      <alignment/>
    </xf>
    <xf numFmtId="0" fontId="0" fillId="8" borderId="38" xfId="0" applyFill="1" applyBorder="1" applyAlignment="1">
      <alignment/>
    </xf>
    <xf numFmtId="0" fontId="0" fillId="8" borderId="44" xfId="0" applyFill="1" applyBorder="1" applyAlignment="1">
      <alignment/>
    </xf>
    <xf numFmtId="0" fontId="0" fillId="8" borderId="45" xfId="0" applyFill="1" applyBorder="1" applyAlignment="1">
      <alignment/>
    </xf>
    <xf numFmtId="0" fontId="0" fillId="8" borderId="44" xfId="0" applyFill="1" applyBorder="1" applyAlignment="1">
      <alignment/>
    </xf>
    <xf numFmtId="0" fontId="0" fillId="8" borderId="45" xfId="0" applyFill="1" applyBorder="1" applyAlignment="1">
      <alignment/>
    </xf>
    <xf numFmtId="44" fontId="0" fillId="5" borderId="47" xfId="17" applyFill="1" applyBorder="1" applyAlignment="1" applyProtection="1">
      <alignment/>
      <protection/>
    </xf>
    <xf numFmtId="44" fontId="0" fillId="5" borderId="48" xfId="17" applyFill="1" applyBorder="1" applyAlignment="1" applyProtection="1">
      <alignment/>
      <protection/>
    </xf>
    <xf numFmtId="44" fontId="0" fillId="5" borderId="22" xfId="17" applyFill="1" applyBorder="1" applyAlignment="1" applyProtection="1">
      <alignment/>
      <protection/>
    </xf>
    <xf numFmtId="44" fontId="0" fillId="10" borderId="1" xfId="17" applyFill="1" applyBorder="1" applyAlignment="1" applyProtection="1">
      <alignment/>
      <protection/>
    </xf>
    <xf numFmtId="44" fontId="0" fillId="10" borderId="42" xfId="17" applyFill="1" applyBorder="1" applyAlignment="1" applyProtection="1">
      <alignment/>
      <protection/>
    </xf>
    <xf numFmtId="44" fontId="0" fillId="10" borderId="52" xfId="17" applyFill="1" applyBorder="1" applyAlignment="1" applyProtection="1">
      <alignment/>
      <protection/>
    </xf>
    <xf numFmtId="44" fontId="0" fillId="10" borderId="16" xfId="17" applyFill="1" applyBorder="1" applyAlignment="1" applyProtection="1">
      <alignment/>
      <protection/>
    </xf>
    <xf numFmtId="44" fontId="0" fillId="10" borderId="15" xfId="17" applyFill="1" applyBorder="1" applyAlignment="1" applyProtection="1">
      <alignment/>
      <protection/>
    </xf>
    <xf numFmtId="164" fontId="0" fillId="0" borderId="28" xfId="15" applyNumberFormat="1" applyFont="1" applyBorder="1" applyAlignment="1" applyProtection="1">
      <alignment/>
      <protection locked="0"/>
    </xf>
    <xf numFmtId="0" fontId="0" fillId="0" borderId="29" xfId="0" applyBorder="1" applyAlignment="1" applyProtection="1">
      <alignment horizontal="center" vertical="center"/>
      <protection locked="0"/>
    </xf>
    <xf numFmtId="0" fontId="0" fillId="4" borderId="31" xfId="0" applyFill="1" applyBorder="1" applyAlignment="1">
      <alignment horizontal="left" wrapText="1"/>
    </xf>
    <xf numFmtId="0" fontId="0" fillId="4" borderId="1" xfId="0" applyFill="1" applyBorder="1" applyAlignment="1">
      <alignment horizontal="left" wrapText="1"/>
    </xf>
    <xf numFmtId="164" fontId="0" fillId="0" borderId="0" xfId="0" applyNumberFormat="1" applyAlignment="1">
      <alignment/>
    </xf>
    <xf numFmtId="1" fontId="0" fillId="3" borderId="16" xfId="0" applyNumberFormat="1" applyFill="1" applyBorder="1" applyAlignment="1">
      <alignment/>
    </xf>
    <xf numFmtId="0" fontId="0" fillId="0" borderId="24" xfId="0" applyBorder="1" applyAlignment="1">
      <alignment/>
    </xf>
    <xf numFmtId="1" fontId="0" fillId="3" borderId="50" xfId="0" applyNumberFormat="1" applyFill="1" applyBorder="1" applyAlignment="1">
      <alignment/>
    </xf>
    <xf numFmtId="0" fontId="0" fillId="3" borderId="40" xfId="0" applyFill="1" applyBorder="1" applyAlignment="1">
      <alignment wrapText="1"/>
    </xf>
    <xf numFmtId="0" fontId="1" fillId="3" borderId="28" xfId="0" applyFont="1" applyFill="1" applyBorder="1" applyAlignment="1">
      <alignment/>
    </xf>
    <xf numFmtId="43" fontId="0" fillId="5" borderId="10" xfId="15" applyFill="1" applyBorder="1" applyAlignment="1" applyProtection="1">
      <alignment/>
      <protection/>
    </xf>
    <xf numFmtId="43" fontId="0" fillId="5" borderId="13" xfId="15" applyFill="1" applyBorder="1" applyAlignment="1" applyProtection="1">
      <alignment/>
      <protection/>
    </xf>
    <xf numFmtId="43" fontId="0" fillId="5" borderId="36" xfId="15" applyFill="1" applyBorder="1" applyAlignment="1" applyProtection="1">
      <alignment/>
      <protection/>
    </xf>
    <xf numFmtId="0" fontId="1" fillId="3" borderId="11" xfId="0" applyFont="1" applyFill="1" applyBorder="1" applyAlignment="1" applyProtection="1">
      <alignment/>
      <protection/>
    </xf>
    <xf numFmtId="0" fontId="1" fillId="3" borderId="12" xfId="0" applyFont="1" applyFill="1" applyBorder="1" applyAlignment="1" applyProtection="1">
      <alignment/>
      <protection/>
    </xf>
    <xf numFmtId="43" fontId="0" fillId="5" borderId="11" xfId="15" applyFill="1" applyBorder="1" applyAlignment="1" applyProtection="1">
      <alignment/>
      <protection/>
    </xf>
    <xf numFmtId="43" fontId="0" fillId="5" borderId="12" xfId="15" applyFill="1" applyBorder="1" applyAlignment="1" applyProtection="1">
      <alignment/>
      <protection/>
    </xf>
    <xf numFmtId="43" fontId="0" fillId="5" borderId="2" xfId="15" applyFill="1" applyBorder="1" applyAlignment="1" applyProtection="1">
      <alignment/>
      <protection/>
    </xf>
    <xf numFmtId="43" fontId="0" fillId="5" borderId="1" xfId="15" applyFill="1" applyBorder="1" applyAlignment="1" applyProtection="1">
      <alignment/>
      <protection/>
    </xf>
    <xf numFmtId="0" fontId="0" fillId="8" borderId="38" xfId="0" applyFill="1" applyBorder="1" applyAlignment="1" applyProtection="1">
      <alignment/>
      <protection/>
    </xf>
    <xf numFmtId="165" fontId="0" fillId="5" borderId="46" xfId="15" applyNumberFormat="1" applyFill="1" applyBorder="1" applyAlignment="1" applyProtection="1">
      <alignment/>
      <protection/>
    </xf>
    <xf numFmtId="0" fontId="1" fillId="0" borderId="32" xfId="0" applyFont="1" applyFill="1" applyBorder="1" applyAlignment="1" applyProtection="1">
      <alignment horizontal="right"/>
      <protection/>
    </xf>
    <xf numFmtId="0" fontId="1" fillId="11" borderId="51" xfId="0" applyFont="1" applyFill="1" applyBorder="1" applyAlignment="1" applyProtection="1">
      <alignment horizontal="center"/>
      <protection/>
    </xf>
    <xf numFmtId="0" fontId="1" fillId="0" borderId="30" xfId="0" applyFont="1" applyFill="1" applyBorder="1" applyAlignment="1" applyProtection="1">
      <alignment horizontal="center"/>
      <protection/>
    </xf>
    <xf numFmtId="0" fontId="1" fillId="0" borderId="57" xfId="0" applyFont="1" applyFill="1" applyBorder="1" applyAlignment="1" applyProtection="1">
      <alignment/>
      <protection/>
    </xf>
    <xf numFmtId="0" fontId="0" fillId="8" borderId="57" xfId="0" applyFill="1" applyBorder="1" applyAlignment="1" applyProtection="1">
      <alignment/>
      <protection/>
    </xf>
    <xf numFmtId="0" fontId="1" fillId="11" borderId="28" xfId="0" applyFont="1" applyFill="1" applyBorder="1" applyAlignment="1" applyProtection="1">
      <alignment horizontal="center"/>
      <protection/>
    </xf>
    <xf numFmtId="43" fontId="0" fillId="5" borderId="3" xfId="15" applyFill="1" applyBorder="1" applyAlignment="1" applyProtection="1">
      <alignment/>
      <protection/>
    </xf>
    <xf numFmtId="43" fontId="0" fillId="5" borderId="31" xfId="15" applyFill="1" applyBorder="1" applyAlignment="1" applyProtection="1">
      <alignment/>
      <protection/>
    </xf>
    <xf numFmtId="0" fontId="1" fillId="0" borderId="50" xfId="0" applyFont="1" applyBorder="1" applyAlignment="1" applyProtection="1">
      <alignment/>
      <protection/>
    </xf>
    <xf numFmtId="0" fontId="4" fillId="0" borderId="1" xfId="22" applyFont="1" applyFill="1" applyBorder="1" applyAlignment="1">
      <alignment/>
      <protection/>
    </xf>
    <xf numFmtId="165" fontId="0" fillId="5" borderId="45" xfId="15" applyNumberFormat="1" applyFill="1" applyBorder="1" applyAlignment="1" applyProtection="1">
      <alignment/>
      <protection/>
    </xf>
    <xf numFmtId="44" fontId="0" fillId="0" borderId="0" xfId="0" applyNumberFormat="1" applyAlignment="1">
      <alignment/>
    </xf>
    <xf numFmtId="0" fontId="4" fillId="0" borderId="0" xfId="22" applyFont="1" applyFill="1" applyBorder="1" applyAlignment="1">
      <alignment horizontal="left"/>
      <protection/>
    </xf>
    <xf numFmtId="9" fontId="4" fillId="0" borderId="1" xfId="23" applyFont="1" applyFill="1" applyBorder="1" applyAlignment="1">
      <alignment horizontal="right"/>
    </xf>
    <xf numFmtId="0" fontId="4" fillId="0" borderId="31" xfId="22" applyFont="1" applyFill="1" applyBorder="1" applyAlignment="1">
      <alignment horizontal="left"/>
      <protection/>
    </xf>
    <xf numFmtId="10" fontId="0" fillId="0" borderId="31" xfId="23" applyNumberFormat="1" applyBorder="1" applyAlignment="1">
      <alignment/>
    </xf>
    <xf numFmtId="165" fontId="0" fillId="0" borderId="31" xfId="15" applyNumberFormat="1" applyBorder="1" applyAlignment="1">
      <alignment/>
    </xf>
    <xf numFmtId="0" fontId="4" fillId="0" borderId="8" xfId="22" applyFont="1" applyFill="1" applyBorder="1" applyAlignment="1">
      <alignment/>
      <protection/>
    </xf>
    <xf numFmtId="164" fontId="4" fillId="0" borderId="8" xfId="15" applyNumberFormat="1" applyFont="1" applyFill="1" applyBorder="1" applyAlignment="1">
      <alignment horizontal="right"/>
    </xf>
    <xf numFmtId="9" fontId="4" fillId="0" borderId="8" xfId="23" applyFont="1" applyFill="1" applyBorder="1" applyAlignment="1">
      <alignment horizontal="right"/>
    </xf>
    <xf numFmtId="0" fontId="4" fillId="12" borderId="38" xfId="22" applyFont="1" applyFill="1" applyBorder="1" applyAlignment="1">
      <alignment horizontal="left"/>
      <protection/>
    </xf>
    <xf numFmtId="0" fontId="4" fillId="12" borderId="44" xfId="22" applyFont="1" applyFill="1" applyBorder="1" applyAlignment="1">
      <alignment/>
      <protection/>
    </xf>
    <xf numFmtId="164" fontId="4" fillId="12" borderId="44" xfId="15" applyNumberFormat="1" applyFont="1" applyFill="1" applyBorder="1" applyAlignment="1">
      <alignment horizontal="right"/>
    </xf>
    <xf numFmtId="10" fontId="0" fillId="4" borderId="44" xfId="23" applyNumberFormat="1" applyFill="1" applyBorder="1" applyAlignment="1">
      <alignment/>
    </xf>
    <xf numFmtId="165" fontId="0" fillId="4" borderId="44" xfId="15" applyNumberFormat="1" applyFill="1" applyBorder="1" applyAlignment="1">
      <alignment/>
    </xf>
    <xf numFmtId="165" fontId="0" fillId="4" borderId="45" xfId="15" applyNumberFormat="1" applyFill="1" applyBorder="1" applyAlignment="1">
      <alignment/>
    </xf>
    <xf numFmtId="0" fontId="4" fillId="0" borderId="31" xfId="22" applyFont="1" applyFill="1" applyBorder="1" applyAlignment="1">
      <alignment/>
      <protection/>
    </xf>
    <xf numFmtId="164" fontId="4" fillId="0" borderId="1" xfId="15" applyNumberFormat="1" applyFont="1" applyFill="1" applyBorder="1" applyAlignment="1">
      <alignment horizontal="right"/>
    </xf>
    <xf numFmtId="0" fontId="4" fillId="0" borderId="1" xfId="22" applyFont="1" applyFill="1" applyBorder="1" applyAlignment="1">
      <alignment horizontal="left"/>
      <protection/>
    </xf>
    <xf numFmtId="164" fontId="4" fillId="0" borderId="31" xfId="15" applyNumberFormat="1" applyFont="1" applyFill="1" applyBorder="1" applyAlignment="1">
      <alignment horizontal="right"/>
    </xf>
    <xf numFmtId="0" fontId="4" fillId="0" borderId="7" xfId="22" applyFont="1" applyFill="1" applyBorder="1" applyAlignment="1">
      <alignment/>
      <protection/>
    </xf>
    <xf numFmtId="0" fontId="4" fillId="0" borderId="1" xfId="21" applyFont="1" applyFill="1" applyBorder="1" applyAlignment="1">
      <alignment wrapText="1"/>
      <protection/>
    </xf>
    <xf numFmtId="164" fontId="4" fillId="0" borderId="0" xfId="15" applyNumberFormat="1" applyFont="1" applyFill="1" applyAlignment="1">
      <alignment horizontal="right"/>
    </xf>
    <xf numFmtId="164" fontId="0" fillId="0" borderId="1" xfId="15" applyNumberFormat="1" applyFill="1" applyBorder="1" applyAlignment="1">
      <alignment/>
    </xf>
    <xf numFmtId="0" fontId="1" fillId="0" borderId="14" xfId="0" applyFont="1" applyBorder="1" applyAlignment="1" applyProtection="1">
      <alignment horizontal="center" wrapText="1"/>
      <protection/>
    </xf>
    <xf numFmtId="0" fontId="1" fillId="0" borderId="42" xfId="0" applyFont="1" applyBorder="1" applyAlignment="1" applyProtection="1">
      <alignment horizontal="center" wrapText="1"/>
      <protection/>
    </xf>
    <xf numFmtId="0" fontId="11" fillId="13" borderId="38" xfId="0" applyFont="1" applyFill="1" applyBorder="1" applyAlignment="1" applyProtection="1">
      <alignment horizontal="center"/>
      <protection/>
    </xf>
    <xf numFmtId="0" fontId="11" fillId="13" borderId="44" xfId="0" applyFont="1" applyFill="1" applyBorder="1" applyAlignment="1" applyProtection="1">
      <alignment horizontal="center"/>
      <protection/>
    </xf>
    <xf numFmtId="0" fontId="11" fillId="13" borderId="45" xfId="0" applyFont="1" applyFill="1" applyBorder="1" applyAlignment="1" applyProtection="1">
      <alignment horizontal="center"/>
      <protection/>
    </xf>
    <xf numFmtId="0" fontId="1" fillId="0" borderId="56" xfId="0" applyFont="1" applyBorder="1" applyAlignment="1" applyProtection="1">
      <alignment horizontal="center" wrapText="1"/>
      <protection/>
    </xf>
    <xf numFmtId="0" fontId="11" fillId="13" borderId="38" xfId="0" applyFont="1" applyFill="1" applyBorder="1" applyAlignment="1" applyProtection="1">
      <alignment horizontal="center" wrapText="1"/>
      <protection/>
    </xf>
    <xf numFmtId="0" fontId="11" fillId="13" borderId="44" xfId="0" applyFont="1" applyFill="1" applyBorder="1" applyAlignment="1" applyProtection="1">
      <alignment horizontal="center" wrapText="1"/>
      <protection/>
    </xf>
    <xf numFmtId="0" fontId="11" fillId="13" borderId="45" xfId="0" applyFont="1" applyFill="1" applyBorder="1" applyAlignment="1" applyProtection="1">
      <alignment horizontal="center" wrapText="1"/>
      <protection/>
    </xf>
    <xf numFmtId="0" fontId="0" fillId="8" borderId="38" xfId="0" applyFill="1" applyBorder="1" applyAlignment="1" applyProtection="1">
      <alignment horizontal="center"/>
      <protection/>
    </xf>
    <xf numFmtId="0" fontId="0" fillId="8" borderId="44" xfId="0" applyFill="1" applyBorder="1" applyAlignment="1" applyProtection="1">
      <alignment horizontal="center"/>
      <protection/>
    </xf>
    <xf numFmtId="0" fontId="0" fillId="8" borderId="45" xfId="0" applyFill="1" applyBorder="1" applyAlignment="1" applyProtection="1">
      <alignment horizontal="center"/>
      <protection/>
    </xf>
    <xf numFmtId="0" fontId="0" fillId="8" borderId="29" xfId="0" applyFill="1" applyBorder="1" applyAlignment="1" applyProtection="1">
      <alignment horizontal="center"/>
      <protection/>
    </xf>
    <xf numFmtId="0" fontId="1" fillId="0" borderId="38" xfId="0" applyFont="1" applyBorder="1" applyAlignment="1" applyProtection="1">
      <alignment horizontal="center"/>
      <protection/>
    </xf>
    <xf numFmtId="0" fontId="1" fillId="0" borderId="44" xfId="0" applyFont="1" applyBorder="1" applyAlignment="1" applyProtection="1">
      <alignment horizontal="center"/>
      <protection/>
    </xf>
    <xf numFmtId="0" fontId="6" fillId="0" borderId="38" xfId="0" applyFont="1" applyBorder="1" applyAlignment="1" applyProtection="1">
      <alignment horizontal="center"/>
      <protection/>
    </xf>
    <xf numFmtId="0" fontId="6" fillId="0" borderId="44" xfId="0" applyFont="1" applyBorder="1" applyAlignment="1" applyProtection="1">
      <alignment horizontal="center"/>
      <protection/>
    </xf>
    <xf numFmtId="0" fontId="6" fillId="0" borderId="45" xfId="0" applyFont="1" applyBorder="1" applyAlignment="1" applyProtection="1">
      <alignment horizontal="center"/>
      <protection/>
    </xf>
    <xf numFmtId="0" fontId="1" fillId="0" borderId="38" xfId="0" applyFont="1" applyFill="1" applyBorder="1" applyAlignment="1" applyProtection="1">
      <alignment horizontal="center"/>
      <protection/>
    </xf>
    <xf numFmtId="0" fontId="1" fillId="0" borderId="44" xfId="0" applyFont="1" applyFill="1" applyBorder="1" applyAlignment="1" applyProtection="1">
      <alignment horizontal="center"/>
      <protection/>
    </xf>
    <xf numFmtId="0" fontId="1" fillId="0" borderId="45" xfId="0" applyFont="1" applyFill="1" applyBorder="1" applyAlignment="1" applyProtection="1">
      <alignment horizontal="center"/>
      <protection/>
    </xf>
    <xf numFmtId="14" fontId="1" fillId="11" borderId="38" xfId="0" applyNumberFormat="1" applyFont="1" applyFill="1" applyBorder="1" applyAlignment="1" applyProtection="1">
      <alignment horizontal="center"/>
      <protection/>
    </xf>
    <xf numFmtId="14" fontId="1" fillId="11" borderId="44" xfId="0" applyNumberFormat="1" applyFont="1" applyFill="1" applyBorder="1" applyAlignment="1" applyProtection="1">
      <alignment horizontal="center"/>
      <protection/>
    </xf>
    <xf numFmtId="14" fontId="1" fillId="11" borderId="45" xfId="0" applyNumberFormat="1" applyFont="1" applyFill="1" applyBorder="1" applyAlignment="1" applyProtection="1">
      <alignment horizontal="center"/>
      <protection/>
    </xf>
    <xf numFmtId="0" fontId="1" fillId="0" borderId="38" xfId="0" applyFont="1" applyBorder="1" applyAlignment="1" applyProtection="1">
      <alignment horizontal="left" wrapText="1"/>
      <protection/>
    </xf>
    <xf numFmtId="0" fontId="1" fillId="0" borderId="44" xfId="0" applyFont="1" applyBorder="1" applyAlignment="1" applyProtection="1">
      <alignment horizontal="left" wrapText="1"/>
      <protection/>
    </xf>
    <xf numFmtId="0" fontId="1" fillId="0" borderId="45" xfId="0" applyFont="1" applyBorder="1" applyAlignment="1" applyProtection="1">
      <alignment horizontal="left" wrapText="1"/>
      <protection/>
    </xf>
    <xf numFmtId="0" fontId="1" fillId="0" borderId="30" xfId="0" applyFont="1" applyBorder="1" applyAlignment="1" applyProtection="1">
      <alignment horizontal="left" wrapText="1"/>
      <protection/>
    </xf>
    <xf numFmtId="0" fontId="1" fillId="0" borderId="57" xfId="0" applyFont="1" applyBorder="1" applyAlignment="1" applyProtection="1">
      <alignment horizontal="left" wrapText="1"/>
      <protection/>
    </xf>
    <xf numFmtId="0" fontId="1" fillId="0" borderId="58" xfId="0" applyFont="1" applyBorder="1" applyAlignment="1" applyProtection="1">
      <alignment horizontal="left" wrapText="1"/>
      <protection/>
    </xf>
    <xf numFmtId="0" fontId="1" fillId="0" borderId="45" xfId="0" applyFont="1" applyBorder="1" applyAlignment="1" applyProtection="1">
      <alignment horizontal="center"/>
      <protection/>
    </xf>
    <xf numFmtId="0" fontId="0" fillId="8" borderId="30" xfId="0" applyFill="1" applyBorder="1" applyAlignment="1" applyProtection="1">
      <alignment horizontal="center"/>
      <protection/>
    </xf>
    <xf numFmtId="0" fontId="0" fillId="8" borderId="59" xfId="0" applyFill="1" applyBorder="1" applyAlignment="1" applyProtection="1">
      <alignment horizontal="center"/>
      <protection/>
    </xf>
    <xf numFmtId="0" fontId="8" fillId="0" borderId="59" xfId="0" applyFont="1" applyBorder="1" applyAlignment="1" applyProtection="1">
      <alignment horizontal="left" wrapText="1"/>
      <protection/>
    </xf>
    <xf numFmtId="0" fontId="8" fillId="0" borderId="60" xfId="0" applyFont="1" applyBorder="1" applyAlignment="1" applyProtection="1">
      <alignment horizontal="left" wrapText="1"/>
      <protection/>
    </xf>
    <xf numFmtId="0" fontId="8" fillId="0" borderId="61" xfId="0" applyFont="1" applyBorder="1" applyAlignment="1" applyProtection="1">
      <alignment horizontal="left" wrapText="1"/>
      <protection/>
    </xf>
    <xf numFmtId="0" fontId="7" fillId="0" borderId="38" xfId="0" applyFont="1" applyBorder="1" applyAlignment="1" applyProtection="1">
      <alignment horizontal="center"/>
      <protection/>
    </xf>
    <xf numFmtId="0" fontId="7" fillId="0" borderId="44" xfId="0" applyFont="1" applyBorder="1" applyAlignment="1" applyProtection="1">
      <alignment horizontal="center"/>
      <protection/>
    </xf>
    <xf numFmtId="0" fontId="7" fillId="0" borderId="45" xfId="0" applyFont="1" applyBorder="1" applyAlignment="1" applyProtection="1">
      <alignment horizontal="center"/>
      <protection/>
    </xf>
    <xf numFmtId="0" fontId="1" fillId="3" borderId="38" xfId="0" applyFont="1" applyFill="1" applyBorder="1" applyAlignment="1" applyProtection="1">
      <alignment horizontal="center"/>
      <protection/>
    </xf>
    <xf numFmtId="0" fontId="1" fillId="3" borderId="44" xfId="0" applyFont="1" applyFill="1" applyBorder="1" applyAlignment="1" applyProtection="1">
      <alignment horizontal="center"/>
      <protection/>
    </xf>
    <xf numFmtId="0" fontId="1" fillId="3" borderId="45" xfId="0" applyFont="1" applyFill="1" applyBorder="1" applyAlignment="1" applyProtection="1">
      <alignment horizontal="center"/>
      <protection/>
    </xf>
    <xf numFmtId="0" fontId="0" fillId="8" borderId="57" xfId="0" applyFill="1" applyBorder="1" applyAlignment="1" applyProtection="1">
      <alignment horizontal="center"/>
      <protection/>
    </xf>
    <xf numFmtId="0" fontId="0" fillId="8" borderId="58" xfId="0" applyFill="1" applyBorder="1" applyAlignment="1" applyProtection="1">
      <alignment horizontal="center"/>
      <protection/>
    </xf>
    <xf numFmtId="0" fontId="0" fillId="8" borderId="0" xfId="0" applyFill="1" applyBorder="1" applyAlignment="1" applyProtection="1">
      <alignment horizontal="center"/>
      <protection/>
    </xf>
    <xf numFmtId="0" fontId="0" fillId="8" borderId="56" xfId="0" applyFill="1" applyBorder="1" applyAlignment="1" applyProtection="1">
      <alignment horizontal="center"/>
      <protection/>
    </xf>
    <xf numFmtId="0" fontId="1" fillId="3" borderId="14" xfId="0" applyFont="1" applyFill="1" applyBorder="1" applyAlignment="1" applyProtection="1">
      <alignment horizontal="center" wrapText="1"/>
      <protection/>
    </xf>
    <xf numFmtId="0" fontId="1" fillId="3" borderId="42" xfId="0" applyFont="1" applyFill="1" applyBorder="1" applyAlignment="1" applyProtection="1">
      <alignment horizontal="center" wrapText="1"/>
      <protection/>
    </xf>
    <xf numFmtId="0" fontId="1" fillId="0" borderId="38" xfId="0" applyFont="1" applyFill="1" applyBorder="1" applyAlignment="1">
      <alignment wrapText="1"/>
    </xf>
    <xf numFmtId="0" fontId="0" fillId="0" borderId="44" xfId="0" applyFill="1" applyBorder="1" applyAlignment="1">
      <alignment wrapText="1"/>
    </xf>
    <xf numFmtId="0" fontId="0" fillId="0" borderId="45" xfId="0" applyFill="1" applyBorder="1" applyAlignment="1">
      <alignment wrapText="1"/>
    </xf>
    <xf numFmtId="0" fontId="1" fillId="3" borderId="30" xfId="0" applyFont="1" applyFill="1" applyBorder="1" applyAlignment="1" applyProtection="1">
      <alignment horizontal="center" wrapText="1"/>
      <protection/>
    </xf>
    <xf numFmtId="0" fontId="1" fillId="3" borderId="59" xfId="0" applyFont="1" applyFill="1" applyBorder="1" applyAlignment="1" applyProtection="1">
      <alignment horizontal="center" wrapText="1"/>
      <protection/>
    </xf>
    <xf numFmtId="0" fontId="0" fillId="8" borderId="38" xfId="0" applyFill="1" applyBorder="1" applyAlignment="1">
      <alignment horizontal="center"/>
    </xf>
    <xf numFmtId="0" fontId="0" fillId="8" borderId="44" xfId="0" applyFill="1" applyBorder="1" applyAlignment="1">
      <alignment horizontal="center"/>
    </xf>
    <xf numFmtId="0" fontId="0" fillId="8" borderId="45" xfId="0" applyFill="1" applyBorder="1" applyAlignment="1">
      <alignment horizontal="center"/>
    </xf>
    <xf numFmtId="0" fontId="1" fillId="0" borderId="46" xfId="0" applyFont="1" applyBorder="1" applyAlignment="1" applyProtection="1">
      <alignment horizontal="center" wrapText="1"/>
      <protection/>
    </xf>
    <xf numFmtId="0" fontId="0" fillId="14" borderId="14" xfId="0" applyFill="1" applyBorder="1" applyAlignment="1">
      <alignment horizontal="center"/>
    </xf>
    <xf numFmtId="0" fontId="0" fillId="14" borderId="46" xfId="0" applyFill="1" applyBorder="1" applyAlignment="1">
      <alignment horizontal="center"/>
    </xf>
    <xf numFmtId="0" fontId="0" fillId="14" borderId="42" xfId="0" applyFill="1" applyBorder="1" applyAlignment="1">
      <alignment horizontal="center"/>
    </xf>
    <xf numFmtId="0" fontId="0" fillId="4" borderId="1" xfId="0" applyFill="1" applyBorder="1" applyAlignment="1">
      <alignment horizontal="center" wrapText="1"/>
    </xf>
    <xf numFmtId="0" fontId="4" fillId="2" borderId="1" xfId="22" applyFont="1" applyFill="1" applyBorder="1" applyAlignment="1">
      <alignment horizontal="left" wrapText="1"/>
      <protection/>
    </xf>
    <xf numFmtId="164" fontId="4" fillId="2" borderId="1" xfId="15" applyNumberFormat="1" applyFont="1" applyFill="1" applyBorder="1" applyAlignment="1">
      <alignment horizontal="left" wrapText="1"/>
    </xf>
    <xf numFmtId="0" fontId="0" fillId="3" borderId="1" xfId="0" applyFill="1" applyBorder="1" applyAlignment="1">
      <alignment horizontal="left" wrapText="1"/>
    </xf>
    <xf numFmtId="0" fontId="4" fillId="5" borderId="1" xfId="22" applyFont="1" applyFill="1" applyBorder="1" applyAlignment="1">
      <alignment/>
      <protection/>
    </xf>
    <xf numFmtId="164" fontId="4" fillId="5" borderId="1" xfId="15" applyNumberFormat="1" applyFont="1" applyFill="1" applyBorder="1" applyAlignment="1">
      <alignment horizontal="right"/>
    </xf>
    <xf numFmtId="10" fontId="0" fillId="5" borderId="1" xfId="23" applyNumberFormat="1" applyFill="1" applyBorder="1" applyAlignment="1">
      <alignment/>
    </xf>
    <xf numFmtId="164" fontId="0" fillId="0" borderId="8" xfId="15" applyNumberFormat="1" applyBorder="1" applyAlignment="1">
      <alignment/>
    </xf>
    <xf numFmtId="164" fontId="0" fillId="0" borderId="53" xfId="15" applyNumberFormat="1" applyBorder="1" applyAlignment="1">
      <alignment/>
    </xf>
    <xf numFmtId="164" fontId="0" fillId="0" borderId="8" xfId="15" applyNumberFormat="1" applyFill="1" applyBorder="1" applyAlignment="1">
      <alignment/>
    </xf>
    <xf numFmtId="164" fontId="0" fillId="0" borderId="53" xfId="15" applyNumberFormat="1" applyFill="1" applyBorder="1" applyAlignment="1">
      <alignment/>
    </xf>
    <xf numFmtId="164" fontId="0" fillId="0" borderId="48" xfId="15" applyNumberFormat="1" applyBorder="1" applyAlignment="1">
      <alignment/>
    </xf>
    <xf numFmtId="164" fontId="0" fillId="0" borderId="1" xfId="15" applyNumberFormat="1" applyFill="1" applyBorder="1" applyAlignment="1">
      <alignment/>
    </xf>
    <xf numFmtId="164" fontId="0" fillId="0" borderId="48" xfId="15" applyNumberFormat="1" applyFill="1" applyBorder="1" applyAlignment="1">
      <alignment/>
    </xf>
    <xf numFmtId="164" fontId="0" fillId="0" borderId="6" xfId="15" applyNumberFormat="1" applyFill="1" applyBorder="1" applyAlignment="1">
      <alignment/>
    </xf>
    <xf numFmtId="164" fontId="0" fillId="0" borderId="31" xfId="15" applyNumberFormat="1" applyBorder="1" applyAlignment="1">
      <alignment/>
    </xf>
    <xf numFmtId="164" fontId="0" fillId="0" borderId="49" xfId="15" applyNumberFormat="1" applyBorder="1" applyAlignment="1">
      <alignment/>
    </xf>
    <xf numFmtId="164" fontId="1" fillId="4" borderId="13" xfId="15" applyNumberFormat="1" applyFont="1" applyFill="1" applyBorder="1" applyAlignment="1">
      <alignment/>
    </xf>
    <xf numFmtId="164" fontId="1" fillId="4" borderId="62" xfId="15" applyNumberFormat="1" applyFont="1" applyFill="1" applyBorder="1" applyAlignment="1">
      <alignment/>
    </xf>
    <xf numFmtId="0" fontId="0" fillId="3" borderId="32" xfId="0" applyFill="1" applyBorder="1" applyAlignment="1">
      <alignment wrapText="1"/>
    </xf>
    <xf numFmtId="0" fontId="0" fillId="3" borderId="31" xfId="0" applyFill="1" applyBorder="1" applyAlignment="1">
      <alignment/>
    </xf>
    <xf numFmtId="0" fontId="1" fillId="3" borderId="14" xfId="0" applyFont="1" applyFill="1" applyBorder="1" applyAlignment="1">
      <alignment/>
    </xf>
    <xf numFmtId="0" fontId="1" fillId="4" borderId="1" xfId="0" applyFont="1" applyFill="1" applyBorder="1" applyAlignment="1">
      <alignment/>
    </xf>
    <xf numFmtId="164" fontId="1" fillId="4" borderId="1" xfId="15" applyNumberFormat="1" applyFont="1" applyFill="1" applyBorder="1" applyAlignment="1">
      <alignment/>
    </xf>
    <xf numFmtId="10" fontId="0" fillId="0" borderId="3" xfId="23" applyNumberFormat="1" applyFont="1" applyBorder="1" applyAlignment="1">
      <alignment/>
    </xf>
    <xf numFmtId="164" fontId="0" fillId="4" borderId="31" xfId="15" applyNumberFormat="1" applyFill="1" applyBorder="1" applyAlignment="1" applyProtection="1">
      <alignment/>
      <protection/>
    </xf>
    <xf numFmtId="43" fontId="0" fillId="0" borderId="37" xfId="15" applyBorder="1" applyAlignment="1">
      <alignment/>
    </xf>
    <xf numFmtId="43" fontId="0" fillId="0" borderId="35" xfId="15" applyBorder="1" applyAlignment="1">
      <alignment/>
    </xf>
    <xf numFmtId="175" fontId="0" fillId="0" borderId="35" xfId="15" applyNumberFormat="1" applyBorder="1" applyAlignment="1">
      <alignment/>
    </xf>
    <xf numFmtId="43" fontId="0" fillId="0" borderId="36" xfId="15" applyBorder="1" applyAlignment="1">
      <alignment/>
    </xf>
    <xf numFmtId="165" fontId="0" fillId="10" borderId="63" xfId="15" applyNumberFormat="1" applyFill="1" applyBorder="1" applyAlignment="1" applyProtection="1">
      <alignment/>
      <protection/>
    </xf>
    <xf numFmtId="165" fontId="0" fillId="10" borderId="20" xfId="15" applyNumberFormat="1" applyFill="1" applyBorder="1" applyAlignment="1" applyProtection="1">
      <alignment/>
      <protection/>
    </xf>
    <xf numFmtId="165" fontId="0" fillId="10" borderId="64" xfId="15" applyNumberFormat="1" applyFill="1" applyBorder="1" applyAlignment="1" applyProtection="1">
      <alignment/>
      <protection/>
    </xf>
    <xf numFmtId="0" fontId="0" fillId="8" borderId="0" xfId="0" applyFill="1" applyBorder="1" applyAlignment="1" applyProtection="1">
      <alignment/>
      <protection/>
    </xf>
    <xf numFmtId="165" fontId="0" fillId="10" borderId="23" xfId="15" applyNumberFormat="1" applyFill="1" applyBorder="1" applyAlignment="1" applyProtection="1">
      <alignment/>
      <protection/>
    </xf>
    <xf numFmtId="0" fontId="1" fillId="0" borderId="22" xfId="0" applyFont="1" applyBorder="1" applyAlignment="1" applyProtection="1">
      <alignment/>
      <protection/>
    </xf>
    <xf numFmtId="164" fontId="0" fillId="4" borderId="37" xfId="15" applyNumberFormat="1" applyFill="1" applyBorder="1" applyAlignment="1" applyProtection="1">
      <alignment/>
      <protection/>
    </xf>
    <xf numFmtId="164" fontId="0" fillId="4" borderId="35" xfId="15" applyNumberFormat="1" applyFill="1" applyBorder="1" applyAlignment="1" applyProtection="1">
      <alignment/>
      <protection/>
    </xf>
    <xf numFmtId="164" fontId="0" fillId="4" borderId="36" xfId="15" applyNumberFormat="1" applyFill="1" applyBorder="1" applyAlignment="1" applyProtection="1">
      <alignment/>
      <protection/>
    </xf>
    <xf numFmtId="43" fontId="0" fillId="4" borderId="52" xfId="15" applyNumberFormat="1" applyFill="1" applyBorder="1" applyAlignment="1" applyProtection="1">
      <alignment/>
      <protection/>
    </xf>
    <xf numFmtId="43" fontId="0" fillId="4" borderId="16" xfId="15" applyNumberFormat="1" applyFill="1" applyBorder="1" applyAlignment="1" applyProtection="1">
      <alignment/>
      <protection/>
    </xf>
    <xf numFmtId="43" fontId="0" fillId="4" borderId="15" xfId="15" applyNumberFormat="1" applyFill="1" applyBorder="1" applyAlignment="1" applyProtection="1">
      <alignment/>
      <protection/>
    </xf>
    <xf numFmtId="165" fontId="0" fillId="0" borderId="37" xfId="15" applyNumberFormat="1" applyBorder="1" applyAlignment="1">
      <alignment/>
    </xf>
    <xf numFmtId="165" fontId="0" fillId="0" borderId="35" xfId="15" applyNumberFormat="1" applyBorder="1" applyAlignment="1">
      <alignment/>
    </xf>
    <xf numFmtId="165" fontId="0" fillId="0" borderId="36" xfId="15" applyNumberFormat="1" applyBorder="1" applyAlignment="1">
      <alignment/>
    </xf>
    <xf numFmtId="0" fontId="1" fillId="3" borderId="47" xfId="0" applyFont="1" applyFill="1" applyBorder="1" applyAlignment="1" applyProtection="1">
      <alignment/>
      <protection/>
    </xf>
  </cellXfs>
  <cellStyles count="10">
    <cellStyle name="Normal" xfId="0"/>
    <cellStyle name="Comma" xfId="15"/>
    <cellStyle name="Comma [0]" xfId="16"/>
    <cellStyle name="Currency" xfId="17"/>
    <cellStyle name="Currency [0]" xfId="18"/>
    <cellStyle name="Followed Hyperlink" xfId="19"/>
    <cellStyle name="Hyperlink" xfId="20"/>
    <cellStyle name="Normal_Sheet1" xfId="21"/>
    <cellStyle name="Normal_Sheet1_2005SalesRevbyUtility"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Q56"/>
  <sheetViews>
    <sheetView tabSelected="1" zoomScale="75" zoomScaleNormal="75" workbookViewId="0" topLeftCell="A1">
      <selection activeCell="M33" sqref="M33"/>
    </sheetView>
  </sheetViews>
  <sheetFormatPr defaultColWidth="9.140625" defaultRowHeight="12.75"/>
  <cols>
    <col min="1" max="1" width="36.140625" style="45" customWidth="1"/>
    <col min="2" max="2" width="11.8515625" style="45" customWidth="1"/>
    <col min="3" max="11" width="10.28125" style="45" customWidth="1"/>
    <col min="12" max="12" width="12.7109375" style="45" customWidth="1"/>
    <col min="13" max="13" width="10.28125" style="45" customWidth="1"/>
    <col min="14" max="14" width="11.28125" style="45" customWidth="1"/>
    <col min="15" max="15" width="11.7109375" style="45" customWidth="1"/>
    <col min="16" max="16" width="12.00390625" style="45" customWidth="1"/>
    <col min="17" max="17" width="13.8515625" style="45" customWidth="1"/>
    <col min="18" max="16384" width="8.8515625" style="45" customWidth="1"/>
  </cols>
  <sheetData>
    <row r="1" spans="1:17" ht="18.75" thickBot="1">
      <c r="A1" s="230" t="s">
        <v>220</v>
      </c>
      <c r="B1" s="231"/>
      <c r="C1" s="231"/>
      <c r="D1" s="231"/>
      <c r="E1" s="231"/>
      <c r="F1" s="231"/>
      <c r="G1" s="231"/>
      <c r="H1" s="231"/>
      <c r="I1" s="231"/>
      <c r="J1" s="231"/>
      <c r="K1" s="231"/>
      <c r="L1" s="231"/>
      <c r="M1" s="231"/>
      <c r="N1" s="231"/>
      <c r="O1" s="231"/>
      <c r="P1" s="231"/>
      <c r="Q1" s="232"/>
    </row>
    <row r="2" spans="1:17" ht="57" customHeight="1" thickBot="1">
      <c r="A2" s="239" t="s">
        <v>221</v>
      </c>
      <c r="B2" s="240"/>
      <c r="C2" s="240"/>
      <c r="D2" s="240"/>
      <c r="E2" s="240"/>
      <c r="F2" s="240"/>
      <c r="G2" s="240"/>
      <c r="H2" s="240"/>
      <c r="I2" s="240"/>
      <c r="J2" s="240"/>
      <c r="K2" s="240"/>
      <c r="L2" s="240"/>
      <c r="M2" s="240"/>
      <c r="N2" s="240"/>
      <c r="O2" s="240"/>
      <c r="P2" s="240"/>
      <c r="Q2" s="241"/>
    </row>
    <row r="3" spans="1:17" ht="58.5" customHeight="1" thickBot="1">
      <c r="A3" s="242" t="s">
        <v>222</v>
      </c>
      <c r="B3" s="243"/>
      <c r="C3" s="243"/>
      <c r="D3" s="243"/>
      <c r="E3" s="243"/>
      <c r="F3" s="243"/>
      <c r="G3" s="243"/>
      <c r="H3" s="243"/>
      <c r="I3" s="243"/>
      <c r="J3" s="243"/>
      <c r="K3" s="243"/>
      <c r="L3" s="243"/>
      <c r="M3" s="243"/>
      <c r="N3" s="243"/>
      <c r="O3" s="243"/>
      <c r="P3" s="243"/>
      <c r="Q3" s="244"/>
    </row>
    <row r="4" spans="1:17" ht="13.5" thickBot="1">
      <c r="A4" s="181" t="s">
        <v>197</v>
      </c>
      <c r="B4" s="182" t="s">
        <v>223</v>
      </c>
      <c r="C4" s="183"/>
      <c r="D4" s="184" t="s">
        <v>199</v>
      </c>
      <c r="E4" s="184"/>
      <c r="F4" s="184"/>
      <c r="G4" s="184"/>
      <c r="H4" s="186">
        <v>2007</v>
      </c>
      <c r="I4" s="233" t="s">
        <v>198</v>
      </c>
      <c r="J4" s="234"/>
      <c r="K4" s="234"/>
      <c r="L4" s="234"/>
      <c r="M4" s="234"/>
      <c r="N4" s="235"/>
      <c r="O4" s="236">
        <v>40027</v>
      </c>
      <c r="P4" s="237"/>
      <c r="Q4" s="238"/>
    </row>
    <row r="5" spans="1:17" ht="16.5" thickBot="1">
      <c r="A5" s="217" t="s">
        <v>170</v>
      </c>
      <c r="B5" s="218"/>
      <c r="C5" s="218"/>
      <c r="D5" s="218"/>
      <c r="E5" s="218"/>
      <c r="F5" s="218"/>
      <c r="G5" s="218"/>
      <c r="H5" s="218"/>
      <c r="I5" s="218"/>
      <c r="J5" s="218"/>
      <c r="K5" s="218"/>
      <c r="L5" s="218"/>
      <c r="M5" s="218"/>
      <c r="N5" s="218"/>
      <c r="O5" s="218"/>
      <c r="P5" s="218"/>
      <c r="Q5" s="219"/>
    </row>
    <row r="6" spans="1:17" ht="23.25" customHeight="1" thickBot="1">
      <c r="A6" s="71" t="s">
        <v>163</v>
      </c>
      <c r="B6" s="228" t="s">
        <v>161</v>
      </c>
      <c r="C6" s="229"/>
      <c r="D6" s="229"/>
      <c r="E6" s="229"/>
      <c r="F6" s="229"/>
      <c r="G6" s="229"/>
      <c r="H6" s="229"/>
      <c r="I6" s="229"/>
      <c r="J6" s="229"/>
      <c r="K6" s="229"/>
      <c r="L6" s="229"/>
      <c r="M6" s="229"/>
      <c r="N6" s="229"/>
      <c r="O6" s="229"/>
      <c r="P6" s="215" t="s">
        <v>233</v>
      </c>
      <c r="Q6" s="215" t="s">
        <v>234</v>
      </c>
    </row>
    <row r="7" spans="1:17" ht="29.25" customHeight="1" thickBot="1">
      <c r="A7" s="161">
        <v>129</v>
      </c>
      <c r="B7" s="173">
        <v>2010</v>
      </c>
      <c r="C7" s="174">
        <v>2011</v>
      </c>
      <c r="D7" s="174">
        <v>2012</v>
      </c>
      <c r="E7" s="174">
        <v>2013</v>
      </c>
      <c r="F7" s="174">
        <v>2014</v>
      </c>
      <c r="G7" s="174">
        <v>2015</v>
      </c>
      <c r="H7" s="174">
        <v>2016</v>
      </c>
      <c r="I7" s="174">
        <v>2017</v>
      </c>
      <c r="J7" s="174">
        <v>2018</v>
      </c>
      <c r="K7" s="174">
        <v>2019</v>
      </c>
      <c r="L7" s="174">
        <v>2020</v>
      </c>
      <c r="M7" s="174">
        <v>2021</v>
      </c>
      <c r="N7" s="174">
        <v>2022</v>
      </c>
      <c r="O7" s="320">
        <v>2023</v>
      </c>
      <c r="P7" s="216"/>
      <c r="Q7" s="216"/>
    </row>
    <row r="8" spans="1:17" ht="13.5" thickBot="1">
      <c r="A8" s="107" t="s">
        <v>169</v>
      </c>
      <c r="B8" s="170">
        <f>'Data Base and Calculations'!J2</f>
        <v>27.030757753043083</v>
      </c>
      <c r="C8" s="171">
        <f>'Data Base and Calculations'!K2</f>
        <v>29.733833528347393</v>
      </c>
      <c r="D8" s="171">
        <f>'Data Base and Calculations'!L2</f>
        <v>32.4369093036517</v>
      </c>
      <c r="E8" s="171">
        <f>'Data Base and Calculations'!M2</f>
        <v>35.13998507895601</v>
      </c>
      <c r="F8" s="171">
        <f>'Data Base and Calculations'!N2</f>
        <v>37.843060854260315</v>
      </c>
      <c r="G8" s="171">
        <f>'Data Base and Calculations'!O2</f>
        <v>39.19459874191247</v>
      </c>
      <c r="H8" s="171">
        <f>'Data Base and Calculations'!P2</f>
        <v>43.249212404868935</v>
      </c>
      <c r="I8" s="171">
        <f>'Data Base and Calculations'!Q2</f>
        <v>45.95228818017324</v>
      </c>
      <c r="J8" s="171">
        <f>'Data Base and Calculations'!R2</f>
        <v>47.3038260678254</v>
      </c>
      <c r="K8" s="171">
        <f>'Data Base and Calculations'!S2</f>
        <v>48.65536395547755</v>
      </c>
      <c r="L8" s="171">
        <f>'Data Base and Calculations'!T2</f>
        <v>49.331132899303626</v>
      </c>
      <c r="M8" s="171">
        <f>'Data Base and Calculations'!U2</f>
        <v>49.331132899303626</v>
      </c>
      <c r="N8" s="171">
        <f>'Data Base and Calculations'!V2</f>
        <v>49.331132899303626</v>
      </c>
      <c r="O8" s="172">
        <f>'Data Base and Calculations'!W2</f>
        <v>48.65536395547755</v>
      </c>
      <c r="P8" s="191">
        <f>SUM(B8:O8)</f>
        <v>583.1885985219045</v>
      </c>
      <c r="Q8" s="128">
        <f>AVERAGE(B8:K8)</f>
        <v>38.65398358685161</v>
      </c>
    </row>
    <row r="9" spans="1:17" ht="13.5" thickBot="1">
      <c r="A9" s="246"/>
      <c r="B9" s="224"/>
      <c r="C9" s="225"/>
      <c r="D9" s="225"/>
      <c r="E9" s="225"/>
      <c r="F9" s="225"/>
      <c r="G9" s="225"/>
      <c r="H9" s="225"/>
      <c r="I9" s="225"/>
      <c r="J9" s="225"/>
      <c r="K9" s="225"/>
      <c r="L9" s="225"/>
      <c r="M9" s="225"/>
      <c r="N9" s="225"/>
      <c r="O9" s="225"/>
      <c r="P9" s="225"/>
      <c r="Q9" s="226"/>
    </row>
    <row r="10" spans="1:17" ht="25.5" customHeight="1" thickBot="1">
      <c r="A10" s="227"/>
      <c r="B10" s="228" t="s">
        <v>162</v>
      </c>
      <c r="C10" s="229"/>
      <c r="D10" s="229"/>
      <c r="E10" s="229"/>
      <c r="F10" s="229"/>
      <c r="G10" s="229"/>
      <c r="H10" s="229"/>
      <c r="I10" s="229"/>
      <c r="J10" s="229"/>
      <c r="K10" s="229"/>
      <c r="L10" s="229"/>
      <c r="M10" s="229"/>
      <c r="N10" s="229"/>
      <c r="O10" s="245"/>
      <c r="P10" s="215" t="s">
        <v>235</v>
      </c>
      <c r="Q10" s="215" t="s">
        <v>234</v>
      </c>
    </row>
    <row r="11" spans="1:17" ht="13.5" thickBot="1">
      <c r="A11" s="247"/>
      <c r="B11" s="108">
        <v>2010</v>
      </c>
      <c r="C11" s="109">
        <v>2011</v>
      </c>
      <c r="D11" s="109">
        <v>2012</v>
      </c>
      <c r="E11" s="109">
        <v>2013</v>
      </c>
      <c r="F11" s="110">
        <v>2014</v>
      </c>
      <c r="G11" s="109">
        <v>2015</v>
      </c>
      <c r="H11" s="110">
        <v>2016</v>
      </c>
      <c r="I11" s="109">
        <v>2017</v>
      </c>
      <c r="J11" s="110">
        <v>2018</v>
      </c>
      <c r="K11" s="113">
        <v>2019</v>
      </c>
      <c r="L11" s="110">
        <v>2020</v>
      </c>
      <c r="M11" s="113">
        <v>2021</v>
      </c>
      <c r="N11" s="110">
        <v>2022</v>
      </c>
      <c r="O11" s="113">
        <v>2023</v>
      </c>
      <c r="P11" s="220"/>
      <c r="Q11" s="216"/>
    </row>
    <row r="12" spans="1:17" ht="13.5" customHeight="1" thickBot="1">
      <c r="A12" s="107" t="s">
        <v>169</v>
      </c>
      <c r="B12" s="111">
        <f aca="true" t="shared" si="0" ref="B12:O12">B8*8760</f>
        <v>236789.43791665742</v>
      </c>
      <c r="C12" s="112">
        <f t="shared" si="0"/>
        <v>260468.38170832317</v>
      </c>
      <c r="D12" s="112">
        <f t="shared" si="0"/>
        <v>284147.3254999889</v>
      </c>
      <c r="E12" s="112">
        <f t="shared" si="0"/>
        <v>307826.26929165464</v>
      </c>
      <c r="F12" s="112">
        <f t="shared" si="0"/>
        <v>331505.21308332036</v>
      </c>
      <c r="G12" s="112">
        <f t="shared" si="0"/>
        <v>343344.6849791533</v>
      </c>
      <c r="H12" s="112">
        <f t="shared" si="0"/>
        <v>378863.10066665185</v>
      </c>
      <c r="I12" s="112">
        <f t="shared" si="0"/>
        <v>402542.04445831757</v>
      </c>
      <c r="J12" s="112">
        <f t="shared" si="0"/>
        <v>414381.5163541505</v>
      </c>
      <c r="K12" s="143">
        <f t="shared" si="0"/>
        <v>426220.9882499833</v>
      </c>
      <c r="L12" s="143">
        <f t="shared" si="0"/>
        <v>432140.72419789975</v>
      </c>
      <c r="M12" s="143">
        <f t="shared" si="0"/>
        <v>432140.72419789975</v>
      </c>
      <c r="N12" s="143">
        <f t="shared" si="0"/>
        <v>432140.72419789975</v>
      </c>
      <c r="O12" s="143">
        <f t="shared" si="0"/>
        <v>426220.9882499833</v>
      </c>
      <c r="P12" s="191">
        <f>SUM(B12:O12)</f>
        <v>5108732.123051885</v>
      </c>
      <c r="Q12" s="128">
        <f>AVERAGE(B12:K12)</f>
        <v>338608.89622082014</v>
      </c>
    </row>
    <row r="13" spans="1:17" ht="13.5" thickBot="1">
      <c r="A13" s="224"/>
      <c r="B13" s="225"/>
      <c r="C13" s="225"/>
      <c r="D13" s="225"/>
      <c r="E13" s="225"/>
      <c r="F13" s="225"/>
      <c r="G13" s="225"/>
      <c r="H13" s="225"/>
      <c r="I13" s="225"/>
      <c r="J13" s="225"/>
      <c r="K13" s="225"/>
      <c r="L13" s="225"/>
      <c r="M13" s="225"/>
      <c r="N13" s="225"/>
      <c r="O13" s="225"/>
      <c r="P13" s="225"/>
      <c r="Q13" s="226"/>
    </row>
    <row r="14" spans="1:17" ht="16.5" thickBot="1">
      <c r="A14" s="217" t="s">
        <v>171</v>
      </c>
      <c r="B14" s="218"/>
      <c r="C14" s="218"/>
      <c r="D14" s="218"/>
      <c r="E14" s="218"/>
      <c r="F14" s="218"/>
      <c r="G14" s="218"/>
      <c r="H14" s="218"/>
      <c r="I14" s="218"/>
      <c r="J14" s="218"/>
      <c r="K14" s="218"/>
      <c r="L14" s="218"/>
      <c r="M14" s="218"/>
      <c r="N14" s="218"/>
      <c r="O14" s="218"/>
      <c r="P14" s="218"/>
      <c r="Q14" s="219"/>
    </row>
    <row r="15" spans="1:17" ht="42.75" customHeight="1" thickBot="1">
      <c r="A15" s="70"/>
      <c r="B15" s="228" t="s">
        <v>161</v>
      </c>
      <c r="C15" s="229"/>
      <c r="D15" s="229"/>
      <c r="E15" s="229"/>
      <c r="F15" s="229"/>
      <c r="G15" s="229"/>
      <c r="H15" s="229"/>
      <c r="I15" s="229"/>
      <c r="J15" s="229"/>
      <c r="K15" s="229"/>
      <c r="L15" s="229"/>
      <c r="M15" s="229"/>
      <c r="N15" s="229"/>
      <c r="O15" s="229"/>
      <c r="P15" s="215" t="s">
        <v>233</v>
      </c>
      <c r="Q15" s="215" t="s">
        <v>234</v>
      </c>
    </row>
    <row r="16" spans="1:17" ht="13.5" thickBot="1">
      <c r="A16" s="49" t="s">
        <v>0</v>
      </c>
      <c r="B16" s="81">
        <v>2010</v>
      </c>
      <c r="C16" s="82">
        <v>2011</v>
      </c>
      <c r="D16" s="82">
        <v>2012</v>
      </c>
      <c r="E16" s="82">
        <v>2013</v>
      </c>
      <c r="F16" s="83">
        <v>2014</v>
      </c>
      <c r="G16" s="82">
        <v>2015</v>
      </c>
      <c r="H16" s="83">
        <v>2016</v>
      </c>
      <c r="I16" s="82">
        <v>2017</v>
      </c>
      <c r="J16" s="83">
        <v>2018</v>
      </c>
      <c r="K16" s="82">
        <v>2019</v>
      </c>
      <c r="L16" s="83">
        <v>2020</v>
      </c>
      <c r="M16" s="82">
        <v>2021</v>
      </c>
      <c r="N16" s="83">
        <v>2022</v>
      </c>
      <c r="O16" s="138">
        <v>2023</v>
      </c>
      <c r="P16" s="216"/>
      <c r="Q16" s="216"/>
    </row>
    <row r="17" spans="1:17" ht="12.75">
      <c r="A17" s="50" t="s">
        <v>164</v>
      </c>
      <c r="B17" s="175">
        <f>'Data Base and Calculations'!J5</f>
        <v>18.858055099533733</v>
      </c>
      <c r="C17" s="176">
        <f>'Data Base and Calculations'!K5</f>
        <v>19.910968677402643</v>
      </c>
      <c r="D17" s="176">
        <f>'Data Base and Calculations'!L5</f>
        <v>21.18272309412213</v>
      </c>
      <c r="E17" s="176">
        <f>'Data Base and Calculations'!M5</f>
        <v>22.645018965858124</v>
      </c>
      <c r="F17" s="176">
        <f>'Data Base and Calculations'!N5</f>
        <v>24.475455616778376</v>
      </c>
      <c r="G17" s="176">
        <f>'Data Base and Calculations'!O5</f>
        <v>20.827165720121208</v>
      </c>
      <c r="H17" s="176">
        <f>'Data Base and Calculations'!P5</f>
        <v>24.54762934687263</v>
      </c>
      <c r="I17" s="176">
        <f>'Data Base and Calculations'!Q5</f>
        <v>27.17355442633505</v>
      </c>
      <c r="J17" s="176">
        <f>'Data Base and Calculations'!R5</f>
        <v>30.327499895925786</v>
      </c>
      <c r="K17" s="176">
        <f>'Data Base and Calculations'!S5</f>
        <v>31.69831496977715</v>
      </c>
      <c r="L17" s="176">
        <f>'Data Base and Calculations'!T5</f>
        <v>34.05156066559191</v>
      </c>
      <c r="M17" s="176">
        <f>'Data Base and Calculations'!U5</f>
        <v>34.636640933944136</v>
      </c>
      <c r="N17" s="176">
        <f>'Data Base and Calculations'!V5</f>
        <v>36.99797698579786</v>
      </c>
      <c r="O17" s="176">
        <f>'Data Base and Calculations'!W5</f>
        <v>37.02083500550663</v>
      </c>
      <c r="P17" s="139">
        <f>SUM(B17:O17)</f>
        <v>384.3533994035674</v>
      </c>
      <c r="Q17" s="137">
        <f>AVERAGE(B17:K17)</f>
        <v>24.164638581272687</v>
      </c>
    </row>
    <row r="18" spans="1:17" ht="12.75" customHeight="1">
      <c r="A18" s="50" t="s">
        <v>2</v>
      </c>
      <c r="B18" s="177">
        <f>'Data Base and Calculations'!J6</f>
        <v>7.39254632565481</v>
      </c>
      <c r="C18" s="178">
        <f>'Data Base and Calculations'!K6</f>
        <v>8.75855433560153</v>
      </c>
      <c r="D18" s="178">
        <f>'Data Base and Calculations'!L6</f>
        <v>9.988340311213905</v>
      </c>
      <c r="E18" s="178">
        <f>'Data Base and Calculations'!M6</f>
        <v>11.140649969904278</v>
      </c>
      <c r="F18" s="178">
        <f>'Data Base and Calculations'!N6</f>
        <v>12.01218930720078</v>
      </c>
      <c r="G18" s="178">
        <f>'Data Base and Calculations'!O6</f>
        <v>13.583227597003889</v>
      </c>
      <c r="H18" s="178">
        <f>'Data Base and Calculations'!P6</f>
        <v>14.549705337965495</v>
      </c>
      <c r="I18" s="178">
        <f>'Data Base and Calculations'!Q6</f>
        <v>15.146145698089118</v>
      </c>
      <c r="J18" s="178">
        <f>'Data Base and Calculations'!R6</f>
        <v>13.500191422964885</v>
      </c>
      <c r="K18" s="178">
        <f>'Data Base and Calculations'!S6</f>
        <v>13.70302302851417</v>
      </c>
      <c r="L18" s="178">
        <f>'Data Base and Calculations'!T6</f>
        <v>14.410643384022007</v>
      </c>
      <c r="M18" s="178">
        <f>'Data Base and Calculations'!U6</f>
        <v>13.65894150457813</v>
      </c>
      <c r="N18" s="178">
        <f>'Data Base and Calculations'!V6</f>
        <v>14.236152133419974</v>
      </c>
      <c r="O18" s="178">
        <f>'Data Base and Calculations'!W6</f>
        <v>13.410893114523102</v>
      </c>
      <c r="P18" s="140">
        <f>SUM(B18:O18)</f>
        <v>175.49120347065607</v>
      </c>
      <c r="Q18" s="135">
        <f>AVERAGE(B18:K18)</f>
        <v>11.977457333411285</v>
      </c>
    </row>
    <row r="19" spans="1:17" ht="12.75">
      <c r="A19" s="50" t="s">
        <v>165</v>
      </c>
      <c r="B19" s="177">
        <f>'Data Base and Calculations'!J7</f>
        <v>1.3335647546690823</v>
      </c>
      <c r="C19" s="178">
        <f>'Data Base and Calculations'!K7</f>
        <v>1.3956971164907288</v>
      </c>
      <c r="D19" s="178">
        <f>'Data Base and Calculations'!L7</f>
        <v>1.4527328159627058</v>
      </c>
      <c r="E19" s="178">
        <f>'Data Base and Calculations'!M7</f>
        <v>1.4997033919984513</v>
      </c>
      <c r="F19" s="178">
        <f>'Data Base and Calculations'!N7</f>
        <v>1.5399638857433762</v>
      </c>
      <c r="G19" s="178">
        <f>'Data Base and Calculations'!O7</f>
        <v>2.07006038671822</v>
      </c>
      <c r="H19" s="178">
        <f>'Data Base and Calculations'!P7</f>
        <v>2.086835592445272</v>
      </c>
      <c r="I19" s="178">
        <f>'Data Base and Calculations'!Q7</f>
        <v>2.0734154278636305</v>
      </c>
      <c r="J19" s="178">
        <f>'Data Base and Calculations'!R7</f>
        <v>2.053285180991168</v>
      </c>
      <c r="K19" s="178">
        <f>'Data Base and Calculations'!S7</f>
        <v>2.0365099752641163</v>
      </c>
      <c r="L19" s="178">
        <f>'Data Base and Calculations'!T7</f>
        <v>1.3554366227458037</v>
      </c>
      <c r="M19" s="178">
        <f>'Data Base and Calculations'!U7</f>
        <v>1.3688567873274453</v>
      </c>
      <c r="N19" s="178">
        <f>'Data Base and Calculations'!V7</f>
        <v>1.274915635255954</v>
      </c>
      <c r="O19" s="178">
        <f>'Data Base and Calculations'!W7</f>
        <v>1.264850511819723</v>
      </c>
      <c r="P19" s="140">
        <f>SUM(B19:O19)</f>
        <v>22.805828085295676</v>
      </c>
      <c r="Q19" s="135">
        <f>AVERAGE(B19:K19)</f>
        <v>1.754176852814675</v>
      </c>
    </row>
    <row r="20" spans="1:17" ht="12.75">
      <c r="A20" s="50" t="s">
        <v>229</v>
      </c>
      <c r="B20" s="177">
        <f>'Data Base and Calculations'!J8</f>
        <v>0.7679775502807411</v>
      </c>
      <c r="C20" s="177">
        <f>'Data Base and Calculations'!K8</f>
        <v>1.4444878917015653</v>
      </c>
      <c r="D20" s="177">
        <f>'Data Base and Calculations'!L8</f>
        <v>2.0562709987751693</v>
      </c>
      <c r="E20" s="177">
        <f>'Data Base and Calculations'!M8</f>
        <v>2.6000782050628177</v>
      </c>
      <c r="F20" s="177">
        <f>'Data Base and Calculations'!N8</f>
        <v>3.0759095105645096</v>
      </c>
      <c r="G20" s="177">
        <f>'Data Base and Calculations'!O8</f>
        <v>4.282481749515228</v>
      </c>
      <c r="H20" s="177">
        <f>'Data Base and Calculations'!P8</f>
        <v>4.554385352659053</v>
      </c>
      <c r="I20" s="177">
        <f>'Data Base and Calculations'!Q8</f>
        <v>4.758313055016921</v>
      </c>
      <c r="J20" s="177">
        <f>'Data Base and Calculations'!R8</f>
        <v>4.9452467821783</v>
      </c>
      <c r="K20" s="177">
        <f>'Data Base and Calculations'!S8</f>
        <v>5.132180509339679</v>
      </c>
      <c r="L20" s="177">
        <f>'Data Base and Calculations'!T8</f>
        <v>6.338752748290398</v>
      </c>
      <c r="M20" s="177">
        <f>'Data Base and Calculations'!U8</f>
        <v>6.406728649076355</v>
      </c>
      <c r="N20" s="177">
        <f>'Data Base and Calculations'!V8</f>
        <v>3.9086142951924705</v>
      </c>
      <c r="O20" s="177">
        <f>'Data Base and Calculations'!W8</f>
        <v>3.8916203199959813</v>
      </c>
      <c r="P20" s="140">
        <f>SUM(B20:O20)</f>
        <v>54.163047617649184</v>
      </c>
      <c r="Q20" s="135">
        <f>AVERAGE(B20:K20)</f>
        <v>3.361733160509398</v>
      </c>
    </row>
    <row r="21" spans="1:17" ht="13.5" thickBot="1">
      <c r="A21" s="46" t="s">
        <v>169</v>
      </c>
      <c r="B21" s="187">
        <f>'Data Base and Calculations'!J9</f>
        <v>28.352143730138366</v>
      </c>
      <c r="C21" s="188">
        <f>'Data Base and Calculations'!K9</f>
        <v>31.50970802119647</v>
      </c>
      <c r="D21" s="188">
        <f>'Data Base and Calculations'!L9</f>
        <v>34.68006722007391</v>
      </c>
      <c r="E21" s="188">
        <f>'Data Base and Calculations'!M9</f>
        <v>37.88545053282367</v>
      </c>
      <c r="F21" s="188">
        <f>'Data Base and Calculations'!N9</f>
        <v>41.10351832028704</v>
      </c>
      <c r="G21" s="188">
        <f>'Data Base and Calculations'!O9</f>
        <v>40.762935453358544</v>
      </c>
      <c r="H21" s="188">
        <f>'Data Base and Calculations'!P9</f>
        <v>45.738555629942454</v>
      </c>
      <c r="I21" s="188">
        <f>'Data Base and Calculations'!Q9</f>
        <v>49.151428607304716</v>
      </c>
      <c r="J21" s="188">
        <f>'Data Base and Calculations'!R9</f>
        <v>50.82622328206014</v>
      </c>
      <c r="K21" s="188">
        <f>'Data Base and Calculations'!S9</f>
        <v>52.57002848289512</v>
      </c>
      <c r="L21" s="188">
        <f>'Data Base and Calculations'!T9</f>
        <v>56.15639342065012</v>
      </c>
      <c r="M21" s="188">
        <f>'Data Base and Calculations'!U9</f>
        <v>56.07116787492607</v>
      </c>
      <c r="N21" s="188">
        <f>'Data Base and Calculations'!V9</f>
        <v>56.41765904966626</v>
      </c>
      <c r="O21" s="188">
        <f>'Data Base and Calculations'!W9</f>
        <v>55.588198951845435</v>
      </c>
      <c r="P21" s="180">
        <f>SUM(B21:O21)</f>
        <v>636.8134785771683</v>
      </c>
      <c r="Q21" s="136">
        <f>AVERAGE(B21:K21)</f>
        <v>41.25800592800804</v>
      </c>
    </row>
    <row r="22" spans="1:17" ht="13.5" thickBot="1">
      <c r="A22" s="227"/>
      <c r="B22" s="224"/>
      <c r="C22" s="225"/>
      <c r="D22" s="225"/>
      <c r="E22" s="225"/>
      <c r="F22" s="225"/>
      <c r="G22" s="225"/>
      <c r="H22" s="225"/>
      <c r="I22" s="225"/>
      <c r="J22" s="225"/>
      <c r="K22" s="225"/>
      <c r="L22" s="225"/>
      <c r="M22" s="225"/>
      <c r="N22" s="225"/>
      <c r="O22" s="225"/>
      <c r="P22" s="225"/>
      <c r="Q22" s="226"/>
    </row>
    <row r="23" spans="1:17" ht="37.5" customHeight="1" thickBot="1">
      <c r="A23" s="227"/>
      <c r="B23" s="228" t="s">
        <v>162</v>
      </c>
      <c r="C23" s="229"/>
      <c r="D23" s="229"/>
      <c r="E23" s="229"/>
      <c r="F23" s="229"/>
      <c r="G23" s="229"/>
      <c r="H23" s="229"/>
      <c r="I23" s="229"/>
      <c r="J23" s="229"/>
      <c r="K23" s="229"/>
      <c r="L23" s="229"/>
      <c r="M23" s="229"/>
      <c r="N23" s="229"/>
      <c r="O23" s="229"/>
      <c r="P23" s="215" t="s">
        <v>233</v>
      </c>
      <c r="Q23" s="215" t="s">
        <v>234</v>
      </c>
    </row>
    <row r="24" spans="1:17" ht="13.5" thickBot="1">
      <c r="A24" s="119" t="s">
        <v>0</v>
      </c>
      <c r="B24" s="81">
        <v>2010</v>
      </c>
      <c r="C24" s="82">
        <v>2011</v>
      </c>
      <c r="D24" s="82">
        <v>2012</v>
      </c>
      <c r="E24" s="82">
        <v>2013</v>
      </c>
      <c r="F24" s="83">
        <v>2014</v>
      </c>
      <c r="G24" s="82">
        <v>2015</v>
      </c>
      <c r="H24" s="83">
        <v>2016</v>
      </c>
      <c r="I24" s="82">
        <v>2017</v>
      </c>
      <c r="J24" s="83">
        <v>2018</v>
      </c>
      <c r="K24" s="82">
        <v>2019</v>
      </c>
      <c r="L24" s="83">
        <v>2020</v>
      </c>
      <c r="M24" s="82">
        <v>2021</v>
      </c>
      <c r="N24" s="83">
        <v>2022</v>
      </c>
      <c r="O24" s="138">
        <v>2023</v>
      </c>
      <c r="P24" s="216"/>
      <c r="Q24" s="216"/>
    </row>
    <row r="25" spans="1:17" ht="12.75">
      <c r="A25" s="118" t="s">
        <v>164</v>
      </c>
      <c r="B25" s="67">
        <f aca="true" t="shared" si="1" ref="B25:G25">B17*8760</f>
        <v>165196.5626719155</v>
      </c>
      <c r="C25" s="116">
        <f t="shared" si="1"/>
        <v>174420.08561404716</v>
      </c>
      <c r="D25" s="116">
        <f t="shared" si="1"/>
        <v>185560.65430450987</v>
      </c>
      <c r="E25" s="116">
        <f t="shared" si="1"/>
        <v>198370.36614091718</v>
      </c>
      <c r="F25" s="116">
        <f t="shared" si="1"/>
        <v>214404.99120297856</v>
      </c>
      <c r="G25" s="116">
        <f t="shared" si="1"/>
        <v>182445.9717082618</v>
      </c>
      <c r="H25" s="116">
        <f>H17*8760</f>
        <v>215037.23307860424</v>
      </c>
      <c r="I25" s="116">
        <f>I17*8760</f>
        <v>238040.33677469502</v>
      </c>
      <c r="J25" s="116">
        <f>J17*8760</f>
        <v>265668.8990883099</v>
      </c>
      <c r="K25" s="131">
        <f>K17*8760</f>
        <v>277677.23913524783</v>
      </c>
      <c r="L25" s="131">
        <f>L17*8760</f>
        <v>298291.6714305851</v>
      </c>
      <c r="M25" s="131">
        <f>M17*8760</f>
        <v>303416.97458135063</v>
      </c>
      <c r="N25" s="131">
        <f>N17*8760</f>
        <v>324102.27839558927</v>
      </c>
      <c r="O25" s="131">
        <f>O17*8760</f>
        <v>324302.5146482381</v>
      </c>
      <c r="P25" s="139">
        <f>SUM(B25:O25)</f>
        <v>3366935.77877525</v>
      </c>
      <c r="Q25" s="137">
        <f>AVERAGE(B25:K25)</f>
        <v>211682.23397194868</v>
      </c>
    </row>
    <row r="26" spans="1:17" ht="12.75">
      <c r="A26" s="115" t="s">
        <v>2</v>
      </c>
      <c r="B26" s="68">
        <f>B18*8760</f>
        <v>64758.70581273614</v>
      </c>
      <c r="C26" s="53">
        <f>C18*8760</f>
        <v>76724.9359798694</v>
      </c>
      <c r="D26" s="53">
        <f>D18*8760</f>
        <v>87497.86112623381</v>
      </c>
      <c r="E26" s="53">
        <f>E18*8760</f>
        <v>97592.09373636146</v>
      </c>
      <c r="F26" s="53">
        <f>F18*8760</f>
        <v>105226.77833107884</v>
      </c>
      <c r="G26" s="53">
        <f>G18*8760</f>
        <v>118989.07374975407</v>
      </c>
      <c r="H26" s="53">
        <f>H18*8760</f>
        <v>127455.41876057774</v>
      </c>
      <c r="I26" s="53">
        <f>I18*8760</f>
        <v>132680.23631526067</v>
      </c>
      <c r="J26" s="53">
        <f>J18*8760</f>
        <v>118261.6768651724</v>
      </c>
      <c r="K26" s="132">
        <f>K18*8760</f>
        <v>120038.48172978414</v>
      </c>
      <c r="L26" s="132">
        <f>L18*8760</f>
        <v>126237.23604403279</v>
      </c>
      <c r="M26" s="132">
        <f>M18*8760</f>
        <v>119652.32758010442</v>
      </c>
      <c r="N26" s="132">
        <f>N18*8760</f>
        <v>124708.69268875898</v>
      </c>
      <c r="O26" s="132">
        <f>O18*8760</f>
        <v>117479.42368322237</v>
      </c>
      <c r="P26" s="140">
        <f>SUM(B26:O26)</f>
        <v>1537302.942402947</v>
      </c>
      <c r="Q26" s="135">
        <f>AVERAGE(B26:K26)</f>
        <v>104922.52624068286</v>
      </c>
    </row>
    <row r="27" spans="1:17" ht="12.75">
      <c r="A27" s="115" t="s">
        <v>165</v>
      </c>
      <c r="B27" s="68">
        <f>B19*8760</f>
        <v>11682.027250901161</v>
      </c>
      <c r="C27" s="53">
        <f>C19*8760</f>
        <v>12226.306740458784</v>
      </c>
      <c r="D27" s="53">
        <f>D19*8760</f>
        <v>12725.939467833303</v>
      </c>
      <c r="E27" s="53">
        <f>E19*8760</f>
        <v>13137.401713906433</v>
      </c>
      <c r="F27" s="53">
        <f>F19*8760</f>
        <v>13490.083639111976</v>
      </c>
      <c r="G27" s="53">
        <f>G19*8760</f>
        <v>18133.728987651608</v>
      </c>
      <c r="H27" s="53">
        <f>H19*8760</f>
        <v>18280.679789820584</v>
      </c>
      <c r="I27" s="53">
        <f>I19*8760</f>
        <v>18163.119148085403</v>
      </c>
      <c r="J27" s="53">
        <f>J19*8760</f>
        <v>17986.77818548263</v>
      </c>
      <c r="K27" s="132">
        <f>K19*8760</f>
        <v>17839.82738331366</v>
      </c>
      <c r="L27" s="132">
        <f>L19*8760</f>
        <v>11873.62481525324</v>
      </c>
      <c r="M27" s="132">
        <f>M19*8760</f>
        <v>11991.185456988422</v>
      </c>
      <c r="N27" s="132">
        <f>N19*8760</f>
        <v>11168.260964842159</v>
      </c>
      <c r="O27" s="132">
        <f>O19*8760</f>
        <v>11080.090483540775</v>
      </c>
      <c r="P27" s="140">
        <f>SUM(B27:O27)</f>
        <v>199779.05402719014</v>
      </c>
      <c r="Q27" s="135">
        <f>AVERAGE(B27:K27)</f>
        <v>15366.589230656551</v>
      </c>
    </row>
    <row r="28" spans="1:17" ht="12.75">
      <c r="A28" s="50" t="s">
        <v>229</v>
      </c>
      <c r="B28" s="68">
        <f>B20*8760</f>
        <v>6727.483340459292</v>
      </c>
      <c r="C28" s="68">
        <f aca="true" t="shared" si="2" ref="C28:O28">C20*8760</f>
        <v>12653.713931305712</v>
      </c>
      <c r="D28" s="68">
        <f t="shared" si="2"/>
        <v>18012.933949270482</v>
      </c>
      <c r="E28" s="68">
        <f t="shared" si="2"/>
        <v>22776.685076350284</v>
      </c>
      <c r="F28" s="68">
        <f t="shared" si="2"/>
        <v>26944.967312545105</v>
      </c>
      <c r="G28" s="68">
        <f t="shared" si="2"/>
        <v>37514.5401257534</v>
      </c>
      <c r="H28" s="68">
        <f t="shared" si="2"/>
        <v>39896.4156892933</v>
      </c>
      <c r="I28" s="68">
        <f t="shared" si="2"/>
        <v>41682.82236194823</v>
      </c>
      <c r="J28" s="68">
        <f t="shared" si="2"/>
        <v>43320.36181188191</v>
      </c>
      <c r="K28" s="68">
        <f t="shared" si="2"/>
        <v>44957.90126181559</v>
      </c>
      <c r="L28" s="68">
        <f t="shared" si="2"/>
        <v>55527.474075023885</v>
      </c>
      <c r="M28" s="68">
        <f t="shared" si="2"/>
        <v>56122.942965908864</v>
      </c>
      <c r="N28" s="68">
        <f t="shared" si="2"/>
        <v>34239.46122588604</v>
      </c>
      <c r="O28" s="68">
        <f t="shared" si="2"/>
        <v>34090.5940031648</v>
      </c>
      <c r="P28" s="140">
        <f>SUM(B28:O28)</f>
        <v>474468.29713060684</v>
      </c>
      <c r="Q28" s="135">
        <f>AVERAGE(B28:K28)</f>
        <v>29448.78248606233</v>
      </c>
    </row>
    <row r="29" spans="1:17" ht="13.5" thickBot="1">
      <c r="A29" s="117" t="s">
        <v>169</v>
      </c>
      <c r="B29" s="133">
        <f>B21*8760</f>
        <v>248364.77907601208</v>
      </c>
      <c r="C29" s="72">
        <f>C21*8760</f>
        <v>276025.0422656811</v>
      </c>
      <c r="D29" s="72">
        <f>D21*8760</f>
        <v>303797.3888478474</v>
      </c>
      <c r="E29" s="72">
        <f>E21*8760</f>
        <v>331876.5466675353</v>
      </c>
      <c r="F29" s="72">
        <f>F21*8760</f>
        <v>360066.8204857145</v>
      </c>
      <c r="G29" s="72">
        <f>G21*8760</f>
        <v>357083.31457142084</v>
      </c>
      <c r="H29" s="72">
        <f>H21*8760</f>
        <v>400669.7473182959</v>
      </c>
      <c r="I29" s="72">
        <f>I21*8760</f>
        <v>430566.5145999893</v>
      </c>
      <c r="J29" s="72">
        <f>J21*8760</f>
        <v>445237.71595084685</v>
      </c>
      <c r="K29" s="134">
        <f>K21*8760</f>
        <v>460513.44951016124</v>
      </c>
      <c r="L29" s="134">
        <f>L21*8760</f>
        <v>491930.00636489503</v>
      </c>
      <c r="M29" s="134">
        <f>M21*8760</f>
        <v>491183.43058435235</v>
      </c>
      <c r="N29" s="134">
        <f>N21*8760</f>
        <v>494218.69327507645</v>
      </c>
      <c r="O29" s="134">
        <f>O21*8760</f>
        <v>486952.622818166</v>
      </c>
      <c r="P29" s="180">
        <f>SUM(B29:O29)</f>
        <v>5578486.072335995</v>
      </c>
      <c r="Q29" s="136">
        <f>AVERAGE(B29:K29)</f>
        <v>361420.13192935043</v>
      </c>
    </row>
    <row r="30" spans="1:17" ht="13.5" thickBot="1">
      <c r="A30" s="179"/>
      <c r="B30" s="120"/>
      <c r="C30" s="120"/>
      <c r="D30" s="120"/>
      <c r="E30" s="120"/>
      <c r="F30" s="120"/>
      <c r="G30" s="120"/>
      <c r="H30" s="120"/>
      <c r="I30" s="120"/>
      <c r="J30" s="120"/>
      <c r="K30" s="120"/>
      <c r="L30" s="120"/>
      <c r="M30" s="120"/>
      <c r="N30" s="120"/>
      <c r="O30" s="120"/>
      <c r="P30" s="120"/>
      <c r="Q30" s="121"/>
    </row>
    <row r="31" spans="1:17" ht="18.75" customHeight="1" thickBot="1">
      <c r="A31" s="221" t="s">
        <v>179</v>
      </c>
      <c r="B31" s="222"/>
      <c r="C31" s="222"/>
      <c r="D31" s="222"/>
      <c r="E31" s="222"/>
      <c r="F31" s="222"/>
      <c r="G31" s="222"/>
      <c r="H31" s="222"/>
      <c r="I31" s="222"/>
      <c r="J31" s="222"/>
      <c r="K31" s="222"/>
      <c r="L31" s="222"/>
      <c r="M31" s="222"/>
      <c r="N31" s="222"/>
      <c r="O31" s="222"/>
      <c r="P31" s="222"/>
      <c r="Q31" s="223"/>
    </row>
    <row r="32" spans="1:9" ht="64.5" customHeight="1" thickBot="1">
      <c r="A32" s="122" t="s">
        <v>172</v>
      </c>
      <c r="B32" s="123" t="s">
        <v>219</v>
      </c>
      <c r="C32" s="123" t="s">
        <v>180</v>
      </c>
      <c r="D32" s="248" t="s">
        <v>203</v>
      </c>
      <c r="E32" s="249"/>
      <c r="F32" s="249"/>
      <c r="G32" s="249"/>
      <c r="H32" s="250"/>
      <c r="I32" s="124" t="s">
        <v>182</v>
      </c>
    </row>
    <row r="33" spans="1:11" ht="13.5" thickBot="1">
      <c r="A33" s="54" t="s">
        <v>164</v>
      </c>
      <c r="B33" s="74">
        <f>'Data Base and Calculations'!E2</f>
        <v>10909007</v>
      </c>
      <c r="C33" s="55">
        <f>'Data Base and Calculations'!C11</f>
        <v>0.16644866485986604</v>
      </c>
      <c r="D33" s="251" t="s">
        <v>184</v>
      </c>
      <c r="E33" s="252"/>
      <c r="F33" s="252"/>
      <c r="G33" s="252"/>
      <c r="H33" s="253"/>
      <c r="I33" s="69">
        <f>'Data Base and Calculations'!G2</f>
        <v>1369242</v>
      </c>
      <c r="K33"/>
    </row>
    <row r="34" spans="1:11" ht="13.5" thickBot="1">
      <c r="A34" s="56" t="s">
        <v>2</v>
      </c>
      <c r="B34" s="73">
        <f>'Data Base and Calculations'!F2</f>
        <v>9348288</v>
      </c>
      <c r="C34" s="57">
        <f>'Data Base and Calculations'!D11</f>
        <v>0.17420348842593655</v>
      </c>
      <c r="D34" s="251" t="s">
        <v>181</v>
      </c>
      <c r="E34" s="252"/>
      <c r="F34" s="252"/>
      <c r="G34" s="252"/>
      <c r="H34" s="253"/>
      <c r="I34" s="69">
        <f>I33-I35</f>
        <v>1369242</v>
      </c>
      <c r="K34"/>
    </row>
    <row r="35" spans="1:11" ht="13.5" thickBot="1">
      <c r="A35" s="56" t="s">
        <v>3</v>
      </c>
      <c r="B35" s="73">
        <f>I34</f>
        <v>1369242</v>
      </c>
      <c r="C35" s="57">
        <f>'Data Base and Calculations'!E11</f>
        <v>0.038990324399802</v>
      </c>
      <c r="D35" s="251" t="s">
        <v>238</v>
      </c>
      <c r="E35" s="252"/>
      <c r="F35" s="252"/>
      <c r="G35" s="252"/>
      <c r="H35" s="253"/>
      <c r="I35" s="160">
        <v>0</v>
      </c>
      <c r="K35"/>
    </row>
    <row r="36" spans="1:11" ht="12.75">
      <c r="A36" s="58" t="s">
        <v>15</v>
      </c>
      <c r="B36" s="73">
        <f>I35</f>
        <v>0</v>
      </c>
      <c r="C36" s="57">
        <f>'Data Base and Calculations'!F11</f>
        <v>0</v>
      </c>
      <c r="D36" s="257"/>
      <c r="E36" s="257"/>
      <c r="F36" s="257"/>
      <c r="G36" s="257"/>
      <c r="H36" s="257"/>
      <c r="I36" s="258"/>
      <c r="K36"/>
    </row>
    <row r="37" spans="1:11" ht="12.75">
      <c r="A37" s="58" t="s">
        <v>229</v>
      </c>
      <c r="B37" s="300">
        <f>SUM(B33:B34)+B36</f>
        <v>20257295</v>
      </c>
      <c r="C37" s="57">
        <f>'Data Base and Calculations'!G11</f>
        <v>0.16993975196489003</v>
      </c>
      <c r="D37" s="259"/>
      <c r="E37" s="259"/>
      <c r="F37" s="259"/>
      <c r="G37" s="259"/>
      <c r="H37" s="259"/>
      <c r="I37" s="260"/>
      <c r="K37"/>
    </row>
    <row r="38" spans="1:11" ht="13.5" thickBot="1">
      <c r="A38" s="59" t="s">
        <v>169</v>
      </c>
      <c r="B38" s="75">
        <f>SUM(B33:B36)</f>
        <v>21626537</v>
      </c>
      <c r="C38" s="60">
        <f>'Data Base and Calculations'!H11</f>
        <v>0.13515378876521542</v>
      </c>
      <c r="D38" s="259"/>
      <c r="E38" s="259"/>
      <c r="F38" s="259"/>
      <c r="G38" s="259"/>
      <c r="H38" s="259"/>
      <c r="I38" s="260"/>
      <c r="K38"/>
    </row>
    <row r="39" spans="1:9" ht="13.5" thickBot="1">
      <c r="A39" s="76"/>
      <c r="B39" s="77"/>
      <c r="C39" s="77"/>
      <c r="D39" s="259"/>
      <c r="E39" s="259"/>
      <c r="F39" s="259"/>
      <c r="G39" s="259"/>
      <c r="H39" s="259"/>
      <c r="I39" s="260"/>
    </row>
    <row r="40" spans="1:17" ht="13.5" customHeight="1" thickBot="1">
      <c r="A40" s="76"/>
      <c r="B40" s="254" t="s">
        <v>161</v>
      </c>
      <c r="C40" s="255"/>
      <c r="D40" s="255"/>
      <c r="E40" s="255"/>
      <c r="F40" s="255"/>
      <c r="G40" s="255"/>
      <c r="H40" s="255"/>
      <c r="I40" s="255"/>
      <c r="J40" s="255"/>
      <c r="K40" s="255"/>
      <c r="L40" s="255"/>
      <c r="M40" s="255"/>
      <c r="N40" s="255"/>
      <c r="O40" s="255"/>
      <c r="P40" s="215" t="s">
        <v>233</v>
      </c>
      <c r="Q40" s="215" t="s">
        <v>234</v>
      </c>
    </row>
    <row r="41" spans="1:17" ht="40.5" customHeight="1" thickBot="1">
      <c r="A41" s="119" t="s">
        <v>0</v>
      </c>
      <c r="B41" s="81">
        <v>2010</v>
      </c>
      <c r="C41" s="82">
        <v>2011</v>
      </c>
      <c r="D41" s="82">
        <v>2012</v>
      </c>
      <c r="E41" s="82">
        <v>2013</v>
      </c>
      <c r="F41" s="83">
        <v>2014</v>
      </c>
      <c r="G41" s="82">
        <v>2015</v>
      </c>
      <c r="H41" s="83">
        <v>2016</v>
      </c>
      <c r="I41" s="82">
        <v>2017</v>
      </c>
      <c r="J41" s="83">
        <v>2018</v>
      </c>
      <c r="K41" s="82">
        <v>2019</v>
      </c>
      <c r="L41" s="83">
        <v>2020</v>
      </c>
      <c r="M41" s="82">
        <v>2021</v>
      </c>
      <c r="N41" s="83">
        <v>2022</v>
      </c>
      <c r="O41" s="138">
        <v>2023</v>
      </c>
      <c r="P41" s="271"/>
      <c r="Q41" s="216"/>
    </row>
    <row r="42" spans="1:17" ht="12.75">
      <c r="A42" s="189" t="s">
        <v>164</v>
      </c>
      <c r="B42" s="61">
        <f>'Data Base and Calculations'!J12</f>
        <v>18.858055099533733</v>
      </c>
      <c r="C42" s="62">
        <f>'Data Base and Calculations'!K12</f>
        <v>19.910968677402643</v>
      </c>
      <c r="D42" s="62">
        <f>'Data Base and Calculations'!L12</f>
        <v>21.18272309412213</v>
      </c>
      <c r="E42" s="62">
        <f>'Data Base and Calculations'!M12</f>
        <v>22.645018965858124</v>
      </c>
      <c r="F42" s="62">
        <f>'Data Base and Calculations'!N12</f>
        <v>24.475455616778376</v>
      </c>
      <c r="G42" s="62">
        <f>'Data Base and Calculations'!O12</f>
        <v>20.827165720121208</v>
      </c>
      <c r="H42" s="62">
        <f>'Data Base and Calculations'!P12</f>
        <v>24.54762934687263</v>
      </c>
      <c r="I42" s="62">
        <f>'Data Base and Calculations'!Q12</f>
        <v>27.17355442633505</v>
      </c>
      <c r="J42" s="62">
        <f>'Data Base and Calculations'!R12</f>
        <v>30.327499895925786</v>
      </c>
      <c r="K42" s="129">
        <f>'Data Base and Calculations'!S12</f>
        <v>31.69831496977715</v>
      </c>
      <c r="L42" s="129">
        <f>'Data Base and Calculations'!T12</f>
        <v>34.05156066559191</v>
      </c>
      <c r="M42" s="129">
        <f>'Data Base and Calculations'!U12</f>
        <v>34.636640933944136</v>
      </c>
      <c r="N42" s="129">
        <f>'Data Base and Calculations'!V12</f>
        <v>36.99797698579786</v>
      </c>
      <c r="O42" s="129">
        <f>'Data Base and Calculations'!W12</f>
        <v>37.02083500550663</v>
      </c>
      <c r="P42" s="314">
        <f>SUM(B42:O42)</f>
        <v>384.3533994035674</v>
      </c>
      <c r="Q42" s="305">
        <f>AVERAGE(B42:K42)</f>
        <v>24.164638581272687</v>
      </c>
    </row>
    <row r="43" spans="1:17" ht="12.75">
      <c r="A43" s="50" t="s">
        <v>2</v>
      </c>
      <c r="B43" s="63">
        <f>'Data Base and Calculations'!J13</f>
        <v>7.39254632565481</v>
      </c>
      <c r="C43" s="51">
        <f>'Data Base and Calculations'!K13</f>
        <v>8.75855433560153</v>
      </c>
      <c r="D43" s="51">
        <f>'Data Base and Calculations'!L13</f>
        <v>9.988340311213905</v>
      </c>
      <c r="E43" s="51">
        <f>'Data Base and Calculations'!M13</f>
        <v>11.140649969904278</v>
      </c>
      <c r="F43" s="51">
        <f>'Data Base and Calculations'!N13</f>
        <v>12.01218930720078</v>
      </c>
      <c r="G43" s="51">
        <f>'Data Base and Calculations'!O13</f>
        <v>13.583227597003889</v>
      </c>
      <c r="H43" s="51">
        <f>'Data Base and Calculations'!P13</f>
        <v>14.549705337965495</v>
      </c>
      <c r="I43" s="51">
        <f>'Data Base and Calculations'!Q13</f>
        <v>15.146145698089118</v>
      </c>
      <c r="J43" s="51">
        <f>'Data Base and Calculations'!R13</f>
        <v>13.500191422964885</v>
      </c>
      <c r="K43" s="141">
        <f>'Data Base and Calculations'!S13</f>
        <v>13.70302302851417</v>
      </c>
      <c r="L43" s="141">
        <f>'Data Base and Calculations'!T13</f>
        <v>14.410643384022007</v>
      </c>
      <c r="M43" s="141">
        <f>'Data Base and Calculations'!U13</f>
        <v>13.65894150457813</v>
      </c>
      <c r="N43" s="141">
        <f>'Data Base and Calculations'!V13</f>
        <v>14.236152133419974</v>
      </c>
      <c r="O43" s="141">
        <f>'Data Base and Calculations'!W13</f>
        <v>13.410893114523102</v>
      </c>
      <c r="P43" s="315">
        <f>SUM(B43:O43)</f>
        <v>175.49120347065607</v>
      </c>
      <c r="Q43" s="305">
        <f>AVERAGE(B43:K43)</f>
        <v>11.977457333411285</v>
      </c>
    </row>
    <row r="44" spans="1:17" ht="12.75">
      <c r="A44" s="50" t="s">
        <v>3</v>
      </c>
      <c r="B44" s="63">
        <f>'Data Base and Calculations'!J14</f>
        <v>1.2191488209208927</v>
      </c>
      <c r="C44" s="51">
        <f>'Data Base and Calculations'!K14</f>
        <v>1.3100748998333471</v>
      </c>
      <c r="D44" s="51">
        <f>'Data Base and Calculations'!L14</f>
        <v>1.3919545810729315</v>
      </c>
      <c r="E44" s="51">
        <f>'Data Base and Calculations'!M14</f>
        <v>1.462137164992575</v>
      </c>
      <c r="F44" s="51">
        <f>'Data Base and Calculations'!N14</f>
        <v>1.5245216840322582</v>
      </c>
      <c r="G44" s="51">
        <f>'Data Base and Calculations'!O14</f>
        <v>2.0586891283095454</v>
      </c>
      <c r="H44" s="51">
        <f>'Data Base and Calculations'!P14</f>
        <v>2.0742852580694664</v>
      </c>
      <c r="I44" s="51">
        <f>'Data Base and Calculations'!Q14</f>
        <v>2.0625881607495256</v>
      </c>
      <c r="J44" s="51">
        <f>'Data Base and Calculations'!R14</f>
        <v>2.0430929985496245</v>
      </c>
      <c r="K44" s="141">
        <f>'Data Base and Calculations'!S14</f>
        <v>2.027496868789704</v>
      </c>
      <c r="L44" s="141">
        <f>'Data Base and Calculations'!T14</f>
        <v>1.5752091057520006</v>
      </c>
      <c r="M44" s="141">
        <f>'Data Base and Calculations'!U14</f>
        <v>1.5908052355119213</v>
      </c>
      <c r="N44" s="141">
        <f>'Data Base and Calculations'!V14</f>
        <v>1.4816323271924758</v>
      </c>
      <c r="O44" s="141">
        <f>'Data Base and Calculations'!W14</f>
        <v>1.4699352298725354</v>
      </c>
      <c r="P44" s="315">
        <f>SUM(B44:O44)</f>
        <v>23.291571463648808</v>
      </c>
      <c r="Q44" s="305">
        <f>AVERAGE(B44:K44)</f>
        <v>1.7173989565319872</v>
      </c>
    </row>
    <row r="45" spans="1:17" ht="12.75">
      <c r="A45" s="64" t="s">
        <v>15</v>
      </c>
      <c r="B45" s="63">
        <f>'Data Base and Calculations'!J15</f>
        <v>0</v>
      </c>
      <c r="C45" s="51">
        <f>'Data Base and Calculations'!K15</f>
        <v>0</v>
      </c>
      <c r="D45" s="51">
        <f>'Data Base and Calculations'!L15</f>
        <v>0</v>
      </c>
      <c r="E45" s="51">
        <f>'Data Base and Calculations'!M15</f>
        <v>0</v>
      </c>
      <c r="F45" s="51">
        <f>'Data Base and Calculations'!N15</f>
        <v>0</v>
      </c>
      <c r="G45" s="51">
        <f>'Data Base and Calculations'!O15</f>
        <v>0</v>
      </c>
      <c r="H45" s="51">
        <f>'Data Base and Calculations'!P15</f>
        <v>0</v>
      </c>
      <c r="I45" s="51">
        <f>'Data Base and Calculations'!Q15</f>
        <v>0</v>
      </c>
      <c r="J45" s="51">
        <f>'Data Base and Calculations'!R15</f>
        <v>0</v>
      </c>
      <c r="K45" s="141">
        <f>'Data Base and Calculations'!S15</f>
        <v>0</v>
      </c>
      <c r="L45" s="141">
        <f>'Data Base and Calculations'!T15</f>
        <v>0</v>
      </c>
      <c r="M45" s="141">
        <f>'Data Base and Calculations'!U15</f>
        <v>0</v>
      </c>
      <c r="N45" s="141">
        <f>'Data Base and Calculations'!V15</f>
        <v>0</v>
      </c>
      <c r="O45" s="141">
        <f>'Data Base and Calculations'!W15</f>
        <v>0</v>
      </c>
      <c r="P45" s="315">
        <f>SUM(B45:O45)</f>
        <v>0</v>
      </c>
      <c r="Q45" s="305">
        <f>AVERAGE(B45:K45)</f>
        <v>0</v>
      </c>
    </row>
    <row r="46" spans="1:17" ht="12.75">
      <c r="A46" s="115" t="s">
        <v>229</v>
      </c>
      <c r="B46" s="52">
        <f>'Data Base and Calculations'!J16</f>
        <v>0.7679775502807411</v>
      </c>
      <c r="C46" s="52">
        <f>'Data Base and Calculations'!K16</f>
        <v>1.4444878917015653</v>
      </c>
      <c r="D46" s="52">
        <f>'Data Base and Calculations'!L16</f>
        <v>2.0562709987751693</v>
      </c>
      <c r="E46" s="52">
        <f>'Data Base and Calculations'!M16</f>
        <v>2.6000782050628177</v>
      </c>
      <c r="F46" s="52">
        <f>'Data Base and Calculations'!N16</f>
        <v>3.0759095105645096</v>
      </c>
      <c r="G46" s="52">
        <f>'Data Base and Calculations'!O16</f>
        <v>4.282481749515228</v>
      </c>
      <c r="H46" s="52">
        <f>'Data Base and Calculations'!P16</f>
        <v>4.554385352659053</v>
      </c>
      <c r="I46" s="52">
        <f>'Data Base and Calculations'!Q16</f>
        <v>4.758313055016921</v>
      </c>
      <c r="J46" s="52">
        <f>'Data Base and Calculations'!R16</f>
        <v>4.9452467821783</v>
      </c>
      <c r="K46" s="52">
        <f>'Data Base and Calculations'!S16</f>
        <v>5.132180509339679</v>
      </c>
      <c r="L46" s="52">
        <f>'Data Base and Calculations'!T16</f>
        <v>6.338752748290398</v>
      </c>
      <c r="M46" s="52">
        <f>'Data Base and Calculations'!U16</f>
        <v>6.406728649076355</v>
      </c>
      <c r="N46" s="52">
        <f>'Data Base and Calculations'!V16</f>
        <v>3.9086142951924705</v>
      </c>
      <c r="O46" s="130">
        <f>'Data Base and Calculations'!W16</f>
        <v>3.8916203199959813</v>
      </c>
      <c r="P46" s="315">
        <f>SUM(B46:O46)</f>
        <v>54.163047617649184</v>
      </c>
      <c r="Q46" s="305">
        <f>AVERAGE(B46:K46)</f>
        <v>3.361733160509398</v>
      </c>
    </row>
    <row r="47" spans="1:17" ht="13.5" thickBot="1">
      <c r="A47" s="46" t="s">
        <v>169</v>
      </c>
      <c r="B47" s="65">
        <f>'Data Base and Calculations'!J17</f>
        <v>28.237727796390175</v>
      </c>
      <c r="C47" s="66">
        <f>'Data Base and Calculations'!K17</f>
        <v>31.424085804539086</v>
      </c>
      <c r="D47" s="66">
        <f>'Data Base and Calculations'!L17</f>
        <v>34.619288985184134</v>
      </c>
      <c r="E47" s="66">
        <f>'Data Base and Calculations'!M17</f>
        <v>37.84788430581779</v>
      </c>
      <c r="F47" s="66">
        <f>'Data Base and Calculations'!N17</f>
        <v>41.08807611857592</v>
      </c>
      <c r="G47" s="66">
        <f>'Data Base and Calculations'!O17</f>
        <v>40.75156419494987</v>
      </c>
      <c r="H47" s="66">
        <f>'Data Base and Calculations'!P17</f>
        <v>45.726005295566644</v>
      </c>
      <c r="I47" s="66">
        <f>'Data Base and Calculations'!Q17</f>
        <v>49.140601340190614</v>
      </c>
      <c r="J47" s="66">
        <f>'Data Base and Calculations'!R17</f>
        <v>50.8160310996186</v>
      </c>
      <c r="K47" s="142">
        <f>'Data Base and Calculations'!S17</f>
        <v>52.561015376420706</v>
      </c>
      <c r="L47" s="142">
        <f>'Data Base and Calculations'!T17</f>
        <v>56.376165903656315</v>
      </c>
      <c r="M47" s="142">
        <f>'Data Base and Calculations'!U17</f>
        <v>56.293116323110546</v>
      </c>
      <c r="N47" s="142">
        <f>'Data Base and Calculations'!V17</f>
        <v>56.62437574160279</v>
      </c>
      <c r="O47" s="142">
        <f>'Data Base and Calculations'!W17</f>
        <v>55.793283669898244</v>
      </c>
      <c r="P47" s="316">
        <f>SUM(B47:O47)</f>
        <v>637.2992219555215</v>
      </c>
      <c r="Q47" s="305">
        <f>AVERAGE(B47:K47)</f>
        <v>41.22122803172536</v>
      </c>
    </row>
    <row r="48" spans="1:17" ht="13.5" thickBot="1">
      <c r="A48" s="76"/>
      <c r="B48" s="185"/>
      <c r="C48" s="185"/>
      <c r="D48" s="185"/>
      <c r="E48" s="185"/>
      <c r="F48" s="185"/>
      <c r="G48" s="185"/>
      <c r="H48" s="185"/>
      <c r="I48" s="185"/>
      <c r="J48" s="185"/>
      <c r="K48" s="185"/>
      <c r="L48" s="185"/>
      <c r="M48" s="185"/>
      <c r="N48" s="185"/>
      <c r="O48" s="185"/>
      <c r="P48" s="308"/>
      <c r="Q48" s="185"/>
    </row>
    <row r="49" spans="1:17" ht="25.5" customHeight="1" thickBot="1">
      <c r="A49" s="76"/>
      <c r="B49" s="254" t="s">
        <v>162</v>
      </c>
      <c r="C49" s="255"/>
      <c r="D49" s="255"/>
      <c r="E49" s="255"/>
      <c r="F49" s="255"/>
      <c r="G49" s="255"/>
      <c r="H49" s="255"/>
      <c r="I49" s="255"/>
      <c r="J49" s="255"/>
      <c r="K49" s="255"/>
      <c r="L49" s="255"/>
      <c r="M49" s="255"/>
      <c r="N49" s="255"/>
      <c r="O49" s="255"/>
      <c r="P49" s="215" t="s">
        <v>233</v>
      </c>
      <c r="Q49" s="215" t="s">
        <v>234</v>
      </c>
    </row>
    <row r="50" spans="1:17" ht="27.75" customHeight="1" thickBot="1">
      <c r="A50" s="119" t="s">
        <v>0</v>
      </c>
      <c r="B50" s="81">
        <v>2010</v>
      </c>
      <c r="C50" s="82">
        <v>2011</v>
      </c>
      <c r="D50" s="82">
        <v>2012</v>
      </c>
      <c r="E50" s="82">
        <v>2013</v>
      </c>
      <c r="F50" s="83">
        <v>2014</v>
      </c>
      <c r="G50" s="82">
        <v>2015</v>
      </c>
      <c r="H50" s="83">
        <v>2016</v>
      </c>
      <c r="I50" s="82">
        <v>2017</v>
      </c>
      <c r="J50" s="83">
        <v>2018</v>
      </c>
      <c r="K50" s="82">
        <v>2019</v>
      </c>
      <c r="L50" s="83">
        <v>2020</v>
      </c>
      <c r="M50" s="82">
        <v>2021</v>
      </c>
      <c r="N50" s="83">
        <v>2022</v>
      </c>
      <c r="O50" s="138">
        <v>2023</v>
      </c>
      <c r="P50" s="271"/>
      <c r="Q50" s="216"/>
    </row>
    <row r="51" spans="1:17" ht="12.75">
      <c r="A51" s="118" t="s">
        <v>164</v>
      </c>
      <c r="B51" s="125">
        <f aca="true" t="shared" si="3" ref="B51:K51">B42*8760</f>
        <v>165196.5626719155</v>
      </c>
      <c r="C51" s="74">
        <f t="shared" si="3"/>
        <v>174420.08561404716</v>
      </c>
      <c r="D51" s="74">
        <f t="shared" si="3"/>
        <v>185560.65430450987</v>
      </c>
      <c r="E51" s="74">
        <f t="shared" si="3"/>
        <v>198370.36614091718</v>
      </c>
      <c r="F51" s="74">
        <f t="shared" si="3"/>
        <v>214404.99120297856</v>
      </c>
      <c r="G51" s="74">
        <f t="shared" si="3"/>
        <v>182445.9717082618</v>
      </c>
      <c r="H51" s="74">
        <f t="shared" si="3"/>
        <v>215037.23307860424</v>
      </c>
      <c r="I51" s="74">
        <f t="shared" si="3"/>
        <v>238040.33677469502</v>
      </c>
      <c r="J51" s="74">
        <f t="shared" si="3"/>
        <v>265668.8990883099</v>
      </c>
      <c r="K51" s="74">
        <f t="shared" si="3"/>
        <v>277677.23913524783</v>
      </c>
      <c r="L51" s="74">
        <f>L42*8760</f>
        <v>298291.6714305851</v>
      </c>
      <c r="M51" s="74">
        <f>M42*8760</f>
        <v>303416.97458135063</v>
      </c>
      <c r="N51" s="74">
        <f>N42*8760</f>
        <v>324102.27839558927</v>
      </c>
      <c r="O51" s="311">
        <f>O42*8760</f>
        <v>324302.5146482381</v>
      </c>
      <c r="P51" s="126">
        <f>P42*8760</f>
        <v>3366935.77877525</v>
      </c>
      <c r="Q51" s="305">
        <f>AVERAGE(B51:K51)</f>
        <v>211682.23397194868</v>
      </c>
    </row>
    <row r="52" spans="1:17" ht="12.75">
      <c r="A52" s="115" t="s">
        <v>2</v>
      </c>
      <c r="B52" s="126">
        <f>B43*8760</f>
        <v>64758.70581273614</v>
      </c>
      <c r="C52" s="73">
        <f>C43*8760</f>
        <v>76724.9359798694</v>
      </c>
      <c r="D52" s="73">
        <f>D43*8760</f>
        <v>87497.86112623381</v>
      </c>
      <c r="E52" s="73">
        <f>E43*8760</f>
        <v>97592.09373636146</v>
      </c>
      <c r="F52" s="73">
        <f>F43*8760</f>
        <v>105226.77833107884</v>
      </c>
      <c r="G52" s="73">
        <f>G43*8760</f>
        <v>118989.07374975407</v>
      </c>
      <c r="H52" s="73">
        <f>H43*8760</f>
        <v>127455.41876057774</v>
      </c>
      <c r="I52" s="73">
        <f>I43*8760</f>
        <v>132680.23631526067</v>
      </c>
      <c r="J52" s="73">
        <f>J43*8760</f>
        <v>118261.6768651724</v>
      </c>
      <c r="K52" s="73">
        <f>K43*8760</f>
        <v>120038.48172978414</v>
      </c>
      <c r="L52" s="73">
        <f>L43*8760</f>
        <v>126237.23604403279</v>
      </c>
      <c r="M52" s="73">
        <f>M43*8760</f>
        <v>119652.32758010442</v>
      </c>
      <c r="N52" s="73">
        <f>N43*8760</f>
        <v>124708.69268875898</v>
      </c>
      <c r="O52" s="312">
        <f>O43*8760</f>
        <v>117479.42368322237</v>
      </c>
      <c r="P52" s="126">
        <f>P43*8760</f>
        <v>1537302.9424029472</v>
      </c>
      <c r="Q52" s="306">
        <f>AVERAGE(B52:K52)</f>
        <v>104922.52624068286</v>
      </c>
    </row>
    <row r="53" spans="1:17" ht="12.75">
      <c r="A53" s="115" t="s">
        <v>3</v>
      </c>
      <c r="B53" s="126">
        <f>B44*8760</f>
        <v>10679.74367126702</v>
      </c>
      <c r="C53" s="73">
        <f>C44*8760</f>
        <v>11476.25612254012</v>
      </c>
      <c r="D53" s="73">
        <f>D44*8760</f>
        <v>12193.52213019888</v>
      </c>
      <c r="E53" s="73">
        <f>E44*8760</f>
        <v>12808.321565334956</v>
      </c>
      <c r="F53" s="73">
        <f>F44*8760</f>
        <v>13354.809952122581</v>
      </c>
      <c r="G53" s="73">
        <f>G44*8760</f>
        <v>18034.116763991617</v>
      </c>
      <c r="H53" s="73">
        <f>H44*8760</f>
        <v>18170.738860688525</v>
      </c>
      <c r="I53" s="73">
        <f>I44*8760</f>
        <v>18068.272288165845</v>
      </c>
      <c r="J53" s="73">
        <f>J44*8760</f>
        <v>17897.49466729471</v>
      </c>
      <c r="K53" s="73">
        <f>K44*8760</f>
        <v>17760.872570597807</v>
      </c>
      <c r="L53" s="73">
        <f>L44*8760</f>
        <v>13798.831766387524</v>
      </c>
      <c r="M53" s="73">
        <f>M44*8760</f>
        <v>13935.45386308443</v>
      </c>
      <c r="N53" s="73">
        <f>N44*8760</f>
        <v>12979.09918620609</v>
      </c>
      <c r="O53" s="312">
        <f>O44*8760</f>
        <v>12876.63261368341</v>
      </c>
      <c r="P53" s="126">
        <f>P44*8760</f>
        <v>204034.16602156355</v>
      </c>
      <c r="Q53" s="306">
        <f>AVERAGE(B53:K53)</f>
        <v>15044.414859220205</v>
      </c>
    </row>
    <row r="54" spans="1:17" ht="12.75">
      <c r="A54" s="117" t="s">
        <v>15</v>
      </c>
      <c r="B54" s="126">
        <f>B45*8760</f>
        <v>0</v>
      </c>
      <c r="C54" s="73">
        <f>C45*8760</f>
        <v>0</v>
      </c>
      <c r="D54" s="73">
        <f>D45*8760</f>
        <v>0</v>
      </c>
      <c r="E54" s="73">
        <f>E45*8760</f>
        <v>0</v>
      </c>
      <c r="F54" s="73">
        <f>F45*8760</f>
        <v>0</v>
      </c>
      <c r="G54" s="73">
        <f>G45*8760</f>
        <v>0</v>
      </c>
      <c r="H54" s="73">
        <f>H45*8760</f>
        <v>0</v>
      </c>
      <c r="I54" s="73">
        <f>I45*8760</f>
        <v>0</v>
      </c>
      <c r="J54" s="73">
        <f>J45*8760</f>
        <v>0</v>
      </c>
      <c r="K54" s="73">
        <f>K45*8760</f>
        <v>0</v>
      </c>
      <c r="L54" s="73">
        <f>L45*8760</f>
        <v>0</v>
      </c>
      <c r="M54" s="73">
        <f>M45*8760</f>
        <v>0</v>
      </c>
      <c r="N54" s="73">
        <f>N45*8760</f>
        <v>0</v>
      </c>
      <c r="O54" s="312">
        <f>O45*8760</f>
        <v>0</v>
      </c>
      <c r="P54" s="126">
        <f>P45*8760</f>
        <v>0</v>
      </c>
      <c r="Q54" s="307">
        <f>AVERAGE(B54:K54)</f>
        <v>0</v>
      </c>
    </row>
    <row r="55" spans="1:17" ht="12.75">
      <c r="A55" s="115" t="s">
        <v>229</v>
      </c>
      <c r="B55" s="126">
        <f>B46*8760</f>
        <v>6727.483340459292</v>
      </c>
      <c r="C55" s="73">
        <f aca="true" t="shared" si="4" ref="C55:O55">C46*8760</f>
        <v>12653.713931305712</v>
      </c>
      <c r="D55" s="73">
        <f t="shared" si="4"/>
        <v>18012.933949270482</v>
      </c>
      <c r="E55" s="73">
        <f t="shared" si="4"/>
        <v>22776.685076350284</v>
      </c>
      <c r="F55" s="73">
        <f t="shared" si="4"/>
        <v>26944.967312545105</v>
      </c>
      <c r="G55" s="73">
        <f t="shared" si="4"/>
        <v>37514.5401257534</v>
      </c>
      <c r="H55" s="73">
        <f t="shared" si="4"/>
        <v>39896.4156892933</v>
      </c>
      <c r="I55" s="73">
        <f t="shared" si="4"/>
        <v>41682.82236194823</v>
      </c>
      <c r="J55" s="73">
        <f t="shared" si="4"/>
        <v>43320.36181188191</v>
      </c>
      <c r="K55" s="73">
        <f t="shared" si="4"/>
        <v>44957.90126181559</v>
      </c>
      <c r="L55" s="73">
        <f t="shared" si="4"/>
        <v>55527.474075023885</v>
      </c>
      <c r="M55" s="73">
        <f t="shared" si="4"/>
        <v>56122.942965908864</v>
      </c>
      <c r="N55" s="73">
        <f t="shared" si="4"/>
        <v>34239.46122588604</v>
      </c>
      <c r="O55" s="312">
        <f t="shared" si="4"/>
        <v>34090.5940031648</v>
      </c>
      <c r="P55" s="126">
        <f>P46*8760</f>
        <v>474468.29713060684</v>
      </c>
      <c r="Q55" s="307"/>
    </row>
    <row r="56" spans="1:17" ht="13.5" thickBot="1">
      <c r="A56" s="310" t="s">
        <v>169</v>
      </c>
      <c r="B56" s="127">
        <f>B47*8760</f>
        <v>247362.49549637793</v>
      </c>
      <c r="C56" s="75">
        <f>C47*8760</f>
        <v>275274.9916477624</v>
      </c>
      <c r="D56" s="75">
        <f>D47*8760</f>
        <v>303264.97151021304</v>
      </c>
      <c r="E56" s="75">
        <f>E47*8760</f>
        <v>331547.46651896386</v>
      </c>
      <c r="F56" s="75">
        <f>F47*8760</f>
        <v>359931.54679872503</v>
      </c>
      <c r="G56" s="75">
        <f>G47*8760</f>
        <v>356983.70234776085</v>
      </c>
      <c r="H56" s="75">
        <f>H47*8760</f>
        <v>400559.8063891638</v>
      </c>
      <c r="I56" s="75">
        <f>I47*8760</f>
        <v>430471.6677400698</v>
      </c>
      <c r="J56" s="75">
        <f>J47*8760</f>
        <v>445148.4324326589</v>
      </c>
      <c r="K56" s="75">
        <f>K47*8760</f>
        <v>460434.49469744536</v>
      </c>
      <c r="L56" s="75">
        <f>L47*8760</f>
        <v>493855.2133160293</v>
      </c>
      <c r="M56" s="75">
        <f>M47*8760</f>
        <v>493127.6989904484</v>
      </c>
      <c r="N56" s="75">
        <f>N47*8760</f>
        <v>496029.53149644047</v>
      </c>
      <c r="O56" s="313">
        <f>O47*8760</f>
        <v>488749.1649483086</v>
      </c>
      <c r="P56" s="127">
        <f>P47*8760</f>
        <v>5582741.184330368</v>
      </c>
      <c r="Q56" s="309">
        <f>AVERAGE(B56:K56)</f>
        <v>361097.95755791414</v>
      </c>
    </row>
  </sheetData>
  <sheetProtection formatCells="0" formatColumns="0" formatRows="0" insertColumns="0" insertRows="0" insertHyperlinks="0"/>
  <protectedRanges>
    <protectedRange sqref="I35" name="Input Irrigation"/>
  </protectedRanges>
  <mergeCells count="36">
    <mergeCell ref="Q49:Q50"/>
    <mergeCell ref="D32:H32"/>
    <mergeCell ref="D33:H33"/>
    <mergeCell ref="D34:H34"/>
    <mergeCell ref="D35:H35"/>
    <mergeCell ref="P40:P41"/>
    <mergeCell ref="P49:P50"/>
    <mergeCell ref="B49:O49"/>
    <mergeCell ref="B40:O40"/>
    <mergeCell ref="D36:I39"/>
    <mergeCell ref="B10:O10"/>
    <mergeCell ref="P10:P11"/>
    <mergeCell ref="B15:O15"/>
    <mergeCell ref="A13:Q13"/>
    <mergeCell ref="A9:A11"/>
    <mergeCell ref="B9:Q9"/>
    <mergeCell ref="Q23:Q24"/>
    <mergeCell ref="A1:Q1"/>
    <mergeCell ref="I4:N4"/>
    <mergeCell ref="O4:Q4"/>
    <mergeCell ref="A2:Q2"/>
    <mergeCell ref="A3:Q3"/>
    <mergeCell ref="Q6:Q7"/>
    <mergeCell ref="Q10:Q11"/>
    <mergeCell ref="Q15:Q16"/>
    <mergeCell ref="B6:O6"/>
    <mergeCell ref="Q40:Q41"/>
    <mergeCell ref="A5:Q5"/>
    <mergeCell ref="P6:P7"/>
    <mergeCell ref="P15:P16"/>
    <mergeCell ref="A31:Q31"/>
    <mergeCell ref="B22:Q22"/>
    <mergeCell ref="A14:Q14"/>
    <mergeCell ref="P23:P24"/>
    <mergeCell ref="A22:A23"/>
    <mergeCell ref="B23:O23"/>
  </mergeCells>
  <dataValidations count="1">
    <dataValidation type="whole" allowBlank="1" showInputMessage="1" showErrorMessage="1" sqref="I35">
      <formula1>0</formula1>
      <formula2>I34</formula2>
    </dataValidation>
  </dataValidations>
  <printOptions/>
  <pageMargins left="0.75" right="0.75" top="1" bottom="1" header="0.5" footer="0.5"/>
  <pageSetup horizontalDpi="600" verticalDpi="600" orientation="portrait" r:id="rId2"/>
  <legacyDrawing r:id="rId1"/>
</worksheet>
</file>

<file path=xl/worksheets/sheet2.xml><?xml version="1.0" encoding="utf-8"?>
<worksheet xmlns="http://schemas.openxmlformats.org/spreadsheetml/2006/main" xmlns:r="http://schemas.openxmlformats.org/officeDocument/2006/relationships">
  <sheetPr codeName="Sheet3"/>
  <dimension ref="A1:AJ32"/>
  <sheetViews>
    <sheetView zoomScale="85" zoomScaleNormal="85" workbookViewId="0" topLeftCell="A1">
      <selection activeCell="A18" sqref="A18"/>
    </sheetView>
  </sheetViews>
  <sheetFormatPr defaultColWidth="9.140625" defaultRowHeight="12.75"/>
  <cols>
    <col min="1" max="1" width="49.57421875" style="0" customWidth="1"/>
    <col min="2" max="2" width="10.8515625" style="0" customWidth="1"/>
    <col min="3" max="3" width="11.7109375" style="0" customWidth="1"/>
    <col min="4" max="4" width="8.28125" style="0" customWidth="1"/>
    <col min="5" max="5" width="8.7109375" style="0" customWidth="1"/>
    <col min="6" max="7" width="8.00390625" style="0" customWidth="1"/>
    <col min="8" max="8" width="8.28125" style="0" customWidth="1"/>
    <col min="10" max="10" width="8.8515625" style="0" customWidth="1"/>
    <col min="11" max="11" width="9.421875" style="0" customWidth="1"/>
    <col min="12" max="12" width="9.7109375" style="0" customWidth="1"/>
    <col min="13" max="15" width="8.00390625" style="0" customWidth="1"/>
    <col min="16" max="16" width="9.00390625" style="0" customWidth="1"/>
    <col min="17" max="17" width="2.28125" style="0" customWidth="1"/>
    <col min="18" max="18" width="16.00390625" style="0" bestFit="1" customWidth="1"/>
    <col min="32" max="32" width="13.57421875" style="0" customWidth="1"/>
    <col min="33" max="33" width="13.8515625" style="0" customWidth="1"/>
  </cols>
  <sheetData>
    <row r="1" spans="1:10" ht="76.5" customHeight="1" thickBot="1">
      <c r="A1" s="263" t="s">
        <v>194</v>
      </c>
      <c r="B1" s="264"/>
      <c r="C1" s="264"/>
      <c r="D1" s="264"/>
      <c r="E1" s="264"/>
      <c r="F1" s="264"/>
      <c r="G1" s="264"/>
      <c r="H1" s="264"/>
      <c r="I1" s="264"/>
      <c r="J1" s="265"/>
    </row>
    <row r="2" spans="1:36" ht="18" customHeight="1" thickBot="1">
      <c r="A2" s="103" t="s">
        <v>193</v>
      </c>
      <c r="B2" s="96"/>
      <c r="AJ2" s="102">
        <v>1</v>
      </c>
    </row>
    <row r="3" ht="12.75" customHeight="1" thickBot="1">
      <c r="B3" s="96"/>
    </row>
    <row r="4" spans="1:36" ht="13.5" thickBot="1">
      <c r="A4" s="4" t="s">
        <v>207</v>
      </c>
      <c r="B4" s="98" t="s">
        <v>187</v>
      </c>
      <c r="C4" s="99" t="s">
        <v>188</v>
      </c>
      <c r="AJ4" s="99" t="s">
        <v>187</v>
      </c>
    </row>
    <row r="5" spans="1:36" ht="13.5" thickBot="1">
      <c r="A5" s="78" t="s">
        <v>1</v>
      </c>
      <c r="B5" s="97">
        <v>2.663016901788061</v>
      </c>
      <c r="C5" s="100">
        <v>1.75</v>
      </c>
      <c r="E5" s="192"/>
      <c r="AJ5" s="99" t="s">
        <v>188</v>
      </c>
    </row>
    <row r="6" spans="1:5" ht="12.75">
      <c r="A6" s="78" t="s">
        <v>2</v>
      </c>
      <c r="B6" s="79">
        <v>2.3912552094765895</v>
      </c>
      <c r="C6" s="101">
        <v>1.75</v>
      </c>
      <c r="E6" s="192"/>
    </row>
    <row r="7" spans="1:5" ht="12.75">
      <c r="A7" s="78" t="s">
        <v>3</v>
      </c>
      <c r="B7" s="79">
        <v>1.560617741672557</v>
      </c>
      <c r="C7" s="101">
        <v>1.75</v>
      </c>
      <c r="E7" s="192"/>
    </row>
    <row r="8" spans="1:5" ht="12.75">
      <c r="A8" s="78" t="s">
        <v>185</v>
      </c>
      <c r="B8" s="79">
        <v>1.542577638714682</v>
      </c>
      <c r="C8" s="101">
        <v>1.75</v>
      </c>
      <c r="E8" s="192"/>
    </row>
    <row r="9" spans="1:5" ht="12.75">
      <c r="A9" s="78" t="s">
        <v>186</v>
      </c>
      <c r="B9" s="79">
        <v>2.104356924927402</v>
      </c>
      <c r="C9" s="101">
        <v>1.75</v>
      </c>
      <c r="E9" s="192"/>
    </row>
    <row r="10" ht="13.5" thickBot="1"/>
    <row r="11" spans="2:33" ht="13.5" thickBot="1">
      <c r="B11" s="254" t="s">
        <v>190</v>
      </c>
      <c r="C11" s="255"/>
      <c r="D11" s="255"/>
      <c r="E11" s="255"/>
      <c r="F11" s="255"/>
      <c r="G11" s="255"/>
      <c r="H11" s="255"/>
      <c r="I11" s="255"/>
      <c r="J11" s="255"/>
      <c r="K11" s="255"/>
      <c r="L11" s="255"/>
      <c r="M11" s="255"/>
      <c r="N11" s="255"/>
      <c r="O11" s="255"/>
      <c r="P11" s="266" t="s">
        <v>205</v>
      </c>
      <c r="Q11" s="272"/>
      <c r="R11" s="254" t="s">
        <v>208</v>
      </c>
      <c r="S11" s="255"/>
      <c r="T11" s="255"/>
      <c r="U11" s="255"/>
      <c r="V11" s="255"/>
      <c r="W11" s="255"/>
      <c r="X11" s="255"/>
      <c r="Y11" s="255"/>
      <c r="Z11" s="255"/>
      <c r="AA11" s="255"/>
      <c r="AB11" s="255"/>
      <c r="AC11" s="255"/>
      <c r="AD11" s="255"/>
      <c r="AE11" s="256"/>
      <c r="AF11" s="261" t="s">
        <v>205</v>
      </c>
      <c r="AG11" s="215" t="s">
        <v>206</v>
      </c>
    </row>
    <row r="12" spans="1:33" ht="34.5" customHeight="1" thickBot="1">
      <c r="A12" s="80"/>
      <c r="B12" s="81">
        <v>2005</v>
      </c>
      <c r="C12" s="82">
        <v>2006</v>
      </c>
      <c r="D12" s="82">
        <v>2007</v>
      </c>
      <c r="E12" s="82">
        <v>2008</v>
      </c>
      <c r="F12" s="83">
        <v>2009</v>
      </c>
      <c r="G12" s="82">
        <v>2010</v>
      </c>
      <c r="H12" s="83">
        <v>2011</v>
      </c>
      <c r="I12" s="82">
        <v>2012</v>
      </c>
      <c r="J12" s="83">
        <v>2013</v>
      </c>
      <c r="K12" s="82">
        <v>2014</v>
      </c>
      <c r="L12" s="82">
        <v>2015</v>
      </c>
      <c r="M12" s="83">
        <v>2016</v>
      </c>
      <c r="N12" s="82">
        <v>2017</v>
      </c>
      <c r="O12" s="82">
        <v>2018</v>
      </c>
      <c r="P12" s="267"/>
      <c r="Q12" s="273"/>
      <c r="R12" s="81">
        <v>2005</v>
      </c>
      <c r="S12" s="82">
        <v>2006</v>
      </c>
      <c r="T12" s="82">
        <v>2007</v>
      </c>
      <c r="U12" s="82">
        <v>2008</v>
      </c>
      <c r="V12" s="83">
        <v>2009</v>
      </c>
      <c r="W12" s="82">
        <v>2010</v>
      </c>
      <c r="X12" s="83">
        <v>2011</v>
      </c>
      <c r="Y12" s="82">
        <v>2012</v>
      </c>
      <c r="Z12" s="83">
        <v>2013</v>
      </c>
      <c r="AA12" s="82">
        <v>2014</v>
      </c>
      <c r="AB12" s="83">
        <v>2015</v>
      </c>
      <c r="AC12" s="82">
        <v>2016</v>
      </c>
      <c r="AD12" s="83">
        <v>2017</v>
      </c>
      <c r="AE12" s="82">
        <v>2018</v>
      </c>
      <c r="AF12" s="262"/>
      <c r="AG12" s="271"/>
    </row>
    <row r="13" spans="1:33" ht="12.75">
      <c r="A13" s="78" t="s">
        <v>1</v>
      </c>
      <c r="B13" s="61"/>
      <c r="C13" s="62"/>
      <c r="D13" s="62"/>
      <c r="E13" s="62"/>
      <c r="F13" s="62"/>
      <c r="G13" s="62"/>
      <c r="H13" s="62"/>
      <c r="I13" s="62"/>
      <c r="J13" s="62"/>
      <c r="K13" s="62"/>
      <c r="L13" s="129"/>
      <c r="M13" s="129"/>
      <c r="N13" s="129"/>
      <c r="O13" s="129"/>
      <c r="P13" s="129"/>
      <c r="Q13" s="273"/>
      <c r="R13" s="61"/>
      <c r="S13" s="62"/>
      <c r="T13" s="62"/>
      <c r="U13" s="62"/>
      <c r="V13" s="62"/>
      <c r="W13" s="62"/>
      <c r="X13" s="62"/>
      <c r="Y13" s="62"/>
      <c r="Z13" s="62"/>
      <c r="AA13" s="62"/>
      <c r="AB13" s="129"/>
      <c r="AC13" s="129"/>
      <c r="AD13" s="129"/>
      <c r="AE13" s="129"/>
      <c r="AF13" s="129"/>
      <c r="AG13" s="155"/>
    </row>
    <row r="14" spans="1:33" ht="12.75">
      <c r="A14" s="78" t="s">
        <v>2</v>
      </c>
      <c r="B14" s="84"/>
      <c r="C14" s="52"/>
      <c r="D14" s="52"/>
      <c r="E14" s="52"/>
      <c r="F14" s="52"/>
      <c r="G14" s="52"/>
      <c r="H14" s="52"/>
      <c r="I14" s="52"/>
      <c r="J14" s="52"/>
      <c r="K14" s="52"/>
      <c r="L14" s="130"/>
      <c r="M14" s="130"/>
      <c r="N14" s="130"/>
      <c r="O14" s="130"/>
      <c r="P14" s="130"/>
      <c r="Q14" s="273"/>
      <c r="R14" s="84"/>
      <c r="S14" s="52"/>
      <c r="T14" s="52"/>
      <c r="U14" s="52"/>
      <c r="V14" s="52"/>
      <c r="W14" s="52"/>
      <c r="X14" s="52"/>
      <c r="Y14" s="52"/>
      <c r="Z14" s="52"/>
      <c r="AA14" s="52"/>
      <c r="AB14" s="130"/>
      <c r="AC14" s="130"/>
      <c r="AD14" s="130"/>
      <c r="AE14" s="130"/>
      <c r="AF14" s="130"/>
      <c r="AG14" s="155"/>
    </row>
    <row r="15" spans="1:33" ht="12.75">
      <c r="A15" s="78" t="s">
        <v>3</v>
      </c>
      <c r="B15" s="84"/>
      <c r="C15" s="52"/>
      <c r="D15" s="52"/>
      <c r="E15" s="52"/>
      <c r="F15" s="52"/>
      <c r="G15" s="52"/>
      <c r="H15" s="52"/>
      <c r="I15" s="52"/>
      <c r="J15" s="52"/>
      <c r="K15" s="52"/>
      <c r="L15" s="130"/>
      <c r="M15" s="130"/>
      <c r="N15" s="130"/>
      <c r="O15" s="130"/>
      <c r="P15" s="130"/>
      <c r="Q15" s="273"/>
      <c r="R15" s="84"/>
      <c r="S15" s="52"/>
      <c r="T15" s="52"/>
      <c r="U15" s="52"/>
      <c r="V15" s="52"/>
      <c r="W15" s="52"/>
      <c r="X15" s="52"/>
      <c r="Y15" s="52"/>
      <c r="Z15" s="52"/>
      <c r="AA15" s="52"/>
      <c r="AB15" s="130"/>
      <c r="AC15" s="130"/>
      <c r="AD15" s="130"/>
      <c r="AE15" s="130"/>
      <c r="AF15" s="130"/>
      <c r="AG15" s="155"/>
    </row>
    <row r="16" spans="1:33" ht="12.75">
      <c r="A16" s="78" t="s">
        <v>185</v>
      </c>
      <c r="B16" s="84"/>
      <c r="C16" s="52"/>
      <c r="D16" s="52"/>
      <c r="E16" s="52"/>
      <c r="F16" s="52"/>
      <c r="G16" s="52"/>
      <c r="H16" s="52"/>
      <c r="I16" s="52"/>
      <c r="J16" s="52"/>
      <c r="K16" s="52"/>
      <c r="L16" s="130"/>
      <c r="M16" s="130"/>
      <c r="N16" s="130"/>
      <c r="O16" s="130"/>
      <c r="P16" s="130"/>
      <c r="Q16" s="273"/>
      <c r="R16" s="84"/>
      <c r="S16" s="52"/>
      <c r="T16" s="52"/>
      <c r="U16" s="52"/>
      <c r="V16" s="52"/>
      <c r="W16" s="52"/>
      <c r="X16" s="52"/>
      <c r="Y16" s="52"/>
      <c r="Z16" s="52"/>
      <c r="AA16" s="52"/>
      <c r="AB16" s="130"/>
      <c r="AC16" s="130"/>
      <c r="AD16" s="130"/>
      <c r="AE16" s="130"/>
      <c r="AF16" s="130"/>
      <c r="AG16" s="155"/>
    </row>
    <row r="17" spans="1:33" ht="15" customHeight="1" thickBot="1">
      <c r="A17" s="78" t="s">
        <v>186</v>
      </c>
      <c r="B17" s="47">
        <f>'Target Calculator'!B8</f>
        <v>27.030757753043083</v>
      </c>
      <c r="C17" s="48">
        <f>'Target Calculator'!C8</f>
        <v>29.733833528347393</v>
      </c>
      <c r="D17" s="48">
        <f>'Target Calculator'!D8</f>
        <v>32.4369093036517</v>
      </c>
      <c r="E17" s="48">
        <f>'Target Calculator'!E8</f>
        <v>35.13998507895601</v>
      </c>
      <c r="F17" s="48">
        <f>'Target Calculator'!F8</f>
        <v>37.843060854260315</v>
      </c>
      <c r="G17" s="48">
        <f>'Target Calculator'!G8</f>
        <v>39.19459874191247</v>
      </c>
      <c r="H17" s="48">
        <f>'Target Calculator'!H8</f>
        <v>43.249212404868935</v>
      </c>
      <c r="I17" s="48">
        <f>'Target Calculator'!I8</f>
        <v>45.95228818017324</v>
      </c>
      <c r="J17" s="48">
        <f>'Target Calculator'!J8</f>
        <v>47.3038260678254</v>
      </c>
      <c r="K17" s="48">
        <f>'Target Calculator'!K8</f>
        <v>48.65536395547755</v>
      </c>
      <c r="L17" s="48">
        <f>'Target Calculator'!L8</f>
        <v>49.331132899303626</v>
      </c>
      <c r="M17" s="48">
        <f>'Target Calculator'!M8</f>
        <v>49.331132899303626</v>
      </c>
      <c r="N17" s="48">
        <f>'Target Calculator'!N8</f>
        <v>49.331132899303626</v>
      </c>
      <c r="O17" s="48">
        <f>'Target Calculator'!O8</f>
        <v>48.65536395547755</v>
      </c>
      <c r="P17" s="48">
        <f>SUM(B17:O17)</f>
        <v>583.1885985219045</v>
      </c>
      <c r="Q17" s="273"/>
      <c r="R17" s="87">
        <f aca="true" t="shared" si="0" ref="R17:AE17">IF($AJ$2=1,$B$9,$C$9)*B17</f>
        <v>56.882362263651274</v>
      </c>
      <c r="S17" s="88">
        <f t="shared" si="0"/>
        <v>62.5705984900164</v>
      </c>
      <c r="T17" s="88">
        <f t="shared" si="0"/>
        <v>68.25883471638153</v>
      </c>
      <c r="U17" s="88">
        <f t="shared" si="0"/>
        <v>73.94707094274665</v>
      </c>
      <c r="V17" s="88">
        <f t="shared" si="0"/>
        <v>79.63530716911177</v>
      </c>
      <c r="W17" s="88">
        <f t="shared" si="0"/>
        <v>82.47942528229434</v>
      </c>
      <c r="X17" s="88">
        <f t="shared" si="0"/>
        <v>91.01177962184204</v>
      </c>
      <c r="Y17" s="88">
        <f t="shared" si="0"/>
        <v>96.70001584820716</v>
      </c>
      <c r="Z17" s="88">
        <f t="shared" si="0"/>
        <v>99.54413396138973</v>
      </c>
      <c r="AA17" s="88">
        <f t="shared" si="0"/>
        <v>102.38825207457228</v>
      </c>
      <c r="AB17" s="88">
        <f t="shared" si="0"/>
        <v>103.81031113116356</v>
      </c>
      <c r="AC17" s="88">
        <f t="shared" si="0"/>
        <v>103.81031113116356</v>
      </c>
      <c r="AD17" s="88">
        <f t="shared" si="0"/>
        <v>103.81031113116356</v>
      </c>
      <c r="AE17" s="88">
        <f t="shared" si="0"/>
        <v>102.38825207457228</v>
      </c>
      <c r="AF17" s="89">
        <f>SUM(R17:AE17)</f>
        <v>1227.2369658382763</v>
      </c>
      <c r="AG17" s="156">
        <f>AVERAGE(R17:AE17)</f>
        <v>87.65978327416259</v>
      </c>
    </row>
    <row r="18" spans="2:33" ht="13.5" thickBot="1">
      <c r="B18" s="147"/>
      <c r="C18" s="148"/>
      <c r="D18" s="148"/>
      <c r="E18" s="148"/>
      <c r="F18" s="148"/>
      <c r="G18" s="148"/>
      <c r="H18" s="148"/>
      <c r="I18" s="148"/>
      <c r="J18" s="148"/>
      <c r="K18" s="148"/>
      <c r="L18" s="148"/>
      <c r="M18" s="148"/>
      <c r="N18" s="148"/>
      <c r="O18" s="148"/>
      <c r="P18" s="149"/>
      <c r="Q18" s="273"/>
      <c r="R18" s="147"/>
      <c r="S18" s="148"/>
      <c r="T18" s="148"/>
      <c r="U18" s="148"/>
      <c r="V18" s="148"/>
      <c r="W18" s="148"/>
      <c r="X18" s="148"/>
      <c r="Y18" s="148"/>
      <c r="Z18" s="148"/>
      <c r="AA18" s="148"/>
      <c r="AB18" s="148"/>
      <c r="AC18" s="148"/>
      <c r="AD18" s="148"/>
      <c r="AE18" s="148"/>
      <c r="AF18" s="150"/>
      <c r="AG18" s="151"/>
    </row>
    <row r="19" spans="2:33" ht="25.5" customHeight="1" thickBot="1">
      <c r="B19" s="254" t="s">
        <v>191</v>
      </c>
      <c r="C19" s="255"/>
      <c r="D19" s="255"/>
      <c r="E19" s="255"/>
      <c r="F19" s="255"/>
      <c r="G19" s="255"/>
      <c r="H19" s="255"/>
      <c r="I19" s="255"/>
      <c r="J19" s="255"/>
      <c r="K19" s="255"/>
      <c r="L19" s="255"/>
      <c r="M19" s="255"/>
      <c r="N19" s="255"/>
      <c r="O19" s="255"/>
      <c r="P19" s="266" t="s">
        <v>205</v>
      </c>
      <c r="Q19" s="273"/>
      <c r="R19" s="254" t="s">
        <v>208</v>
      </c>
      <c r="S19" s="255"/>
      <c r="T19" s="255"/>
      <c r="U19" s="255"/>
      <c r="V19" s="255"/>
      <c r="W19" s="255"/>
      <c r="X19" s="255"/>
      <c r="Y19" s="255"/>
      <c r="Z19" s="255"/>
      <c r="AA19" s="255"/>
      <c r="AB19" s="255"/>
      <c r="AC19" s="255"/>
      <c r="AD19" s="255"/>
      <c r="AE19" s="256"/>
      <c r="AF19" s="261" t="s">
        <v>205</v>
      </c>
      <c r="AG19" s="215" t="s">
        <v>206</v>
      </c>
    </row>
    <row r="20" spans="1:33" ht="13.5" thickBot="1">
      <c r="A20" s="80"/>
      <c r="B20" s="81">
        <v>2005</v>
      </c>
      <c r="C20" s="82">
        <v>2006</v>
      </c>
      <c r="D20" s="82">
        <v>2007</v>
      </c>
      <c r="E20" s="82">
        <v>2008</v>
      </c>
      <c r="F20" s="83">
        <v>2009</v>
      </c>
      <c r="G20" s="83">
        <v>2010</v>
      </c>
      <c r="H20" s="83">
        <v>2011</v>
      </c>
      <c r="I20" s="83">
        <v>2012</v>
      </c>
      <c r="J20" s="83">
        <v>2013</v>
      </c>
      <c r="K20" s="83">
        <v>2014</v>
      </c>
      <c r="L20" s="83">
        <v>2015</v>
      </c>
      <c r="M20" s="83">
        <v>2016</v>
      </c>
      <c r="N20" s="83">
        <v>2017</v>
      </c>
      <c r="O20" s="83">
        <v>2018</v>
      </c>
      <c r="P20" s="267"/>
      <c r="Q20" s="273"/>
      <c r="R20" s="81">
        <v>2005</v>
      </c>
      <c r="S20" s="82">
        <v>2006</v>
      </c>
      <c r="T20" s="82">
        <v>2007</v>
      </c>
      <c r="U20" s="82">
        <v>2008</v>
      </c>
      <c r="V20" s="83">
        <v>2009</v>
      </c>
      <c r="W20" s="82">
        <v>2010</v>
      </c>
      <c r="X20" s="83">
        <v>2011</v>
      </c>
      <c r="Y20" s="82">
        <v>2012</v>
      </c>
      <c r="Z20" s="83">
        <v>2013</v>
      </c>
      <c r="AA20" s="82">
        <v>2014</v>
      </c>
      <c r="AB20" s="83">
        <v>2015</v>
      </c>
      <c r="AC20" s="82">
        <v>2016</v>
      </c>
      <c r="AD20" s="83">
        <v>2017</v>
      </c>
      <c r="AE20" s="82">
        <v>2018</v>
      </c>
      <c r="AF20" s="262"/>
      <c r="AG20" s="271"/>
    </row>
    <row r="21" spans="1:33" ht="12.75">
      <c r="A21" s="78" t="s">
        <v>1</v>
      </c>
      <c r="B21" s="84">
        <f>'Target Calculator'!B17</f>
        <v>18.858055099533733</v>
      </c>
      <c r="C21" s="52">
        <f>'Target Calculator'!C17</f>
        <v>19.910968677402643</v>
      </c>
      <c r="D21" s="52">
        <f>'Target Calculator'!D17</f>
        <v>21.18272309412213</v>
      </c>
      <c r="E21" s="52">
        <f>'Target Calculator'!E17</f>
        <v>22.645018965858124</v>
      </c>
      <c r="F21" s="52">
        <f>'Target Calculator'!F17</f>
        <v>24.475455616778376</v>
      </c>
      <c r="G21" s="52">
        <f>'Target Calculator'!G17</f>
        <v>20.827165720121208</v>
      </c>
      <c r="H21" s="52">
        <f>'Target Calculator'!H17</f>
        <v>24.54762934687263</v>
      </c>
      <c r="I21" s="52">
        <f>'Target Calculator'!I17</f>
        <v>27.17355442633505</v>
      </c>
      <c r="J21" s="52">
        <f>'Target Calculator'!J17</f>
        <v>30.327499895925786</v>
      </c>
      <c r="K21" s="52">
        <f>'Target Calculator'!K17</f>
        <v>31.69831496977715</v>
      </c>
      <c r="L21" s="52">
        <f>'Target Calculator'!L17</f>
        <v>34.05156066559191</v>
      </c>
      <c r="M21" s="52">
        <f>'Target Calculator'!M17</f>
        <v>34.636640933944136</v>
      </c>
      <c r="N21" s="52">
        <f>'Target Calculator'!N17</f>
        <v>36.99797698579786</v>
      </c>
      <c r="O21" s="52">
        <f>'Target Calculator'!O17</f>
        <v>37.02083500550663</v>
      </c>
      <c r="P21" s="52">
        <f>SUM(B21:O21)</f>
        <v>384.3533994035674</v>
      </c>
      <c r="Q21" s="273"/>
      <c r="R21" s="92">
        <f aca="true" t="shared" si="1" ref="R21:AE21">IF($AJ$2=1,$B$5,$C$5)*B21</f>
        <v>50.219319464908864</v>
      </c>
      <c r="S21" s="90">
        <f t="shared" si="1"/>
        <v>53.02324611889591</v>
      </c>
      <c r="T21" s="90">
        <f t="shared" si="1"/>
        <v>56.409949625543526</v>
      </c>
      <c r="U21" s="90">
        <f t="shared" si="1"/>
        <v>60.304068247391385</v>
      </c>
      <c r="V21" s="90">
        <f t="shared" si="1"/>
        <v>65.17855198644435</v>
      </c>
      <c r="W21" s="90">
        <f t="shared" si="1"/>
        <v>55.46309432902369</v>
      </c>
      <c r="X21" s="90">
        <f t="shared" si="1"/>
        <v>65.37075184955043</v>
      </c>
      <c r="Y21" s="90">
        <f t="shared" si="1"/>
        <v>72.36363471898801</v>
      </c>
      <c r="Z21" s="90">
        <f t="shared" si="1"/>
        <v>80.76264481182602</v>
      </c>
      <c r="AA21" s="90">
        <f t="shared" si="1"/>
        <v>84.41314852271806</v>
      </c>
      <c r="AB21" s="90">
        <f t="shared" si="1"/>
        <v>90.67988158473277</v>
      </c>
      <c r="AC21" s="90">
        <f t="shared" si="1"/>
        <v>92.23796022825745</v>
      </c>
      <c r="AD21" s="90">
        <f t="shared" si="1"/>
        <v>98.5262380451454</v>
      </c>
      <c r="AE21" s="90">
        <f t="shared" si="1"/>
        <v>98.58710933797127</v>
      </c>
      <c r="AF21" s="93">
        <f>SUM(R21:AE21)</f>
        <v>1023.5395988713972</v>
      </c>
      <c r="AG21" s="155"/>
    </row>
    <row r="22" spans="1:33" ht="12.75">
      <c r="A22" s="78" t="s">
        <v>2</v>
      </c>
      <c r="B22" s="84">
        <f>'Target Calculator'!B18</f>
        <v>7.39254632565481</v>
      </c>
      <c r="C22" s="52">
        <f>'Target Calculator'!C18</f>
        <v>8.75855433560153</v>
      </c>
      <c r="D22" s="52">
        <f>'Target Calculator'!D18</f>
        <v>9.988340311213905</v>
      </c>
      <c r="E22" s="52">
        <f>'Target Calculator'!E18</f>
        <v>11.140649969904278</v>
      </c>
      <c r="F22" s="52">
        <f>'Target Calculator'!F18</f>
        <v>12.01218930720078</v>
      </c>
      <c r="G22" s="52">
        <f>'Target Calculator'!G18</f>
        <v>13.583227597003889</v>
      </c>
      <c r="H22" s="52">
        <f>'Target Calculator'!H18</f>
        <v>14.549705337965495</v>
      </c>
      <c r="I22" s="52">
        <f>'Target Calculator'!I18</f>
        <v>15.146145698089118</v>
      </c>
      <c r="J22" s="52">
        <f>'Target Calculator'!J18</f>
        <v>13.500191422964885</v>
      </c>
      <c r="K22" s="52">
        <f>'Target Calculator'!K18</f>
        <v>13.70302302851417</v>
      </c>
      <c r="L22" s="52">
        <f>'Target Calculator'!L18</f>
        <v>14.410643384022007</v>
      </c>
      <c r="M22" s="52">
        <f>'Target Calculator'!M18</f>
        <v>13.65894150457813</v>
      </c>
      <c r="N22" s="52">
        <f>'Target Calculator'!N18</f>
        <v>14.236152133419974</v>
      </c>
      <c r="O22" s="52">
        <f>'Target Calculator'!O18</f>
        <v>13.410893114523102</v>
      </c>
      <c r="P22" s="52">
        <f>SUM(B22:O22)</f>
        <v>175.49120347065607</v>
      </c>
      <c r="Q22" s="273"/>
      <c r="R22" s="94">
        <f aca="true" t="shared" si="2" ref="R22:AE22">IF($AJ$2=1,$B$6,$C$6)*B22</f>
        <v>17.677464912519085</v>
      </c>
      <c r="S22" s="91">
        <f t="shared" si="2"/>
        <v>20.94393868249093</v>
      </c>
      <c r="T22" s="91">
        <f t="shared" si="2"/>
        <v>23.884670803215272</v>
      </c>
      <c r="U22" s="91">
        <f t="shared" si="2"/>
        <v>26.640137277488815</v>
      </c>
      <c r="V22" s="91">
        <f t="shared" si="2"/>
        <v>28.72421025806285</v>
      </c>
      <c r="W22" s="91">
        <f t="shared" si="2"/>
        <v>32.480963752841724</v>
      </c>
      <c r="X22" s="91">
        <f t="shared" si="2"/>
        <v>34.792058685759336</v>
      </c>
      <c r="Y22" s="91">
        <f t="shared" si="2"/>
        <v>36.21829980404704</v>
      </c>
      <c r="Z22" s="91">
        <f t="shared" si="2"/>
        <v>32.282403069095956</v>
      </c>
      <c r="AA22" s="91">
        <f t="shared" si="2"/>
        <v>32.767425202512186</v>
      </c>
      <c r="AB22" s="91">
        <f t="shared" si="2"/>
        <v>34.45952606395198</v>
      </c>
      <c r="AC22" s="91">
        <f t="shared" si="2"/>
        <v>32.66201502875846</v>
      </c>
      <c r="AD22" s="91">
        <f t="shared" si="2"/>
        <v>34.042272951941776</v>
      </c>
      <c r="AE22" s="91">
        <f t="shared" si="2"/>
        <v>32.06886802383709</v>
      </c>
      <c r="AF22" s="95">
        <f>SUM(R22:AE22)</f>
        <v>419.64425451652244</v>
      </c>
      <c r="AG22" s="155"/>
    </row>
    <row r="23" spans="1:33" ht="12.75">
      <c r="A23" s="78" t="s">
        <v>189</v>
      </c>
      <c r="B23" s="84">
        <f>'Target Calculator'!B19</f>
        <v>1.3335647546690823</v>
      </c>
      <c r="C23" s="52">
        <f>'Target Calculator'!C19</f>
        <v>1.3956971164907288</v>
      </c>
      <c r="D23" s="52">
        <f>'Target Calculator'!D19</f>
        <v>1.4527328159627058</v>
      </c>
      <c r="E23" s="52">
        <f>'Target Calculator'!E19</f>
        <v>1.4997033919984513</v>
      </c>
      <c r="F23" s="52">
        <f>'Target Calculator'!F19</f>
        <v>1.5399638857433762</v>
      </c>
      <c r="G23" s="52">
        <f>'Target Calculator'!G19</f>
        <v>2.07006038671822</v>
      </c>
      <c r="H23" s="52">
        <f>'Target Calculator'!H19</f>
        <v>2.086835592445272</v>
      </c>
      <c r="I23" s="52">
        <f>'Target Calculator'!I19</f>
        <v>2.0734154278636305</v>
      </c>
      <c r="J23" s="52">
        <f>'Target Calculator'!J19</f>
        <v>2.053285180991168</v>
      </c>
      <c r="K23" s="52">
        <f>'Target Calculator'!K19</f>
        <v>2.0365099752641163</v>
      </c>
      <c r="L23" s="52">
        <f>'Target Calculator'!L19</f>
        <v>1.3554366227458037</v>
      </c>
      <c r="M23" s="52">
        <f>'Target Calculator'!M19</f>
        <v>1.3688567873274453</v>
      </c>
      <c r="N23" s="52">
        <f>'Target Calculator'!N19</f>
        <v>1.274915635255954</v>
      </c>
      <c r="O23" s="52">
        <f>'Target Calculator'!O19</f>
        <v>1.264850511819723</v>
      </c>
      <c r="P23" s="52">
        <f>SUM(B23:O23)</f>
        <v>22.805828085295676</v>
      </c>
      <c r="Q23" s="273"/>
      <c r="R23" s="94">
        <f aca="true" t="shared" si="3" ref="R23:AE23">IF($AJ$2=1,$B$7,$C$7)*B23</f>
        <v>2.0811848158057806</v>
      </c>
      <c r="S23" s="91">
        <f t="shared" si="3"/>
        <v>2.178149681996661</v>
      </c>
      <c r="T23" s="91">
        <f t="shared" si="3"/>
        <v>2.2671606065013323</v>
      </c>
      <c r="U23" s="91">
        <f t="shared" si="3"/>
        <v>2.3404637207992964</v>
      </c>
      <c r="V23" s="91">
        <f t="shared" si="3"/>
        <v>2.4032949616261234</v>
      </c>
      <c r="W23" s="91">
        <f t="shared" si="3"/>
        <v>3.2305729658460085</v>
      </c>
      <c r="X23" s="91">
        <f t="shared" si="3"/>
        <v>3.2567526495238535</v>
      </c>
      <c r="Y23" s="91">
        <f t="shared" si="3"/>
        <v>3.235808902581578</v>
      </c>
      <c r="Z23" s="91">
        <f t="shared" si="3"/>
        <v>3.2043932821681644</v>
      </c>
      <c r="AA23" s="91">
        <f t="shared" si="3"/>
        <v>3.1782135984903204</v>
      </c>
      <c r="AB23" s="91">
        <f t="shared" si="3"/>
        <v>2.115318441169834</v>
      </c>
      <c r="AC23" s="91">
        <f t="shared" si="3"/>
        <v>2.1362621881121093</v>
      </c>
      <c r="AD23" s="91">
        <f t="shared" si="3"/>
        <v>1.9896559595161805</v>
      </c>
      <c r="AE23" s="91">
        <f t="shared" si="3"/>
        <v>1.9739481493094742</v>
      </c>
      <c r="AF23" s="95">
        <f>SUM(R23:AE23)</f>
        <v>35.59117992344671</v>
      </c>
      <c r="AG23" s="155"/>
    </row>
    <row r="24" spans="1:33" ht="13.5" thickBot="1">
      <c r="A24" s="78" t="s">
        <v>186</v>
      </c>
      <c r="B24" s="47">
        <f>'Target Calculator'!B21</f>
        <v>28.352143730138366</v>
      </c>
      <c r="C24" s="48">
        <f>'Target Calculator'!C21</f>
        <v>31.50970802119647</v>
      </c>
      <c r="D24" s="48">
        <f>'Target Calculator'!D21</f>
        <v>34.68006722007391</v>
      </c>
      <c r="E24" s="48">
        <f>'Target Calculator'!E21</f>
        <v>37.88545053282367</v>
      </c>
      <c r="F24" s="48">
        <f>'Target Calculator'!F21</f>
        <v>41.10351832028704</v>
      </c>
      <c r="G24" s="48">
        <f>'Target Calculator'!G21</f>
        <v>40.762935453358544</v>
      </c>
      <c r="H24" s="48">
        <f>'Target Calculator'!H21</f>
        <v>45.738555629942454</v>
      </c>
      <c r="I24" s="48">
        <f>'Target Calculator'!I21</f>
        <v>49.151428607304716</v>
      </c>
      <c r="J24" s="48">
        <f>'Target Calculator'!J21</f>
        <v>50.82622328206014</v>
      </c>
      <c r="K24" s="48">
        <f>'Target Calculator'!K21</f>
        <v>52.57002848289512</v>
      </c>
      <c r="L24" s="48">
        <f>'Target Calculator'!L21</f>
        <v>56.15639342065012</v>
      </c>
      <c r="M24" s="48">
        <f>'Target Calculator'!M21</f>
        <v>56.07116787492607</v>
      </c>
      <c r="N24" s="48">
        <f>'Target Calculator'!N21</f>
        <v>56.41765904966626</v>
      </c>
      <c r="O24" s="48">
        <f>'Target Calculator'!O21</f>
        <v>55.588198951845435</v>
      </c>
      <c r="P24" s="48">
        <f>SUM(B24:O24)</f>
        <v>636.8134785771683</v>
      </c>
      <c r="Q24" s="273"/>
      <c r="R24" s="87">
        <f aca="true" t="shared" si="4" ref="R24:AE24">IF($AJ$2=1,$B$9,$C$9)*B24</f>
        <v>59.66302999505369</v>
      </c>
      <c r="S24" s="88">
        <f t="shared" si="4"/>
        <v>66.3076722768453</v>
      </c>
      <c r="T24" s="88">
        <f t="shared" si="4"/>
        <v>72.97923961151032</v>
      </c>
      <c r="U24" s="88">
        <f t="shared" si="4"/>
        <v>79.72451018274201</v>
      </c>
      <c r="V24" s="88">
        <f t="shared" si="4"/>
        <v>86.49647341617636</v>
      </c>
      <c r="W24" s="88">
        <f t="shared" si="4"/>
        <v>85.77976550164375</v>
      </c>
      <c r="X24" s="88">
        <f t="shared" si="4"/>
        <v>96.25024627604661</v>
      </c>
      <c r="Y24" s="88">
        <f t="shared" si="4"/>
        <v>103.43214915985648</v>
      </c>
      <c r="Z24" s="88">
        <f t="shared" si="4"/>
        <v>106.9565149315096</v>
      </c>
      <c r="AA24" s="88">
        <f t="shared" si="4"/>
        <v>110.6261034816111</v>
      </c>
      <c r="AB24" s="88">
        <f t="shared" si="4"/>
        <v>118.17309537369266</v>
      </c>
      <c r="AC24" s="88">
        <f t="shared" si="4"/>
        <v>117.99375040636754</v>
      </c>
      <c r="AD24" s="88">
        <f t="shared" si="4"/>
        <v>118.7228915093583</v>
      </c>
      <c r="AE24" s="88">
        <f t="shared" si="4"/>
        <v>116.97741140855808</v>
      </c>
      <c r="AF24" s="89">
        <f>SUM(R24:AE24)</f>
        <v>1340.0828535309718</v>
      </c>
      <c r="AG24" s="156">
        <f>AVERAGE(R24:AE24)</f>
        <v>95.72020382364084</v>
      </c>
    </row>
    <row r="25" spans="2:32" ht="13.5" thickBot="1">
      <c r="B25" s="268"/>
      <c r="C25" s="269"/>
      <c r="D25" s="269"/>
      <c r="E25" s="269"/>
      <c r="F25" s="269"/>
      <c r="G25" s="269"/>
      <c r="H25" s="269"/>
      <c r="I25" s="269"/>
      <c r="J25" s="269"/>
      <c r="K25" s="269"/>
      <c r="L25" s="269"/>
      <c r="M25" s="269"/>
      <c r="N25" s="269"/>
      <c r="O25" s="269"/>
      <c r="P25" s="270"/>
      <c r="Q25" s="273"/>
      <c r="R25" s="144"/>
      <c r="S25" s="145"/>
      <c r="T25" s="145"/>
      <c r="U25" s="145"/>
      <c r="V25" s="145"/>
      <c r="W25" s="145"/>
      <c r="X25" s="145"/>
      <c r="Y25" s="145"/>
      <c r="Z25" s="145"/>
      <c r="AA25" s="145"/>
      <c r="AB25" s="145"/>
      <c r="AC25" s="145"/>
      <c r="AD25" s="145"/>
      <c r="AE25" s="145"/>
      <c r="AF25" s="146"/>
    </row>
    <row r="26" spans="2:33" ht="13.5" customHeight="1" thickBot="1">
      <c r="B26" s="254" t="s">
        <v>192</v>
      </c>
      <c r="C26" s="255"/>
      <c r="D26" s="255"/>
      <c r="E26" s="255"/>
      <c r="F26" s="255"/>
      <c r="G26" s="255"/>
      <c r="H26" s="255"/>
      <c r="I26" s="255"/>
      <c r="J26" s="255"/>
      <c r="K26" s="255"/>
      <c r="L26" s="255"/>
      <c r="M26" s="255"/>
      <c r="N26" s="255"/>
      <c r="O26" s="255"/>
      <c r="P26" s="266" t="s">
        <v>205</v>
      </c>
      <c r="Q26" s="273"/>
      <c r="R26" s="254" t="s">
        <v>208</v>
      </c>
      <c r="S26" s="255"/>
      <c r="T26" s="255"/>
      <c r="U26" s="255"/>
      <c r="V26" s="255"/>
      <c r="W26" s="255"/>
      <c r="X26" s="255"/>
      <c r="Y26" s="255"/>
      <c r="Z26" s="255"/>
      <c r="AA26" s="255"/>
      <c r="AB26" s="255"/>
      <c r="AC26" s="255"/>
      <c r="AD26" s="255"/>
      <c r="AE26" s="256"/>
      <c r="AF26" s="261" t="s">
        <v>205</v>
      </c>
      <c r="AG26" s="215" t="s">
        <v>206</v>
      </c>
    </row>
    <row r="27" spans="1:33" ht="27" customHeight="1" thickBot="1">
      <c r="A27" s="80"/>
      <c r="B27" s="81">
        <v>2005</v>
      </c>
      <c r="C27" s="82">
        <v>2006</v>
      </c>
      <c r="D27" s="82">
        <v>2007</v>
      </c>
      <c r="E27" s="82">
        <v>2008</v>
      </c>
      <c r="F27" s="83">
        <v>2009</v>
      </c>
      <c r="G27" s="82">
        <v>2010</v>
      </c>
      <c r="H27" s="83">
        <v>2011</v>
      </c>
      <c r="I27" s="82">
        <v>2012</v>
      </c>
      <c r="J27" s="83">
        <v>2013</v>
      </c>
      <c r="K27" s="83">
        <v>2014</v>
      </c>
      <c r="L27" s="83">
        <v>2015</v>
      </c>
      <c r="M27" s="83">
        <v>2016</v>
      </c>
      <c r="N27" s="83">
        <v>2017</v>
      </c>
      <c r="O27" s="83">
        <v>2018</v>
      </c>
      <c r="P27" s="267"/>
      <c r="Q27" s="273"/>
      <c r="R27" s="81">
        <v>2005</v>
      </c>
      <c r="S27" s="82">
        <v>2006</v>
      </c>
      <c r="T27" s="82">
        <v>2007</v>
      </c>
      <c r="U27" s="82">
        <v>2008</v>
      </c>
      <c r="V27" s="83">
        <v>2009</v>
      </c>
      <c r="W27" s="82">
        <v>2010</v>
      </c>
      <c r="X27" s="83">
        <v>2011</v>
      </c>
      <c r="Y27" s="82">
        <v>2012</v>
      </c>
      <c r="Z27" s="83">
        <v>2013</v>
      </c>
      <c r="AA27" s="82">
        <v>2014</v>
      </c>
      <c r="AB27" s="83">
        <v>2015</v>
      </c>
      <c r="AC27" s="82">
        <v>2016</v>
      </c>
      <c r="AD27" s="83">
        <v>2017</v>
      </c>
      <c r="AE27" s="82">
        <v>2018</v>
      </c>
      <c r="AF27" s="262"/>
      <c r="AG27" s="271"/>
    </row>
    <row r="28" spans="1:33" ht="12.75">
      <c r="A28" s="78" t="s">
        <v>1</v>
      </c>
      <c r="B28" s="84">
        <f>'Target Calculator'!B42</f>
        <v>18.858055099533733</v>
      </c>
      <c r="C28" s="52">
        <f>'Target Calculator'!C42</f>
        <v>19.910968677402643</v>
      </c>
      <c r="D28" s="52">
        <f>'Target Calculator'!D42</f>
        <v>21.18272309412213</v>
      </c>
      <c r="E28" s="52">
        <f>'Target Calculator'!E42</f>
        <v>22.645018965858124</v>
      </c>
      <c r="F28" s="52">
        <f>'Target Calculator'!F42</f>
        <v>24.475455616778376</v>
      </c>
      <c r="G28" s="52">
        <f>'Target Calculator'!G42</f>
        <v>20.827165720121208</v>
      </c>
      <c r="H28" s="52">
        <f>'Target Calculator'!H42</f>
        <v>24.54762934687263</v>
      </c>
      <c r="I28" s="52">
        <f>'Target Calculator'!I42</f>
        <v>27.17355442633505</v>
      </c>
      <c r="J28" s="52">
        <f>'Target Calculator'!J42</f>
        <v>30.327499895925786</v>
      </c>
      <c r="K28" s="85">
        <f>'Target Calculator'!K42</f>
        <v>31.69831496977715</v>
      </c>
      <c r="L28" s="85">
        <f>'Target Calculator'!P42</f>
        <v>384.3533994035674</v>
      </c>
      <c r="M28" s="85">
        <f>'Target Calculator'!Q42</f>
        <v>24.164638581272687</v>
      </c>
      <c r="N28" s="85">
        <f>'Target Calculator'!N42</f>
        <v>36.99797698579786</v>
      </c>
      <c r="O28" s="85">
        <f>'Target Calculator'!O42</f>
        <v>37.02083500550663</v>
      </c>
      <c r="P28" s="85">
        <f>SUM(B28:O28)</f>
        <v>724.1832357888715</v>
      </c>
      <c r="Q28" s="273"/>
      <c r="R28" s="92">
        <f aca="true" t="shared" si="5" ref="R28:AE28">IF($AJ$2=1,$B$5,$C$5)*B28</f>
        <v>50.219319464908864</v>
      </c>
      <c r="S28" s="90">
        <f t="shared" si="5"/>
        <v>53.02324611889591</v>
      </c>
      <c r="T28" s="90">
        <f t="shared" si="5"/>
        <v>56.409949625543526</v>
      </c>
      <c r="U28" s="90">
        <f t="shared" si="5"/>
        <v>60.304068247391385</v>
      </c>
      <c r="V28" s="90">
        <f t="shared" si="5"/>
        <v>65.17855198644435</v>
      </c>
      <c r="W28" s="90">
        <f t="shared" si="5"/>
        <v>55.46309432902369</v>
      </c>
      <c r="X28" s="90">
        <f t="shared" si="5"/>
        <v>65.37075184955043</v>
      </c>
      <c r="Y28" s="90">
        <f t="shared" si="5"/>
        <v>72.36363471898801</v>
      </c>
      <c r="Z28" s="90">
        <f t="shared" si="5"/>
        <v>80.76264481182602</v>
      </c>
      <c r="AA28" s="90">
        <f t="shared" si="5"/>
        <v>84.41314852271806</v>
      </c>
      <c r="AB28" s="90">
        <f t="shared" si="5"/>
        <v>1023.5395988713972</v>
      </c>
      <c r="AC28" s="90">
        <f t="shared" si="5"/>
        <v>64.35084096752904</v>
      </c>
      <c r="AD28" s="90">
        <f t="shared" si="5"/>
        <v>98.5262380451454</v>
      </c>
      <c r="AE28" s="90">
        <f t="shared" si="5"/>
        <v>98.58710933797127</v>
      </c>
      <c r="AF28" s="152">
        <f>SUM(R28:AE28)</f>
        <v>1928.512196897333</v>
      </c>
      <c r="AG28" s="157">
        <f>AVERAGE(R28:AA28)</f>
        <v>64.35084096752902</v>
      </c>
    </row>
    <row r="29" spans="1:33" ht="12.75">
      <c r="A29" s="78" t="s">
        <v>2</v>
      </c>
      <c r="B29" s="84">
        <f>'Target Calculator'!B43</f>
        <v>7.39254632565481</v>
      </c>
      <c r="C29" s="52">
        <f>'Target Calculator'!C43</f>
        <v>8.75855433560153</v>
      </c>
      <c r="D29" s="52">
        <f>'Target Calculator'!D43</f>
        <v>9.988340311213905</v>
      </c>
      <c r="E29" s="52">
        <f>'Target Calculator'!E43</f>
        <v>11.140649969904278</v>
      </c>
      <c r="F29" s="52">
        <f>'Target Calculator'!F43</f>
        <v>12.01218930720078</v>
      </c>
      <c r="G29" s="52">
        <f>'Target Calculator'!G43</f>
        <v>13.583227597003889</v>
      </c>
      <c r="H29" s="52">
        <f>'Target Calculator'!H43</f>
        <v>14.549705337965495</v>
      </c>
      <c r="I29" s="52">
        <f>'Target Calculator'!I43</f>
        <v>15.146145698089118</v>
      </c>
      <c r="J29" s="52">
        <f>'Target Calculator'!J43</f>
        <v>13.500191422964885</v>
      </c>
      <c r="K29" s="85">
        <f>'Target Calculator'!K43</f>
        <v>13.70302302851417</v>
      </c>
      <c r="L29" s="85">
        <f>'Target Calculator'!P43</f>
        <v>175.49120347065607</v>
      </c>
      <c r="M29" s="85">
        <f>'Target Calculator'!Q43</f>
        <v>11.977457333411285</v>
      </c>
      <c r="N29" s="85">
        <f>'Target Calculator'!N43</f>
        <v>14.236152133419974</v>
      </c>
      <c r="O29" s="85">
        <f>'Target Calculator'!O43</f>
        <v>13.410893114523102</v>
      </c>
      <c r="P29" s="85">
        <f>SUM(B29:O29)</f>
        <v>334.8902793861233</v>
      </c>
      <c r="Q29" s="273"/>
      <c r="R29" s="94">
        <f aca="true" t="shared" si="6" ref="R29:AE29">IF($AJ$2=1,$B$6,$C$6)*B29</f>
        <v>17.677464912519085</v>
      </c>
      <c r="S29" s="91">
        <f t="shared" si="6"/>
        <v>20.94393868249093</v>
      </c>
      <c r="T29" s="91">
        <f t="shared" si="6"/>
        <v>23.884670803215272</v>
      </c>
      <c r="U29" s="91">
        <f t="shared" si="6"/>
        <v>26.640137277488815</v>
      </c>
      <c r="V29" s="91">
        <f t="shared" si="6"/>
        <v>28.72421025806285</v>
      </c>
      <c r="W29" s="91">
        <f t="shared" si="6"/>
        <v>32.480963752841724</v>
      </c>
      <c r="X29" s="91">
        <f t="shared" si="6"/>
        <v>34.792058685759336</v>
      </c>
      <c r="Y29" s="91">
        <f t="shared" si="6"/>
        <v>36.21829980404704</v>
      </c>
      <c r="Z29" s="91">
        <f t="shared" si="6"/>
        <v>32.282403069095956</v>
      </c>
      <c r="AA29" s="91">
        <f t="shared" si="6"/>
        <v>32.767425202512186</v>
      </c>
      <c r="AB29" s="91">
        <f t="shared" si="6"/>
        <v>419.6442545165225</v>
      </c>
      <c r="AC29" s="91">
        <f t="shared" si="6"/>
        <v>28.641157244803317</v>
      </c>
      <c r="AD29" s="91">
        <f t="shared" si="6"/>
        <v>34.042272951941776</v>
      </c>
      <c r="AE29" s="91">
        <f t="shared" si="6"/>
        <v>32.06886802383709</v>
      </c>
      <c r="AF29" s="153">
        <f>SUM(R29:AE29)</f>
        <v>800.808125185138</v>
      </c>
      <c r="AG29" s="158">
        <f>AVERAGE(R29:AA29)</f>
        <v>28.64115724480332</v>
      </c>
    </row>
    <row r="30" spans="1:33" ht="12.75">
      <c r="A30" s="78" t="s">
        <v>3</v>
      </c>
      <c r="B30" s="84">
        <f>'Target Calculator'!B44</f>
        <v>1.2191488209208927</v>
      </c>
      <c r="C30" s="52">
        <f>'Target Calculator'!C44</f>
        <v>1.3100748998333471</v>
      </c>
      <c r="D30" s="52">
        <f>'Target Calculator'!D44</f>
        <v>1.3919545810729315</v>
      </c>
      <c r="E30" s="52">
        <f>'Target Calculator'!E44</f>
        <v>1.462137164992575</v>
      </c>
      <c r="F30" s="52">
        <f>'Target Calculator'!F44</f>
        <v>1.5245216840322582</v>
      </c>
      <c r="G30" s="52">
        <f>'Target Calculator'!G44</f>
        <v>2.0586891283095454</v>
      </c>
      <c r="H30" s="52">
        <f>'Target Calculator'!H44</f>
        <v>2.0742852580694664</v>
      </c>
      <c r="I30" s="52">
        <f>'Target Calculator'!I44</f>
        <v>2.0625881607495256</v>
      </c>
      <c r="J30" s="52">
        <f>'Target Calculator'!J44</f>
        <v>2.0430929985496245</v>
      </c>
      <c r="K30" s="85">
        <f>'Target Calculator'!K44</f>
        <v>2.027496868789704</v>
      </c>
      <c r="L30" s="85">
        <f>'Target Calculator'!P44</f>
        <v>23.291571463648808</v>
      </c>
      <c r="M30" s="85">
        <f>'Target Calculator'!Q44</f>
        <v>1.7173989565319872</v>
      </c>
      <c r="N30" s="85">
        <f>'Target Calculator'!N44</f>
        <v>1.4816323271924758</v>
      </c>
      <c r="O30" s="85">
        <f>'Target Calculator'!O44</f>
        <v>1.4699352298725354</v>
      </c>
      <c r="P30" s="85">
        <f>SUM(B30:O30)</f>
        <v>45.13452754256568</v>
      </c>
      <c r="Q30" s="273"/>
      <c r="R30" s="94">
        <f aca="true" t="shared" si="7" ref="R30:AE30">IF($AJ$2=1,$B$7,$C$7)*B30</f>
        <v>1.9026252796683243</v>
      </c>
      <c r="S30" s="91">
        <f t="shared" si="7"/>
        <v>2.0445261315998198</v>
      </c>
      <c r="T30" s="91">
        <f t="shared" si="7"/>
        <v>2.1723090148248088</v>
      </c>
      <c r="U30" s="91">
        <f t="shared" si="7"/>
        <v>2.2818372004462275</v>
      </c>
      <c r="V30" s="91">
        <f t="shared" si="7"/>
        <v>2.3791955876652664</v>
      </c>
      <c r="W30" s="91">
        <f t="shared" si="7"/>
        <v>3.2128267782282878</v>
      </c>
      <c r="X30" s="91">
        <f t="shared" si="7"/>
        <v>3.237166375033048</v>
      </c>
      <c r="Y30" s="91">
        <f t="shared" si="7"/>
        <v>3.2189116774294777</v>
      </c>
      <c r="Z30" s="91">
        <f t="shared" si="7"/>
        <v>3.1884871814235276</v>
      </c>
      <c r="AA30" s="91">
        <f t="shared" si="7"/>
        <v>3.1641475846187683</v>
      </c>
      <c r="AB30" s="91">
        <f t="shared" si="7"/>
        <v>36.34923965760458</v>
      </c>
      <c r="AC30" s="91">
        <f t="shared" si="7"/>
        <v>2.680203281093756</v>
      </c>
      <c r="AD30" s="91">
        <f t="shared" si="7"/>
        <v>2.3122616964521767</v>
      </c>
      <c r="AE30" s="91">
        <f t="shared" si="7"/>
        <v>2.2940069988486074</v>
      </c>
      <c r="AF30" s="153">
        <f>SUM(R30:AE30)</f>
        <v>70.43774444493667</v>
      </c>
      <c r="AG30" s="158">
        <f>AVERAGE(R30:AA30)</f>
        <v>2.680203281093756</v>
      </c>
    </row>
    <row r="31" spans="1:33" ht="12.75">
      <c r="A31" s="78" t="s">
        <v>185</v>
      </c>
      <c r="B31" s="84">
        <f>'Target Calculator'!B45</f>
        <v>0</v>
      </c>
      <c r="C31" s="52">
        <f>'Target Calculator'!C45</f>
        <v>0</v>
      </c>
      <c r="D31" s="52">
        <f>'Target Calculator'!D45</f>
        <v>0</v>
      </c>
      <c r="E31" s="52">
        <f>'Target Calculator'!E45</f>
        <v>0</v>
      </c>
      <c r="F31" s="52">
        <f>'Target Calculator'!F45</f>
        <v>0</v>
      </c>
      <c r="G31" s="52">
        <f>'Target Calculator'!G45</f>
        <v>0</v>
      </c>
      <c r="H31" s="52">
        <f>'Target Calculator'!H45</f>
        <v>0</v>
      </c>
      <c r="I31" s="52">
        <f>'Target Calculator'!I45</f>
        <v>0</v>
      </c>
      <c r="J31" s="52">
        <f>'Target Calculator'!J45</f>
        <v>0</v>
      </c>
      <c r="K31" s="85">
        <f>'Target Calculator'!K45</f>
        <v>0</v>
      </c>
      <c r="L31" s="85">
        <f>'Target Calculator'!P45</f>
        <v>0</v>
      </c>
      <c r="M31" s="85">
        <f>'Target Calculator'!Q45</f>
        <v>0</v>
      </c>
      <c r="N31" s="85">
        <f>'Target Calculator'!N45</f>
        <v>0</v>
      </c>
      <c r="O31" s="85">
        <f>'Target Calculator'!O45</f>
        <v>0</v>
      </c>
      <c r="P31" s="85">
        <f>SUM(B31:O31)</f>
        <v>0</v>
      </c>
      <c r="Q31" s="273"/>
      <c r="R31" s="94">
        <f aca="true" t="shared" si="8" ref="R31:AE31">IF($AJ$2=1,$B$8,$C$8)*B31</f>
        <v>0</v>
      </c>
      <c r="S31" s="91">
        <f t="shared" si="8"/>
        <v>0</v>
      </c>
      <c r="T31" s="91">
        <f t="shared" si="8"/>
        <v>0</v>
      </c>
      <c r="U31" s="91">
        <f t="shared" si="8"/>
        <v>0</v>
      </c>
      <c r="V31" s="91">
        <f t="shared" si="8"/>
        <v>0</v>
      </c>
      <c r="W31" s="91">
        <f t="shared" si="8"/>
        <v>0</v>
      </c>
      <c r="X31" s="91">
        <f t="shared" si="8"/>
        <v>0</v>
      </c>
      <c r="Y31" s="91">
        <f t="shared" si="8"/>
        <v>0</v>
      </c>
      <c r="Z31" s="91">
        <f t="shared" si="8"/>
        <v>0</v>
      </c>
      <c r="AA31" s="91">
        <f t="shared" si="8"/>
        <v>0</v>
      </c>
      <c r="AB31" s="91">
        <f t="shared" si="8"/>
        <v>0</v>
      </c>
      <c r="AC31" s="91">
        <f t="shared" si="8"/>
        <v>0</v>
      </c>
      <c r="AD31" s="91">
        <f t="shared" si="8"/>
        <v>0</v>
      </c>
      <c r="AE31" s="91">
        <f t="shared" si="8"/>
        <v>0</v>
      </c>
      <c r="AF31" s="153">
        <f>SUM(R31:AE31)</f>
        <v>0</v>
      </c>
      <c r="AG31" s="158">
        <f>AVERAGE(R31:AA31)</f>
        <v>0</v>
      </c>
    </row>
    <row r="32" spans="1:33" ht="13.5" thickBot="1">
      <c r="A32" s="78" t="s">
        <v>186</v>
      </c>
      <c r="B32" s="47">
        <f>'Target Calculator'!B47</f>
        <v>28.237727796390175</v>
      </c>
      <c r="C32" s="48">
        <f>'Target Calculator'!C47</f>
        <v>31.424085804539086</v>
      </c>
      <c r="D32" s="48">
        <f>'Target Calculator'!D47</f>
        <v>34.619288985184134</v>
      </c>
      <c r="E32" s="48">
        <f>'Target Calculator'!E47</f>
        <v>37.84788430581779</v>
      </c>
      <c r="F32" s="48">
        <f>'Target Calculator'!F47</f>
        <v>41.08807611857592</v>
      </c>
      <c r="G32" s="48">
        <f>'Target Calculator'!G47</f>
        <v>40.75156419494987</v>
      </c>
      <c r="H32" s="48">
        <f>'Target Calculator'!H47</f>
        <v>45.726005295566644</v>
      </c>
      <c r="I32" s="48">
        <f>'Target Calculator'!I47</f>
        <v>49.140601340190614</v>
      </c>
      <c r="J32" s="48">
        <f>'Target Calculator'!J47</f>
        <v>50.8160310996186</v>
      </c>
      <c r="K32" s="86">
        <f>'Target Calculator'!K47</f>
        <v>52.561015376420706</v>
      </c>
      <c r="L32" s="86">
        <f>'Target Calculator'!P47</f>
        <v>637.2992219555215</v>
      </c>
      <c r="M32" s="86">
        <f>'Target Calculator'!Q47</f>
        <v>41.22122803172536</v>
      </c>
      <c r="N32" s="86">
        <f>'Target Calculator'!N47</f>
        <v>56.62437574160279</v>
      </c>
      <c r="O32" s="86">
        <f>'Target Calculator'!O47</f>
        <v>55.793283669898244</v>
      </c>
      <c r="P32" s="86">
        <f>SUM(B32:O32)</f>
        <v>1203.1503897160014</v>
      </c>
      <c r="Q32" s="274"/>
      <c r="R32" s="87">
        <f aca="true" t="shared" si="9" ref="R32:AE32">IF($AJ$2=1,$B$9,$C$9)*B32</f>
        <v>59.42225803254865</v>
      </c>
      <c r="S32" s="87">
        <f t="shared" si="9"/>
        <v>66.1274925722947</v>
      </c>
      <c r="T32" s="87">
        <f t="shared" si="9"/>
        <v>72.85134051203516</v>
      </c>
      <c r="U32" s="87">
        <f t="shared" si="9"/>
        <v>79.6454574327988</v>
      </c>
      <c r="V32" s="87">
        <f t="shared" si="9"/>
        <v>86.46397751206945</v>
      </c>
      <c r="W32" s="87">
        <f t="shared" si="9"/>
        <v>85.75583631526632</v>
      </c>
      <c r="X32" s="87">
        <f t="shared" si="9"/>
        <v>96.22383589299272</v>
      </c>
      <c r="Y32" s="87">
        <f t="shared" si="9"/>
        <v>103.40936472532688</v>
      </c>
      <c r="Z32" s="87">
        <f t="shared" si="9"/>
        <v>106.93506694180861</v>
      </c>
      <c r="AA32" s="87">
        <f t="shared" si="9"/>
        <v>110.60713668858656</v>
      </c>
      <c r="AB32" s="87">
        <f t="shared" si="9"/>
        <v>1341.105030972947</v>
      </c>
      <c r="AC32" s="87">
        <f t="shared" si="9"/>
        <v>86.7441766625728</v>
      </c>
      <c r="AD32" s="87">
        <f t="shared" si="9"/>
        <v>119.15789721153303</v>
      </c>
      <c r="AE32" s="87">
        <f t="shared" si="9"/>
        <v>117.4089828551893</v>
      </c>
      <c r="AF32" s="154">
        <f>SUM(R32:AE32)</f>
        <v>2531.85785432797</v>
      </c>
      <c r="AG32" s="159">
        <f>AVERAGE(R32:AE32)</f>
        <v>180.846989594855</v>
      </c>
    </row>
  </sheetData>
  <sheetProtection password="C4BA" sheet="1" objects="1" scenarios="1" formatCells="0" formatColumns="0" formatRows="0" insertColumns="0" insertRows="0"/>
  <mergeCells count="18">
    <mergeCell ref="AG26:AG27"/>
    <mergeCell ref="AG11:AG12"/>
    <mergeCell ref="AG19:AG20"/>
    <mergeCell ref="Q11:Q32"/>
    <mergeCell ref="AF11:AF12"/>
    <mergeCell ref="R11:AE11"/>
    <mergeCell ref="R19:AE19"/>
    <mergeCell ref="R26:AE26"/>
    <mergeCell ref="B26:O26"/>
    <mergeCell ref="AF19:AF20"/>
    <mergeCell ref="AF26:AF27"/>
    <mergeCell ref="A1:J1"/>
    <mergeCell ref="P26:P27"/>
    <mergeCell ref="P11:P12"/>
    <mergeCell ref="P19:P20"/>
    <mergeCell ref="B11:O11"/>
    <mergeCell ref="B19:O19"/>
    <mergeCell ref="B25:P25"/>
  </mergeCells>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Sheet2"/>
  <dimension ref="A1:AD243"/>
  <sheetViews>
    <sheetView zoomScale="75" zoomScaleNormal="75" workbookViewId="0" topLeftCell="A1">
      <selection activeCell="A17" sqref="A17"/>
    </sheetView>
  </sheetViews>
  <sheetFormatPr defaultColWidth="9.140625" defaultRowHeight="12.75"/>
  <cols>
    <col min="1" max="1" width="33.00390625" style="0" customWidth="1"/>
    <col min="2" max="2" width="30.140625" style="0" customWidth="1"/>
    <col min="3" max="3" width="47.140625" style="0" customWidth="1"/>
    <col min="4" max="4" width="11.28125" style="0" customWidth="1"/>
    <col min="5" max="5" width="12.57421875" style="16" customWidth="1"/>
    <col min="6" max="6" width="12.140625" style="16" customWidth="1"/>
    <col min="7" max="7" width="12.8515625" style="16" customWidth="1"/>
    <col min="8" max="8" width="13.140625" style="16" customWidth="1"/>
    <col min="9" max="9" width="9.57421875" style="0" customWidth="1"/>
    <col min="10" max="13" width="6.8515625" style="0" customWidth="1"/>
    <col min="14" max="17" width="8.8515625" style="0" customWidth="1"/>
    <col min="18" max="23" width="8.00390625" style="0" customWidth="1"/>
    <col min="24" max="24" width="8.421875" style="0" customWidth="1"/>
    <col min="25" max="25" width="8.57421875" style="0" customWidth="1"/>
    <col min="26" max="27" width="6.421875" style="0" customWidth="1"/>
    <col min="28" max="29" width="8.00390625" style="0" customWidth="1"/>
    <col min="30" max="30" width="13.7109375" style="0" customWidth="1"/>
  </cols>
  <sheetData>
    <row r="1" spans="1:30" ht="51">
      <c r="A1" s="18" t="s">
        <v>160</v>
      </c>
      <c r="B1" s="18" t="s">
        <v>150</v>
      </c>
      <c r="C1" s="18" t="s">
        <v>151</v>
      </c>
      <c r="D1" s="18" t="s">
        <v>17</v>
      </c>
      <c r="E1" s="19" t="s">
        <v>152</v>
      </c>
      <c r="F1" s="19" t="s">
        <v>153</v>
      </c>
      <c r="G1" s="19" t="s">
        <v>154</v>
      </c>
      <c r="H1" s="19" t="s">
        <v>155</v>
      </c>
      <c r="I1" s="20" t="s">
        <v>156</v>
      </c>
      <c r="J1" s="106">
        <v>2010</v>
      </c>
      <c r="K1" s="106">
        <v>2011</v>
      </c>
      <c r="L1" s="106">
        <v>2012</v>
      </c>
      <c r="M1" s="106">
        <v>2013</v>
      </c>
      <c r="N1" s="106">
        <v>2014</v>
      </c>
      <c r="O1" s="106">
        <v>2015</v>
      </c>
      <c r="P1" s="106">
        <v>2016</v>
      </c>
      <c r="Q1" s="106">
        <v>2017</v>
      </c>
      <c r="R1" s="106">
        <v>2018</v>
      </c>
      <c r="S1" s="106">
        <v>2019</v>
      </c>
      <c r="T1" s="106">
        <v>2020</v>
      </c>
      <c r="U1" s="106">
        <v>2021</v>
      </c>
      <c r="V1" s="106">
        <v>2022</v>
      </c>
      <c r="W1" s="106">
        <v>2023</v>
      </c>
      <c r="X1" s="106">
        <v>2024</v>
      </c>
      <c r="Y1" s="106">
        <v>2025</v>
      </c>
      <c r="Z1" s="106">
        <v>2026</v>
      </c>
      <c r="AA1" s="106">
        <v>2027</v>
      </c>
      <c r="AB1" s="106">
        <v>2028</v>
      </c>
      <c r="AC1" s="106">
        <v>2029</v>
      </c>
      <c r="AD1" s="21" t="s">
        <v>218</v>
      </c>
    </row>
    <row r="2" spans="1:30" ht="12.75">
      <c r="A2" t="str">
        <f>INDEX(Sale_TargetData,'Target Calculator'!A7,1)</f>
        <v>Puget Sound Energy Inc - WA</v>
      </c>
      <c r="B2" s="12"/>
      <c r="C2" s="12" t="str">
        <f aca="true" t="shared" si="0" ref="B2:AD2">VLOOKUP($A2,Sale_TargetData,C3,0)</f>
        <v>Puget Sound Energy Inc</v>
      </c>
      <c r="D2" s="12" t="str">
        <f t="shared" si="0"/>
        <v>WA</v>
      </c>
      <c r="E2" s="12">
        <f t="shared" si="0"/>
        <v>10909007</v>
      </c>
      <c r="F2" s="12">
        <f t="shared" si="0"/>
        <v>9348288</v>
      </c>
      <c r="G2" s="12">
        <f t="shared" si="0"/>
        <v>1369242</v>
      </c>
      <c r="H2" s="12">
        <f t="shared" si="0"/>
        <v>21626537</v>
      </c>
      <c r="I2" s="13">
        <f t="shared" si="0"/>
        <v>0.13515378876521542</v>
      </c>
      <c r="J2" s="14">
        <f t="shared" si="0"/>
        <v>27.030757753043083</v>
      </c>
      <c r="K2" s="14">
        <f t="shared" si="0"/>
        <v>29.733833528347393</v>
      </c>
      <c r="L2" s="14">
        <f t="shared" si="0"/>
        <v>32.4369093036517</v>
      </c>
      <c r="M2" s="14">
        <f t="shared" si="0"/>
        <v>35.13998507895601</v>
      </c>
      <c r="N2" s="14">
        <f t="shared" si="0"/>
        <v>37.843060854260315</v>
      </c>
      <c r="O2" s="14">
        <f t="shared" si="0"/>
        <v>39.19459874191247</v>
      </c>
      <c r="P2" s="14">
        <f t="shared" si="0"/>
        <v>43.249212404868935</v>
      </c>
      <c r="Q2" s="14">
        <f t="shared" si="0"/>
        <v>45.95228818017324</v>
      </c>
      <c r="R2" s="14">
        <f t="shared" si="0"/>
        <v>47.3038260678254</v>
      </c>
      <c r="S2" s="14">
        <f t="shared" si="0"/>
        <v>48.65536395547755</v>
      </c>
      <c r="T2" s="14">
        <f t="shared" si="0"/>
        <v>49.331132899303626</v>
      </c>
      <c r="U2" s="14">
        <f t="shared" si="0"/>
        <v>49.331132899303626</v>
      </c>
      <c r="V2" s="14">
        <f t="shared" si="0"/>
        <v>49.331132899303626</v>
      </c>
      <c r="W2" s="14">
        <f t="shared" si="0"/>
        <v>48.65536395547755</v>
      </c>
      <c r="X2" s="14">
        <f t="shared" si="0"/>
        <v>41.89767451721678</v>
      </c>
      <c r="Y2" s="14">
        <f t="shared" si="0"/>
        <v>37.843060854260315</v>
      </c>
      <c r="Z2" s="14">
        <f t="shared" si="0"/>
        <v>33.78844719130385</v>
      </c>
      <c r="AA2" s="14">
        <f t="shared" si="0"/>
        <v>32.4369093036517</v>
      </c>
      <c r="AB2" s="14">
        <f t="shared" si="0"/>
        <v>31.085371415999546</v>
      </c>
      <c r="AC2" s="14">
        <f t="shared" si="0"/>
        <v>29.733833528347393</v>
      </c>
      <c r="AD2" s="14">
        <f t="shared" si="0"/>
        <v>789.9738953326842</v>
      </c>
    </row>
    <row r="3" spans="1:30" ht="12.75">
      <c r="A3">
        <v>1</v>
      </c>
      <c r="C3">
        <v>2</v>
      </c>
      <c r="D3">
        <v>3</v>
      </c>
      <c r="E3">
        <v>4</v>
      </c>
      <c r="F3">
        <v>5</v>
      </c>
      <c r="G3">
        <v>6</v>
      </c>
      <c r="H3">
        <v>7</v>
      </c>
      <c r="I3">
        <v>8</v>
      </c>
      <c r="J3">
        <v>9</v>
      </c>
      <c r="K3">
        <v>10</v>
      </c>
      <c r="L3">
        <v>11</v>
      </c>
      <c r="M3">
        <v>12</v>
      </c>
      <c r="N3">
        <v>13</v>
      </c>
      <c r="O3">
        <v>14</v>
      </c>
      <c r="P3">
        <v>15</v>
      </c>
      <c r="Q3">
        <v>16</v>
      </c>
      <c r="R3">
        <v>17</v>
      </c>
      <c r="S3">
        <v>18</v>
      </c>
      <c r="T3">
        <v>19</v>
      </c>
      <c r="U3">
        <v>20</v>
      </c>
      <c r="V3">
        <v>21</v>
      </c>
      <c r="W3">
        <v>22</v>
      </c>
      <c r="X3">
        <v>23</v>
      </c>
      <c r="Y3">
        <v>24</v>
      </c>
      <c r="Z3">
        <v>25</v>
      </c>
      <c r="AA3">
        <v>26</v>
      </c>
      <c r="AB3">
        <v>27</v>
      </c>
      <c r="AC3">
        <v>28</v>
      </c>
      <c r="AD3">
        <v>29</v>
      </c>
    </row>
    <row r="4" spans="5:9" ht="13.5" thickBot="1">
      <c r="E4" s="28">
        <f>E2/D191</f>
        <v>0.16644866485986604</v>
      </c>
      <c r="F4" s="28">
        <f>F2/E191</f>
        <v>0.17420348842593655</v>
      </c>
      <c r="G4" s="28">
        <f>G2/F191</f>
        <v>0.033550411454104055</v>
      </c>
      <c r="H4" s="28">
        <f>H2/G191</f>
        <v>0.13515378876521542</v>
      </c>
      <c r="I4" s="28">
        <f>I2/H191</f>
        <v>0.1351537887652154</v>
      </c>
    </row>
    <row r="5" spans="5:30" ht="12.75">
      <c r="E5" s="28"/>
      <c r="F5" s="28"/>
      <c r="G5" s="30" t="s">
        <v>236</v>
      </c>
      <c r="H5" s="28">
        <f>SUM(E2:F2)/(SUM(D191:E191))</f>
        <v>0.16993975196489003</v>
      </c>
      <c r="I5" s="32" t="s">
        <v>166</v>
      </c>
      <c r="J5" s="33">
        <f aca="true" t="shared" si="1" ref="J5:S5">Share_Res*D223</f>
        <v>18.858055099533733</v>
      </c>
      <c r="K5" s="33">
        <f t="shared" si="1"/>
        <v>19.910968677402643</v>
      </c>
      <c r="L5" s="33">
        <f t="shared" si="1"/>
        <v>21.18272309412213</v>
      </c>
      <c r="M5" s="33">
        <f t="shared" si="1"/>
        <v>22.645018965858124</v>
      </c>
      <c r="N5" s="33">
        <f t="shared" si="1"/>
        <v>24.475455616778376</v>
      </c>
      <c r="O5" s="33">
        <f t="shared" si="1"/>
        <v>20.827165720121208</v>
      </c>
      <c r="P5" s="33">
        <f t="shared" si="1"/>
        <v>24.54762934687263</v>
      </c>
      <c r="Q5" s="33">
        <f t="shared" si="1"/>
        <v>27.17355442633505</v>
      </c>
      <c r="R5" s="33">
        <f t="shared" si="1"/>
        <v>30.327499895925786</v>
      </c>
      <c r="S5" s="33">
        <f t="shared" si="1"/>
        <v>31.69831496977715</v>
      </c>
      <c r="T5" s="33">
        <f aca="true" t="shared" si="2" ref="T5:AC5">Share_Res*N223</f>
        <v>34.05156066559191</v>
      </c>
      <c r="U5" s="33">
        <f t="shared" si="2"/>
        <v>34.636640933944136</v>
      </c>
      <c r="V5" s="33">
        <f t="shared" si="2"/>
        <v>36.99797698579786</v>
      </c>
      <c r="W5" s="33">
        <f t="shared" si="2"/>
        <v>37.02083500550663</v>
      </c>
      <c r="X5" s="33">
        <f t="shared" si="2"/>
        <v>33.32723485360864</v>
      </c>
      <c r="Y5" s="33">
        <f t="shared" si="2"/>
        <v>26.311552667786145</v>
      </c>
      <c r="Z5" s="33">
        <f t="shared" si="2"/>
        <v>25.549472872787906</v>
      </c>
      <c r="AA5" s="33">
        <f t="shared" si="2"/>
        <v>26.43883849076165</v>
      </c>
      <c r="AB5" s="33">
        <f t="shared" si="2"/>
        <v>26.701740502748716</v>
      </c>
      <c r="AC5" s="33">
        <f t="shared" si="2"/>
        <v>26.709713339300066</v>
      </c>
      <c r="AD5" s="317">
        <f>SUM(J5:AC5)</f>
        <v>549.3919521305605</v>
      </c>
    </row>
    <row r="6" spans="5:30" ht="12.75">
      <c r="E6" s="28"/>
      <c r="F6" s="28"/>
      <c r="G6" s="28"/>
      <c r="H6" s="28"/>
      <c r="I6" s="34" t="s">
        <v>167</v>
      </c>
      <c r="J6" s="29">
        <f aca="true" t="shared" si="3" ref="J6:S6">Share_Com*D224</f>
        <v>7.39254632565481</v>
      </c>
      <c r="K6" s="29">
        <f t="shared" si="3"/>
        <v>8.75855433560153</v>
      </c>
      <c r="L6" s="29">
        <f t="shared" si="3"/>
        <v>9.988340311213905</v>
      </c>
      <c r="M6" s="29">
        <f t="shared" si="3"/>
        <v>11.140649969904278</v>
      </c>
      <c r="N6" s="29">
        <f t="shared" si="3"/>
        <v>12.01218930720078</v>
      </c>
      <c r="O6" s="29">
        <f t="shared" si="3"/>
        <v>13.583227597003889</v>
      </c>
      <c r="P6" s="29">
        <f t="shared" si="3"/>
        <v>14.549705337965495</v>
      </c>
      <c r="Q6" s="29">
        <f t="shared" si="3"/>
        <v>15.146145698089118</v>
      </c>
      <c r="R6" s="29">
        <f t="shared" si="3"/>
        <v>13.500191422964885</v>
      </c>
      <c r="S6" s="29">
        <f t="shared" si="3"/>
        <v>13.70302302851417</v>
      </c>
      <c r="T6" s="29">
        <f aca="true" t="shared" si="4" ref="T6:AC6">Share_Com*N224</f>
        <v>14.410643384022007</v>
      </c>
      <c r="U6" s="29">
        <f t="shared" si="4"/>
        <v>13.65894150457813</v>
      </c>
      <c r="V6" s="29">
        <f t="shared" si="4"/>
        <v>14.236152133419974</v>
      </c>
      <c r="W6" s="29">
        <f t="shared" si="4"/>
        <v>13.410893114523102</v>
      </c>
      <c r="X6" s="29">
        <f t="shared" si="4"/>
        <v>11.458181146256216</v>
      </c>
      <c r="Y6" s="29">
        <f t="shared" si="4"/>
        <v>11.919685340697997</v>
      </c>
      <c r="Z6" s="29">
        <f t="shared" si="4"/>
        <v>10.20874010967969</v>
      </c>
      <c r="AA6" s="29">
        <f t="shared" si="4"/>
        <v>8.964372773817525</v>
      </c>
      <c r="AB6" s="29">
        <f t="shared" si="4"/>
        <v>7.870465792652787</v>
      </c>
      <c r="AC6" s="29">
        <f t="shared" si="4"/>
        <v>6.503334292869258</v>
      </c>
      <c r="AD6" s="318">
        <f>SUM(J6:AC6)</f>
        <v>232.41598292662957</v>
      </c>
    </row>
    <row r="7" spans="5:30" ht="12.75">
      <c r="E7" s="28"/>
      <c r="F7" s="28"/>
      <c r="G7" s="28"/>
      <c r="H7" s="28"/>
      <c r="I7" s="34" t="s">
        <v>168</v>
      </c>
      <c r="J7" s="29">
        <f aca="true" t="shared" si="5" ref="J7:S7">Share_Ind_Agr*(D225+D226)</f>
        <v>1.3335647546690823</v>
      </c>
      <c r="K7" s="29">
        <f t="shared" si="5"/>
        <v>1.3956971164907288</v>
      </c>
      <c r="L7" s="29">
        <f t="shared" si="5"/>
        <v>1.4527328159627058</v>
      </c>
      <c r="M7" s="29">
        <f t="shared" si="5"/>
        <v>1.4997033919984513</v>
      </c>
      <c r="N7" s="29">
        <f t="shared" si="5"/>
        <v>1.5399638857433762</v>
      </c>
      <c r="O7" s="29">
        <f t="shared" si="5"/>
        <v>2.07006038671822</v>
      </c>
      <c r="P7" s="29">
        <f t="shared" si="5"/>
        <v>2.086835592445272</v>
      </c>
      <c r="Q7" s="29">
        <f t="shared" si="5"/>
        <v>2.0734154278636305</v>
      </c>
      <c r="R7" s="29">
        <f t="shared" si="5"/>
        <v>2.053285180991168</v>
      </c>
      <c r="S7" s="29">
        <f t="shared" si="5"/>
        <v>2.0365099752641163</v>
      </c>
      <c r="T7" s="29">
        <f aca="true" t="shared" si="6" ref="T7:AC7">Share_Ind_Agr*(N225+N226)</f>
        <v>1.3554366227458037</v>
      </c>
      <c r="U7" s="29">
        <f t="shared" si="6"/>
        <v>1.3688567873274453</v>
      </c>
      <c r="V7" s="29">
        <f t="shared" si="6"/>
        <v>1.274915635255954</v>
      </c>
      <c r="W7" s="29">
        <f t="shared" si="6"/>
        <v>1.264850511819723</v>
      </c>
      <c r="X7" s="29">
        <f t="shared" si="6"/>
        <v>0.9192812738424511</v>
      </c>
      <c r="Y7" s="29">
        <f t="shared" si="6"/>
        <v>1.1172287014216649</v>
      </c>
      <c r="Z7" s="29">
        <f t="shared" si="6"/>
        <v>0.7917897103168557</v>
      </c>
      <c r="AA7" s="29">
        <f t="shared" si="6"/>
        <v>0.620682611900925</v>
      </c>
      <c r="AB7" s="29">
        <f t="shared" si="6"/>
        <v>0.5099662541023816</v>
      </c>
      <c r="AC7" s="29">
        <f t="shared" si="6"/>
        <v>0.462995678066636</v>
      </c>
      <c r="AD7" s="318">
        <f>SUM(J7:AC7)</f>
        <v>27.22777231494659</v>
      </c>
    </row>
    <row r="8" spans="5:30" ht="12.75">
      <c r="E8" s="28"/>
      <c r="F8" s="28"/>
      <c r="G8" s="28"/>
      <c r="H8" s="28"/>
      <c r="I8" s="299" t="s">
        <v>232</v>
      </c>
      <c r="J8" s="29">
        <f>Share_Non_Ind*D$227</f>
        <v>0.7679775502807411</v>
      </c>
      <c r="K8" s="29">
        <f>Share_Non_Ind*E$227</f>
        <v>1.4444878917015653</v>
      </c>
      <c r="L8" s="29">
        <f>Share_Non_Ind*F$227</f>
        <v>2.0562709987751693</v>
      </c>
      <c r="M8" s="29">
        <f>Share_Non_Ind*G$227</f>
        <v>2.6000782050628177</v>
      </c>
      <c r="N8" s="29">
        <f>Share_Non_Ind*H$227</f>
        <v>3.0759095105645096</v>
      </c>
      <c r="O8" s="29">
        <f>Share_Non_Ind*I$227</f>
        <v>4.282481749515228</v>
      </c>
      <c r="P8" s="29">
        <f>Share_Non_Ind*J$227</f>
        <v>4.554385352659053</v>
      </c>
      <c r="Q8" s="29">
        <f>Share_Non_Ind*K$227</f>
        <v>4.758313055016921</v>
      </c>
      <c r="R8" s="29">
        <f>Share_Non_Ind*L$227</f>
        <v>4.9452467821783</v>
      </c>
      <c r="S8" s="29">
        <f>Share_Non_Ind*M$227</f>
        <v>5.132180509339679</v>
      </c>
      <c r="T8" s="29">
        <f>Share_Non_Ind*N$227</f>
        <v>6.338752748290398</v>
      </c>
      <c r="U8" s="29">
        <f>Share_Non_Ind*O$227</f>
        <v>6.406728649076355</v>
      </c>
      <c r="V8" s="29">
        <f>Share_Non_Ind*P$227</f>
        <v>3.9086142951924705</v>
      </c>
      <c r="W8" s="29">
        <f>Share_Non_Ind*Q$227</f>
        <v>3.8916203199959813</v>
      </c>
      <c r="X8" s="29">
        <f>Share_Non_Ind*R$227</f>
        <v>2.820999882617175</v>
      </c>
      <c r="Y8" s="29">
        <f>Share_Non_Ind*S$227</f>
        <v>3.4327829896907787</v>
      </c>
      <c r="Z8" s="29">
        <f>Share_Non_Ind*T$227</f>
        <v>2.4301384530979275</v>
      </c>
      <c r="AA8" s="29">
        <f>Share_Non_Ind*U$227</f>
        <v>1.9033252220067682</v>
      </c>
      <c r="AB8" s="29">
        <f>Share_Non_Ind*V$227</f>
        <v>1.563445718076988</v>
      </c>
      <c r="AC8" s="29">
        <f>Share_Non_Ind*W$227</f>
        <v>1.4274939165050764</v>
      </c>
      <c r="AD8" s="318">
        <f>SUM(J8:AC8)</f>
        <v>67.7412337996439</v>
      </c>
    </row>
    <row r="9" spans="3:30" ht="13.5" thickBot="1">
      <c r="C9" s="30" t="s">
        <v>166</v>
      </c>
      <c r="D9" s="30" t="s">
        <v>167</v>
      </c>
      <c r="E9" s="30" t="s">
        <v>173</v>
      </c>
      <c r="F9" s="37" t="s">
        <v>174</v>
      </c>
      <c r="G9" s="38" t="s">
        <v>237</v>
      </c>
      <c r="H9" s="30" t="s">
        <v>11</v>
      </c>
      <c r="I9" s="35" t="s">
        <v>11</v>
      </c>
      <c r="J9" s="36">
        <f>SUM(J5:J8)</f>
        <v>28.352143730138366</v>
      </c>
      <c r="K9" s="36">
        <f aca="true" t="shared" si="7" ref="K9:AD9">SUM(K5:K8)</f>
        <v>31.50970802119647</v>
      </c>
      <c r="L9" s="36">
        <f t="shared" si="7"/>
        <v>34.68006722007391</v>
      </c>
      <c r="M9" s="36">
        <f t="shared" si="7"/>
        <v>37.88545053282367</v>
      </c>
      <c r="N9" s="36">
        <f t="shared" si="7"/>
        <v>41.10351832028704</v>
      </c>
      <c r="O9" s="36">
        <f t="shared" si="7"/>
        <v>40.762935453358544</v>
      </c>
      <c r="P9" s="36">
        <f t="shared" si="7"/>
        <v>45.738555629942454</v>
      </c>
      <c r="Q9" s="36">
        <f t="shared" si="7"/>
        <v>49.151428607304716</v>
      </c>
      <c r="R9" s="36">
        <f t="shared" si="7"/>
        <v>50.82622328206014</v>
      </c>
      <c r="S9" s="36">
        <f t="shared" si="7"/>
        <v>52.57002848289512</v>
      </c>
      <c r="T9" s="36">
        <f t="shared" si="7"/>
        <v>56.15639342065012</v>
      </c>
      <c r="U9" s="36">
        <f t="shared" si="7"/>
        <v>56.07116787492607</v>
      </c>
      <c r="V9" s="36">
        <f t="shared" si="7"/>
        <v>56.41765904966626</v>
      </c>
      <c r="W9" s="36">
        <f t="shared" si="7"/>
        <v>55.588198951845435</v>
      </c>
      <c r="X9" s="36">
        <f t="shared" si="7"/>
        <v>48.525697156324476</v>
      </c>
      <c r="Y9" s="36">
        <f t="shared" si="7"/>
        <v>42.781249699596586</v>
      </c>
      <c r="Z9" s="36">
        <f t="shared" si="7"/>
        <v>38.98014114588238</v>
      </c>
      <c r="AA9" s="36">
        <f t="shared" si="7"/>
        <v>37.92721909848687</v>
      </c>
      <c r="AB9" s="36">
        <f t="shared" si="7"/>
        <v>36.64561826758087</v>
      </c>
      <c r="AC9" s="36">
        <f t="shared" si="7"/>
        <v>35.10353722674103</v>
      </c>
      <c r="AD9" s="319">
        <f>SUM(J9:AC9)</f>
        <v>876.7769411717805</v>
      </c>
    </row>
    <row r="10" spans="3:9" ht="12.75">
      <c r="C10" s="2">
        <f>'Target Calculator'!B33</f>
        <v>10909007</v>
      </c>
      <c r="D10" s="2">
        <f>'Target Calculator'!B34</f>
        <v>9348288</v>
      </c>
      <c r="E10" s="2">
        <f>'Target Calculator'!B35</f>
        <v>1369242</v>
      </c>
      <c r="F10" s="2">
        <f>'Target Calculator'!B36</f>
        <v>0</v>
      </c>
      <c r="G10" s="15">
        <f>C10+D10+F10</f>
        <v>20257295</v>
      </c>
      <c r="H10" s="2">
        <f>'Target Calculator'!B38</f>
        <v>21626537</v>
      </c>
      <c r="I10" s="28"/>
    </row>
    <row r="11" spans="3:9" ht="13.5" thickBot="1">
      <c r="C11" s="44">
        <f>C10/PNWSales_Res</f>
        <v>0.16644866485986604</v>
      </c>
      <c r="D11" s="44">
        <f>D10/PNWSales_Com</f>
        <v>0.17420348842593655</v>
      </c>
      <c r="E11" s="44">
        <f>E10/PNWSales_Ind</f>
        <v>0.038990324399802</v>
      </c>
      <c r="F11" s="44">
        <f>F10/PNWSales_Irrg</f>
        <v>0</v>
      </c>
      <c r="G11" s="13">
        <f>G10/(SUM(D191:E191))</f>
        <v>0.16993975196489003</v>
      </c>
      <c r="H11" s="44">
        <f>H10/PNWSales_Total</f>
        <v>0.13515378876521542</v>
      </c>
      <c r="I11" s="28"/>
    </row>
    <row r="12" spans="5:30" ht="12.75">
      <c r="E12" s="3"/>
      <c r="F12" s="3"/>
      <c r="H12" s="3"/>
      <c r="I12" s="32" t="s">
        <v>166</v>
      </c>
      <c r="J12" s="42">
        <f>$C$11*D223</f>
        <v>18.858055099533733</v>
      </c>
      <c r="K12" s="42">
        <f>$C$11*E223</f>
        <v>19.910968677402643</v>
      </c>
      <c r="L12" s="42">
        <f>$C$11*F223</f>
        <v>21.18272309412213</v>
      </c>
      <c r="M12" s="42">
        <f>$C$11*G223</f>
        <v>22.645018965858124</v>
      </c>
      <c r="N12" s="42">
        <f>$C$11*H223</f>
        <v>24.475455616778376</v>
      </c>
      <c r="O12" s="42">
        <f>$C$11*I223</f>
        <v>20.827165720121208</v>
      </c>
      <c r="P12" s="42">
        <f>$C$11*J223</f>
        <v>24.54762934687263</v>
      </c>
      <c r="Q12" s="42">
        <f>$C$11*K223</f>
        <v>27.17355442633505</v>
      </c>
      <c r="R12" s="42">
        <f>$C$11*L223</f>
        <v>30.327499895925786</v>
      </c>
      <c r="S12" s="42">
        <f>$C$11*M223</f>
        <v>31.69831496977715</v>
      </c>
      <c r="T12" s="42">
        <f>$C$11*N223</f>
        <v>34.05156066559191</v>
      </c>
      <c r="U12" s="42">
        <f>$C$11*O223</f>
        <v>34.636640933944136</v>
      </c>
      <c r="V12" s="42">
        <f>$C$11*P223</f>
        <v>36.99797698579786</v>
      </c>
      <c r="W12" s="42">
        <f>$C$11*Q223</f>
        <v>37.02083500550663</v>
      </c>
      <c r="X12" s="42">
        <f>$C$11*R223</f>
        <v>33.32723485360864</v>
      </c>
      <c r="Y12" s="42">
        <f>$C$11*S223</f>
        <v>26.311552667786145</v>
      </c>
      <c r="Z12" s="42">
        <f>$C$11*T223</f>
        <v>25.549472872787906</v>
      </c>
      <c r="AA12" s="42">
        <f>$C$11*U223</f>
        <v>26.43883849076165</v>
      </c>
      <c r="AB12" s="42">
        <f>$C$11*V223</f>
        <v>26.701740502748716</v>
      </c>
      <c r="AC12" s="42">
        <f>$C$11*W223</f>
        <v>26.709713339300066</v>
      </c>
      <c r="AD12" s="301">
        <f>SUM(J12:AC12)</f>
        <v>549.3919521305605</v>
      </c>
    </row>
    <row r="13" spans="5:30" ht="12.75">
      <c r="E13" s="28"/>
      <c r="F13" s="28"/>
      <c r="G13" s="28"/>
      <c r="H13" s="28"/>
      <c r="I13" s="34" t="s">
        <v>167</v>
      </c>
      <c r="J13" s="41">
        <f>$D$11*D224</f>
        <v>7.39254632565481</v>
      </c>
      <c r="K13" s="41">
        <f>$D$11*E224</f>
        <v>8.75855433560153</v>
      </c>
      <c r="L13" s="41">
        <f>$D$11*F224</f>
        <v>9.988340311213905</v>
      </c>
      <c r="M13" s="41">
        <f>$D$11*G224</f>
        <v>11.140649969904278</v>
      </c>
      <c r="N13" s="41">
        <f>$D$11*H224</f>
        <v>12.01218930720078</v>
      </c>
      <c r="O13" s="41">
        <f>$D$11*I224</f>
        <v>13.583227597003889</v>
      </c>
      <c r="P13" s="41">
        <f>$D$11*J224</f>
        <v>14.549705337965495</v>
      </c>
      <c r="Q13" s="41">
        <f>$D$11*K224</f>
        <v>15.146145698089118</v>
      </c>
      <c r="R13" s="41">
        <f>$D$11*L224</f>
        <v>13.500191422964885</v>
      </c>
      <c r="S13" s="41">
        <f>$D$11*M224</f>
        <v>13.70302302851417</v>
      </c>
      <c r="T13" s="41">
        <f>$D$11*N224</f>
        <v>14.410643384022007</v>
      </c>
      <c r="U13" s="41">
        <f>$D$11*O224</f>
        <v>13.65894150457813</v>
      </c>
      <c r="V13" s="41">
        <f>$D$11*P224</f>
        <v>14.236152133419974</v>
      </c>
      <c r="W13" s="41">
        <f>$D$11*Q224</f>
        <v>13.410893114523102</v>
      </c>
      <c r="X13" s="41">
        <f>$D$11*R224</f>
        <v>11.458181146256216</v>
      </c>
      <c r="Y13" s="41">
        <f>$D$11*S224</f>
        <v>11.919685340697997</v>
      </c>
      <c r="Z13" s="41">
        <f>$D$11*T224</f>
        <v>10.20874010967969</v>
      </c>
      <c r="AA13" s="41">
        <f>$D$11*U224</f>
        <v>8.964372773817525</v>
      </c>
      <c r="AB13" s="41">
        <f>$D$11*V224</f>
        <v>7.870465792652787</v>
      </c>
      <c r="AC13" s="41">
        <f>$D$11*W224</f>
        <v>6.503334292869258</v>
      </c>
      <c r="AD13" s="302">
        <f>SUM(J13:AC13)</f>
        <v>232.41598292662957</v>
      </c>
    </row>
    <row r="14" spans="5:30" ht="12.75">
      <c r="E14" s="28"/>
      <c r="F14" s="28"/>
      <c r="G14" s="28"/>
      <c r="H14" s="28"/>
      <c r="I14" s="34" t="s">
        <v>173</v>
      </c>
      <c r="J14" s="41">
        <f>$E$11*D225</f>
        <v>1.2191488209208927</v>
      </c>
      <c r="K14" s="41">
        <f>$E$11*E225</f>
        <v>1.3100748998333471</v>
      </c>
      <c r="L14" s="41">
        <f>$E$11*F225</f>
        <v>1.3919545810729315</v>
      </c>
      <c r="M14" s="41">
        <f>$E$11*G225</f>
        <v>1.462137164992575</v>
      </c>
      <c r="N14" s="41">
        <f>$E$11*H225</f>
        <v>1.5245216840322582</v>
      </c>
      <c r="O14" s="41">
        <f>$E$11*I225</f>
        <v>2.0586891283095454</v>
      </c>
      <c r="P14" s="41">
        <f>$E$11*J225</f>
        <v>2.0742852580694664</v>
      </c>
      <c r="Q14" s="41">
        <f>$E$11*K225</f>
        <v>2.0625881607495256</v>
      </c>
      <c r="R14" s="41">
        <f>$E$11*L225</f>
        <v>2.0430929985496245</v>
      </c>
      <c r="S14" s="41">
        <f>$E$11*M225</f>
        <v>2.027496868789704</v>
      </c>
      <c r="T14" s="41">
        <f>$E$11*N225</f>
        <v>1.5752091057520006</v>
      </c>
      <c r="U14" s="41">
        <f>$E$11*O225</f>
        <v>1.5908052355119213</v>
      </c>
      <c r="V14" s="41">
        <f>$E$11*P225</f>
        <v>1.4816323271924758</v>
      </c>
      <c r="W14" s="41">
        <f>$E$11*Q225</f>
        <v>1.4699352298725354</v>
      </c>
      <c r="X14" s="41">
        <f>$E$11*R225</f>
        <v>1.0683348885545747</v>
      </c>
      <c r="Y14" s="41">
        <f>$E$11*S225</f>
        <v>1.2983778025134063</v>
      </c>
      <c r="Z14" s="41">
        <f>$E$11*T225</f>
        <v>0.9201716558353272</v>
      </c>
      <c r="AA14" s="41">
        <f>$E$11*U225</f>
        <v>0.7213210013963369</v>
      </c>
      <c r="AB14" s="41">
        <f>$E$11*V225</f>
        <v>0.5926529308769903</v>
      </c>
      <c r="AC14" s="41">
        <f>$E$11*W225</f>
        <v>0.5380664767172676</v>
      </c>
      <c r="AD14" s="302">
        <f>SUM(J14:AC14)</f>
        <v>28.43049621954271</v>
      </c>
    </row>
    <row r="15" spans="5:30" ht="12.75">
      <c r="E15" s="28"/>
      <c r="F15" s="28"/>
      <c r="G15" s="28"/>
      <c r="H15" s="28"/>
      <c r="I15" s="34" t="s">
        <v>175</v>
      </c>
      <c r="J15" s="41">
        <f>$F$11*D226</f>
        <v>0</v>
      </c>
      <c r="K15" s="41">
        <f>$F$11*E226</f>
        <v>0</v>
      </c>
      <c r="L15" s="41">
        <f>$F$11*F226</f>
        <v>0</v>
      </c>
      <c r="M15" s="41">
        <f>$F$11*G226</f>
        <v>0</v>
      </c>
      <c r="N15" s="41">
        <f>$F$11*H226</f>
        <v>0</v>
      </c>
      <c r="O15" s="41">
        <f>$F$11*I226</f>
        <v>0</v>
      </c>
      <c r="P15" s="41">
        <f>$F$11*J226</f>
        <v>0</v>
      </c>
      <c r="Q15" s="41">
        <f>$F$11*K226</f>
        <v>0</v>
      </c>
      <c r="R15" s="41">
        <f>$F$11*L226</f>
        <v>0</v>
      </c>
      <c r="S15" s="41">
        <f>$F$11*M226</f>
        <v>0</v>
      </c>
      <c r="T15" s="41">
        <f>$F$11*N226</f>
        <v>0</v>
      </c>
      <c r="U15" s="41">
        <f>$F$11*O226</f>
        <v>0</v>
      </c>
      <c r="V15" s="41">
        <f>$F$11*P226</f>
        <v>0</v>
      </c>
      <c r="W15" s="41">
        <f>$F$11*Q226</f>
        <v>0</v>
      </c>
      <c r="X15" s="41">
        <f>$F$11*R226</f>
        <v>0</v>
      </c>
      <c r="Y15" s="41">
        <f>$F$11*S226</f>
        <v>0</v>
      </c>
      <c r="Z15" s="41">
        <f>$F$11*T226</f>
        <v>0</v>
      </c>
      <c r="AA15" s="41">
        <f>$F$11*U226</f>
        <v>0</v>
      </c>
      <c r="AB15" s="41">
        <f>$F$11*V226</f>
        <v>0</v>
      </c>
      <c r="AC15" s="41">
        <f>$F$11*W226</f>
        <v>0</v>
      </c>
      <c r="AD15" s="302">
        <f>SUM(J15:AC15)</f>
        <v>0</v>
      </c>
    </row>
    <row r="16" spans="5:30" ht="12.75">
      <c r="E16" s="28"/>
      <c r="F16" s="28"/>
      <c r="G16" s="28"/>
      <c r="H16" s="28"/>
      <c r="I16" s="34" t="s">
        <v>232</v>
      </c>
      <c r="J16" s="29">
        <f>Share_Non_Ind*D$227</f>
        <v>0.7679775502807411</v>
      </c>
      <c r="K16" s="29">
        <f>Share_Non_Ind*E$227</f>
        <v>1.4444878917015653</v>
      </c>
      <c r="L16" s="29">
        <f>Share_Non_Ind*F$227</f>
        <v>2.0562709987751693</v>
      </c>
      <c r="M16" s="29">
        <f>Share_Non_Ind*G$227</f>
        <v>2.6000782050628177</v>
      </c>
      <c r="N16" s="29">
        <f>Share_Non_Ind*H$227</f>
        <v>3.0759095105645096</v>
      </c>
      <c r="O16" s="29">
        <f>Share_Non_Ind*I$227</f>
        <v>4.282481749515228</v>
      </c>
      <c r="P16" s="29">
        <f>Share_Non_Ind*J$227</f>
        <v>4.554385352659053</v>
      </c>
      <c r="Q16" s="29">
        <f>Share_Non_Ind*K$227</f>
        <v>4.758313055016921</v>
      </c>
      <c r="R16" s="29">
        <f>Share_Non_Ind*L$227</f>
        <v>4.9452467821783</v>
      </c>
      <c r="S16" s="29">
        <f>Share_Non_Ind*M$227</f>
        <v>5.132180509339679</v>
      </c>
      <c r="T16" s="29">
        <f>Share_Non_Ind*N$227</f>
        <v>6.338752748290398</v>
      </c>
      <c r="U16" s="29">
        <f>Share_Non_Ind*O$227</f>
        <v>6.406728649076355</v>
      </c>
      <c r="V16" s="29">
        <f>Share_Non_Ind*P$227</f>
        <v>3.9086142951924705</v>
      </c>
      <c r="W16" s="29">
        <f>Share_Non_Ind*Q$227</f>
        <v>3.8916203199959813</v>
      </c>
      <c r="X16" s="29">
        <f>Share_Non_Ind*R$227</f>
        <v>2.820999882617175</v>
      </c>
      <c r="Y16" s="29">
        <f>Share_Non_Ind*S$227</f>
        <v>3.4327829896907787</v>
      </c>
      <c r="Z16" s="29">
        <f>Share_Non_Ind*T$227</f>
        <v>2.4301384530979275</v>
      </c>
      <c r="AA16" s="29">
        <f>Share_Non_Ind*U$227</f>
        <v>1.9033252220067682</v>
      </c>
      <c r="AB16" s="29">
        <f>Share_Non_Ind*V$227</f>
        <v>1.563445718076988</v>
      </c>
      <c r="AC16" s="29">
        <f>Share_Non_Ind*W$227</f>
        <v>1.4274939165050764</v>
      </c>
      <c r="AD16" s="303">
        <f>SUM(J16:AC16)</f>
        <v>67.7412337996439</v>
      </c>
    </row>
    <row r="17" spans="5:30" ht="13.5" thickBot="1">
      <c r="E17" s="28"/>
      <c r="F17" s="28"/>
      <c r="G17" s="28"/>
      <c r="H17" s="28"/>
      <c r="I17" s="35" t="s">
        <v>11</v>
      </c>
      <c r="J17" s="43">
        <f>SUM(J12:J16)</f>
        <v>28.237727796390175</v>
      </c>
      <c r="K17" s="43">
        <f aca="true" t="shared" si="8" ref="K17:AD17">SUM(K12:K16)</f>
        <v>31.424085804539086</v>
      </c>
      <c r="L17" s="43">
        <f t="shared" si="8"/>
        <v>34.619288985184134</v>
      </c>
      <c r="M17" s="43">
        <f t="shared" si="8"/>
        <v>37.84788430581779</v>
      </c>
      <c r="N17" s="43">
        <f t="shared" si="8"/>
        <v>41.08807611857592</v>
      </c>
      <c r="O17" s="43">
        <f t="shared" si="8"/>
        <v>40.75156419494987</v>
      </c>
      <c r="P17" s="43">
        <f t="shared" si="8"/>
        <v>45.726005295566644</v>
      </c>
      <c r="Q17" s="43">
        <f t="shared" si="8"/>
        <v>49.140601340190614</v>
      </c>
      <c r="R17" s="43">
        <f t="shared" si="8"/>
        <v>50.8160310996186</v>
      </c>
      <c r="S17" s="43">
        <f t="shared" si="8"/>
        <v>52.561015376420706</v>
      </c>
      <c r="T17" s="43">
        <f t="shared" si="8"/>
        <v>56.376165903656315</v>
      </c>
      <c r="U17" s="43">
        <f t="shared" si="8"/>
        <v>56.293116323110546</v>
      </c>
      <c r="V17" s="43">
        <f t="shared" si="8"/>
        <v>56.62437574160279</v>
      </c>
      <c r="W17" s="43">
        <f t="shared" si="8"/>
        <v>55.793283669898244</v>
      </c>
      <c r="X17" s="43">
        <f t="shared" si="8"/>
        <v>48.6747507710366</v>
      </c>
      <c r="Y17" s="43">
        <f t="shared" si="8"/>
        <v>42.96239880068833</v>
      </c>
      <c r="Z17" s="43">
        <f t="shared" si="8"/>
        <v>39.10852309140085</v>
      </c>
      <c r="AA17" s="43">
        <f t="shared" si="8"/>
        <v>38.02785748798229</v>
      </c>
      <c r="AB17" s="43">
        <f t="shared" si="8"/>
        <v>36.72830494435548</v>
      </c>
      <c r="AC17" s="43">
        <f t="shared" si="8"/>
        <v>35.17860802539167</v>
      </c>
      <c r="AD17" s="304">
        <f>SUM(J17:AC17)</f>
        <v>877.9796650763766</v>
      </c>
    </row>
    <row r="18" spans="3:9" ht="12.75">
      <c r="C18" t="s">
        <v>224</v>
      </c>
      <c r="E18" s="28"/>
      <c r="F18" s="28"/>
      <c r="G18" s="28"/>
      <c r="H18" s="28"/>
      <c r="I18" s="28"/>
    </row>
    <row r="19" spans="3:24" ht="12.75">
      <c r="C19" s="106" t="s">
        <v>0</v>
      </c>
      <c r="D19" s="106">
        <v>2010</v>
      </c>
      <c r="E19" s="106">
        <v>2011</v>
      </c>
      <c r="F19" s="106">
        <v>2012</v>
      </c>
      <c r="G19" s="106">
        <v>2013</v>
      </c>
      <c r="H19" s="106">
        <v>2014</v>
      </c>
      <c r="I19" s="106">
        <v>2015</v>
      </c>
      <c r="J19" s="106">
        <v>2016</v>
      </c>
      <c r="K19" s="106">
        <v>2017</v>
      </c>
      <c r="L19" s="106">
        <v>2018</v>
      </c>
      <c r="M19" s="106">
        <v>2019</v>
      </c>
      <c r="N19" s="106">
        <v>2020</v>
      </c>
      <c r="O19" s="106">
        <v>2021</v>
      </c>
      <c r="P19" s="106">
        <v>2022</v>
      </c>
      <c r="Q19" s="106">
        <v>2023</v>
      </c>
      <c r="R19" s="106">
        <v>2024</v>
      </c>
      <c r="S19" s="106">
        <v>2025</v>
      </c>
      <c r="T19" s="106">
        <v>2026</v>
      </c>
      <c r="U19" s="106">
        <v>2027</v>
      </c>
      <c r="V19" s="106">
        <v>2028</v>
      </c>
      <c r="W19" s="106">
        <v>2029</v>
      </c>
      <c r="X19" s="106" t="s">
        <v>11</v>
      </c>
    </row>
    <row r="20" spans="3:24" ht="12.75">
      <c r="C20" s="1" t="s">
        <v>195</v>
      </c>
      <c r="D20" s="104">
        <v>31</v>
      </c>
      <c r="E20" s="104">
        <v>50</v>
      </c>
      <c r="F20" s="104">
        <v>72</v>
      </c>
      <c r="G20" s="104">
        <v>98</v>
      </c>
      <c r="H20" s="104">
        <v>116</v>
      </c>
      <c r="I20" s="104">
        <v>131</v>
      </c>
      <c r="J20" s="104">
        <v>162</v>
      </c>
      <c r="K20" s="104">
        <v>180</v>
      </c>
      <c r="L20" s="104">
        <v>191</v>
      </c>
      <c r="M20" s="104">
        <v>202</v>
      </c>
      <c r="N20" s="104">
        <v>205</v>
      </c>
      <c r="O20" s="104">
        <v>206</v>
      </c>
      <c r="P20" s="104">
        <v>203</v>
      </c>
      <c r="Q20" s="104">
        <v>200</v>
      </c>
      <c r="R20" s="104">
        <v>200</v>
      </c>
      <c r="S20" s="104">
        <v>200</v>
      </c>
      <c r="T20" s="104">
        <v>200</v>
      </c>
      <c r="U20" s="104">
        <v>201</v>
      </c>
      <c r="V20" s="104">
        <v>201</v>
      </c>
      <c r="W20" s="105">
        <v>196</v>
      </c>
      <c r="X20" s="2">
        <f>SUBTOTAL(9,D20:W20)</f>
        <v>3245</v>
      </c>
    </row>
    <row r="21" spans="3:24" ht="12.75">
      <c r="C21" s="1" t="s">
        <v>196</v>
      </c>
      <c r="D21" s="104">
        <v>160</v>
      </c>
      <c r="E21" s="104">
        <v>160</v>
      </c>
      <c r="F21" s="104">
        <v>159</v>
      </c>
      <c r="G21" s="104">
        <v>160</v>
      </c>
      <c r="H21" s="104">
        <v>160</v>
      </c>
      <c r="I21" s="104">
        <v>160</v>
      </c>
      <c r="J21" s="104">
        <v>160</v>
      </c>
      <c r="K21" s="104">
        <v>159</v>
      </c>
      <c r="L21" s="104">
        <v>160</v>
      </c>
      <c r="M21" s="104">
        <v>159</v>
      </c>
      <c r="N21" s="104">
        <v>159</v>
      </c>
      <c r="O21" s="104">
        <v>159</v>
      </c>
      <c r="P21" s="104">
        <v>159</v>
      </c>
      <c r="Q21" s="104">
        <v>156</v>
      </c>
      <c r="R21" s="104">
        <v>113</v>
      </c>
      <c r="S21" s="104">
        <v>79</v>
      </c>
      <c r="T21" s="104">
        <v>55</v>
      </c>
      <c r="U21" s="104">
        <v>38</v>
      </c>
      <c r="V21" s="104">
        <v>29</v>
      </c>
      <c r="W21" s="105">
        <v>25</v>
      </c>
      <c r="X21" s="2">
        <f>SUBTOTAL(9,D21:W21)</f>
        <v>2569</v>
      </c>
    </row>
    <row r="22" spans="3:24" ht="12.75">
      <c r="C22" s="1" t="s">
        <v>11</v>
      </c>
      <c r="D22" s="104">
        <f>SUM(D20:D21)</f>
        <v>191</v>
      </c>
      <c r="E22" s="104">
        <f aca="true" t="shared" si="9" ref="E22:X22">SUM(E20:E21)</f>
        <v>210</v>
      </c>
      <c r="F22" s="104">
        <f t="shared" si="9"/>
        <v>231</v>
      </c>
      <c r="G22" s="104">
        <f t="shared" si="9"/>
        <v>258</v>
      </c>
      <c r="H22" s="104">
        <f t="shared" si="9"/>
        <v>276</v>
      </c>
      <c r="I22" s="104">
        <f t="shared" si="9"/>
        <v>291</v>
      </c>
      <c r="J22" s="104">
        <f t="shared" si="9"/>
        <v>322</v>
      </c>
      <c r="K22" s="104">
        <f t="shared" si="9"/>
        <v>339</v>
      </c>
      <c r="L22" s="104">
        <f t="shared" si="9"/>
        <v>351</v>
      </c>
      <c r="M22" s="104">
        <f t="shared" si="9"/>
        <v>361</v>
      </c>
      <c r="N22" s="104">
        <f t="shared" si="9"/>
        <v>364</v>
      </c>
      <c r="O22" s="104">
        <f t="shared" si="9"/>
        <v>365</v>
      </c>
      <c r="P22" s="104">
        <f t="shared" si="9"/>
        <v>362</v>
      </c>
      <c r="Q22" s="104">
        <f t="shared" si="9"/>
        <v>356</v>
      </c>
      <c r="R22" s="104">
        <f t="shared" si="9"/>
        <v>313</v>
      </c>
      <c r="S22" s="104">
        <f t="shared" si="9"/>
        <v>279</v>
      </c>
      <c r="T22" s="104">
        <f t="shared" si="9"/>
        <v>255</v>
      </c>
      <c r="U22" s="104">
        <f t="shared" si="9"/>
        <v>239</v>
      </c>
      <c r="V22" s="104">
        <f t="shared" si="9"/>
        <v>230</v>
      </c>
      <c r="W22" s="104">
        <f t="shared" si="9"/>
        <v>221</v>
      </c>
      <c r="X22" s="104">
        <f t="shared" si="9"/>
        <v>5814</v>
      </c>
    </row>
    <row r="24" ht="12.75">
      <c r="C24" t="s">
        <v>225</v>
      </c>
    </row>
    <row r="25" spans="3:24" ht="12.75">
      <c r="C25" s="106" t="s">
        <v>0</v>
      </c>
      <c r="D25" s="106">
        <v>2010</v>
      </c>
      <c r="E25" s="106">
        <v>2011</v>
      </c>
      <c r="F25" s="106">
        <v>2012</v>
      </c>
      <c r="G25" s="106">
        <v>2013</v>
      </c>
      <c r="H25" s="106">
        <v>2014</v>
      </c>
      <c r="I25" s="106">
        <v>2015</v>
      </c>
      <c r="J25" s="106">
        <v>2016</v>
      </c>
      <c r="K25" s="106">
        <v>2017</v>
      </c>
      <c r="L25" s="106">
        <v>2018</v>
      </c>
      <c r="M25" s="106">
        <v>2019</v>
      </c>
      <c r="N25" s="106">
        <v>2020</v>
      </c>
      <c r="O25" s="106">
        <v>2021</v>
      </c>
      <c r="P25" s="106">
        <v>2022</v>
      </c>
      <c r="Q25" s="106">
        <v>2023</v>
      </c>
      <c r="R25" s="106">
        <v>2024</v>
      </c>
      <c r="S25" s="106">
        <v>2025</v>
      </c>
      <c r="T25" s="106">
        <v>2026</v>
      </c>
      <c r="U25" s="106">
        <v>2027</v>
      </c>
      <c r="V25" s="106">
        <v>2028</v>
      </c>
      <c r="W25" s="106">
        <v>2029</v>
      </c>
      <c r="X25" s="106"/>
    </row>
    <row r="26" spans="3:24" ht="12.75">
      <c r="C26" s="1" t="s">
        <v>195</v>
      </c>
      <c r="D26" s="104">
        <v>40</v>
      </c>
      <c r="E26" s="104">
        <v>60</v>
      </c>
      <c r="F26" s="104">
        <v>80</v>
      </c>
      <c r="G26" s="104">
        <v>100</v>
      </c>
      <c r="H26" s="104">
        <v>120</v>
      </c>
      <c r="I26" s="104">
        <v>130</v>
      </c>
      <c r="J26" s="104">
        <v>160</v>
      </c>
      <c r="K26" s="104">
        <v>180</v>
      </c>
      <c r="L26" s="104">
        <v>190</v>
      </c>
      <c r="M26" s="104">
        <v>200</v>
      </c>
      <c r="N26" s="104">
        <v>205</v>
      </c>
      <c r="O26" s="104">
        <v>205</v>
      </c>
      <c r="P26" s="104">
        <v>205</v>
      </c>
      <c r="Q26" s="104">
        <v>200</v>
      </c>
      <c r="R26" s="104">
        <v>200</v>
      </c>
      <c r="S26" s="104">
        <v>200</v>
      </c>
      <c r="T26" s="104">
        <v>200</v>
      </c>
      <c r="U26" s="104">
        <v>200</v>
      </c>
      <c r="V26" s="104">
        <v>200</v>
      </c>
      <c r="W26" s="105">
        <v>200</v>
      </c>
      <c r="X26" s="2">
        <f>SUBTOTAL(9,D26:W26)</f>
        <v>3275</v>
      </c>
    </row>
    <row r="27" spans="3:24" ht="12.75">
      <c r="C27" s="1" t="s">
        <v>196</v>
      </c>
      <c r="D27" s="104">
        <v>160</v>
      </c>
      <c r="E27" s="104">
        <v>160</v>
      </c>
      <c r="F27" s="104">
        <v>160</v>
      </c>
      <c r="G27" s="104">
        <v>160</v>
      </c>
      <c r="H27" s="104">
        <v>160</v>
      </c>
      <c r="I27" s="104">
        <v>160</v>
      </c>
      <c r="J27" s="104">
        <v>160</v>
      </c>
      <c r="K27" s="104">
        <v>160</v>
      </c>
      <c r="L27" s="104">
        <v>160</v>
      </c>
      <c r="M27" s="104">
        <v>160</v>
      </c>
      <c r="N27" s="104">
        <v>160</v>
      </c>
      <c r="O27" s="104">
        <v>160</v>
      </c>
      <c r="P27" s="104">
        <v>160</v>
      </c>
      <c r="Q27" s="104">
        <v>160</v>
      </c>
      <c r="R27" s="104">
        <v>110</v>
      </c>
      <c r="S27" s="104">
        <v>80</v>
      </c>
      <c r="T27" s="104">
        <v>50</v>
      </c>
      <c r="U27" s="104">
        <v>40</v>
      </c>
      <c r="V27" s="104">
        <v>30</v>
      </c>
      <c r="W27" s="105">
        <v>20</v>
      </c>
      <c r="X27" s="2">
        <f>SUBTOTAL(9,D27:W27)</f>
        <v>2570</v>
      </c>
    </row>
    <row r="28" spans="3:24" ht="12.75">
      <c r="C28" s="1" t="s">
        <v>11</v>
      </c>
      <c r="D28" s="104">
        <f>SUM(D26:D27)</f>
        <v>200</v>
      </c>
      <c r="E28" s="104">
        <f aca="true" t="shared" si="10" ref="E28:W28">SUM(E26:E27)</f>
        <v>220</v>
      </c>
      <c r="F28" s="104">
        <f t="shared" si="10"/>
        <v>240</v>
      </c>
      <c r="G28" s="104">
        <f t="shared" si="10"/>
        <v>260</v>
      </c>
      <c r="H28" s="104">
        <f t="shared" si="10"/>
        <v>280</v>
      </c>
      <c r="I28" s="104">
        <f t="shared" si="10"/>
        <v>290</v>
      </c>
      <c r="J28" s="104">
        <f t="shared" si="10"/>
        <v>320</v>
      </c>
      <c r="K28" s="104">
        <f t="shared" si="10"/>
        <v>340</v>
      </c>
      <c r="L28" s="104">
        <f t="shared" si="10"/>
        <v>350</v>
      </c>
      <c r="M28" s="104">
        <f t="shared" si="10"/>
        <v>360</v>
      </c>
      <c r="N28" s="104">
        <f t="shared" si="10"/>
        <v>365</v>
      </c>
      <c r="O28" s="104">
        <f t="shared" si="10"/>
        <v>365</v>
      </c>
      <c r="P28" s="104">
        <f t="shared" si="10"/>
        <v>365</v>
      </c>
      <c r="Q28" s="104">
        <f t="shared" si="10"/>
        <v>360</v>
      </c>
      <c r="R28" s="104">
        <f t="shared" si="10"/>
        <v>310</v>
      </c>
      <c r="S28" s="104">
        <f t="shared" si="10"/>
        <v>280</v>
      </c>
      <c r="T28" s="104">
        <f t="shared" si="10"/>
        <v>250</v>
      </c>
      <c r="U28" s="104">
        <f t="shared" si="10"/>
        <v>240</v>
      </c>
      <c r="V28" s="104">
        <f t="shared" si="10"/>
        <v>230</v>
      </c>
      <c r="W28" s="105">
        <f t="shared" si="10"/>
        <v>220</v>
      </c>
      <c r="X28" s="2">
        <f>SUBTOTAL(9,D28:W28)</f>
        <v>5845</v>
      </c>
    </row>
    <row r="30" spans="5:9" ht="12.75">
      <c r="E30" s="28"/>
      <c r="F30" s="28"/>
      <c r="G30" s="28"/>
      <c r="H30" s="28"/>
      <c r="I30" s="28"/>
    </row>
    <row r="31" spans="1:29" ht="51" customHeight="1">
      <c r="A31">
        <v>1</v>
      </c>
      <c r="B31">
        <v>2</v>
      </c>
      <c r="C31">
        <v>3</v>
      </c>
      <c r="D31">
        <v>4</v>
      </c>
      <c r="E31">
        <v>5</v>
      </c>
      <c r="F31">
        <v>6</v>
      </c>
      <c r="G31">
        <v>7</v>
      </c>
      <c r="H31">
        <v>8</v>
      </c>
      <c r="I31">
        <v>9</v>
      </c>
      <c r="J31">
        <v>10</v>
      </c>
      <c r="K31">
        <v>11</v>
      </c>
      <c r="L31">
        <v>12</v>
      </c>
      <c r="M31">
        <v>13</v>
      </c>
      <c r="N31">
        <v>14</v>
      </c>
      <c r="O31">
        <v>15</v>
      </c>
      <c r="P31">
        <v>16</v>
      </c>
      <c r="Q31">
        <v>17</v>
      </c>
      <c r="R31">
        <v>18</v>
      </c>
      <c r="S31">
        <v>19</v>
      </c>
      <c r="T31">
        <v>20</v>
      </c>
      <c r="U31">
        <v>21</v>
      </c>
      <c r="V31">
        <v>22</v>
      </c>
      <c r="W31">
        <v>23</v>
      </c>
      <c r="X31">
        <v>24</v>
      </c>
      <c r="Y31">
        <v>25</v>
      </c>
      <c r="Z31">
        <v>26</v>
      </c>
      <c r="AA31">
        <v>27</v>
      </c>
      <c r="AB31">
        <v>28</v>
      </c>
      <c r="AC31">
        <v>29</v>
      </c>
    </row>
    <row r="32" spans="4:29" ht="63.75">
      <c r="D32" s="28"/>
      <c r="E32" s="28"/>
      <c r="F32" s="28"/>
      <c r="G32" s="28"/>
      <c r="H32" s="28"/>
      <c r="I32" s="275" t="s">
        <v>217</v>
      </c>
      <c r="J32" s="275"/>
      <c r="K32" s="275"/>
      <c r="L32" s="275"/>
      <c r="M32" s="275"/>
      <c r="N32" s="275"/>
      <c r="O32" s="275"/>
      <c r="P32" s="275"/>
      <c r="Q32" s="275"/>
      <c r="R32" s="275"/>
      <c r="S32" s="275"/>
      <c r="T32" s="275"/>
      <c r="U32" s="275"/>
      <c r="V32" s="275"/>
      <c r="W32" s="275"/>
      <c r="X32" s="275"/>
      <c r="Y32" s="275"/>
      <c r="Z32" s="275"/>
      <c r="AA32" s="275"/>
      <c r="AB32" s="275"/>
      <c r="AC32" s="21" t="s">
        <v>218</v>
      </c>
    </row>
    <row r="33" spans="1:29" ht="38.25">
      <c r="A33" s="18" t="s">
        <v>213</v>
      </c>
      <c r="B33" s="276" t="s">
        <v>151</v>
      </c>
      <c r="C33" s="276" t="s">
        <v>17</v>
      </c>
      <c r="D33" s="277" t="s">
        <v>152</v>
      </c>
      <c r="E33" s="277" t="s">
        <v>153</v>
      </c>
      <c r="F33" s="277" t="s">
        <v>154</v>
      </c>
      <c r="G33" s="277" t="s">
        <v>155</v>
      </c>
      <c r="H33" s="278" t="s">
        <v>156</v>
      </c>
      <c r="I33" s="162">
        <v>200</v>
      </c>
      <c r="J33" s="162">
        <v>220</v>
      </c>
      <c r="K33" s="162">
        <v>240</v>
      </c>
      <c r="L33" s="162">
        <v>260</v>
      </c>
      <c r="M33" s="162">
        <v>280</v>
      </c>
      <c r="N33" s="163">
        <v>290</v>
      </c>
      <c r="O33" s="163">
        <v>320</v>
      </c>
      <c r="P33" s="163">
        <v>340</v>
      </c>
      <c r="Q33" s="163">
        <v>350</v>
      </c>
      <c r="R33" s="163">
        <v>360</v>
      </c>
      <c r="S33" s="163">
        <v>365</v>
      </c>
      <c r="T33" s="163">
        <v>365</v>
      </c>
      <c r="U33" s="163">
        <v>365</v>
      </c>
      <c r="V33" s="163">
        <v>360</v>
      </c>
      <c r="W33" s="163">
        <v>310</v>
      </c>
      <c r="X33" s="163">
        <v>280</v>
      </c>
      <c r="Y33" s="163">
        <v>250</v>
      </c>
      <c r="Z33" s="163">
        <v>240</v>
      </c>
      <c r="AA33" s="163">
        <v>230</v>
      </c>
      <c r="AB33" s="163">
        <v>220</v>
      </c>
      <c r="AC33" s="162">
        <f>SUM(I33:AB33)</f>
        <v>5845</v>
      </c>
    </row>
    <row r="34" spans="1:29" ht="12.75">
      <c r="A34" s="27" t="str">
        <f>B34&amp;" - "&amp;C34</f>
        <v>Alder Mutual Light Co, Inc - WA</v>
      </c>
      <c r="B34" s="190" t="s">
        <v>20</v>
      </c>
      <c r="C34" s="190" t="s">
        <v>14</v>
      </c>
      <c r="D34" s="208">
        <v>3548</v>
      </c>
      <c r="E34" s="208">
        <v>303</v>
      </c>
      <c r="F34" s="208">
        <v>37</v>
      </c>
      <c r="G34" s="208">
        <v>3888</v>
      </c>
      <c r="H34" s="13">
        <v>2.4297830518087917E-05</v>
      </c>
      <c r="I34" s="14">
        <f aca="true" t="shared" si="11" ref="I34:AB47">$H34*I$33</f>
        <v>0.004859566103617583</v>
      </c>
      <c r="J34" s="14">
        <f t="shared" si="11"/>
        <v>0.005345522713979342</v>
      </c>
      <c r="K34" s="14">
        <f t="shared" si="11"/>
        <v>0.0058314793243411005</v>
      </c>
      <c r="L34" s="14">
        <f t="shared" si="11"/>
        <v>0.006317435934702858</v>
      </c>
      <c r="M34" s="14">
        <f t="shared" si="11"/>
        <v>0.006803392545064617</v>
      </c>
      <c r="N34" s="14">
        <f t="shared" si="11"/>
        <v>0.007046370850245496</v>
      </c>
      <c r="O34" s="14">
        <f t="shared" si="11"/>
        <v>0.007775305765788134</v>
      </c>
      <c r="P34" s="14">
        <f t="shared" si="11"/>
        <v>0.008261262376149893</v>
      </c>
      <c r="Q34" s="14">
        <f t="shared" si="11"/>
        <v>0.008504240681330771</v>
      </c>
      <c r="R34" s="14">
        <f t="shared" si="11"/>
        <v>0.00874721898651165</v>
      </c>
      <c r="S34" s="14">
        <f t="shared" si="11"/>
        <v>0.00886870813910209</v>
      </c>
      <c r="T34" s="14">
        <f t="shared" si="11"/>
        <v>0.00886870813910209</v>
      </c>
      <c r="U34" s="14">
        <f t="shared" si="11"/>
        <v>0.00886870813910209</v>
      </c>
      <c r="V34" s="14">
        <f t="shared" si="11"/>
        <v>0.00874721898651165</v>
      </c>
      <c r="W34" s="14">
        <f t="shared" si="11"/>
        <v>0.007532327460607255</v>
      </c>
      <c r="X34" s="14">
        <f t="shared" si="11"/>
        <v>0.006803392545064617</v>
      </c>
      <c r="Y34" s="14">
        <f t="shared" si="11"/>
        <v>0.006074457629521979</v>
      </c>
      <c r="Z34" s="14">
        <f t="shared" si="11"/>
        <v>0.0058314793243411005</v>
      </c>
      <c r="AA34" s="14">
        <f t="shared" si="11"/>
        <v>0.005588501019160221</v>
      </c>
      <c r="AB34" s="14">
        <f t="shared" si="11"/>
        <v>0.005345522713979342</v>
      </c>
      <c r="AC34" s="14">
        <f aca="true" t="shared" si="12" ref="AC34:AC65">$H34*AC$33</f>
        <v>0.1420208193782239</v>
      </c>
    </row>
    <row r="35" spans="1:29" ht="12.75">
      <c r="A35" s="27" t="str">
        <f aca="true" t="shared" si="13" ref="A35:A96">B35&amp;" - "&amp;C35</f>
        <v>Avista Corp - WA</v>
      </c>
      <c r="B35" s="190" t="s">
        <v>137</v>
      </c>
      <c r="C35" s="190" t="s">
        <v>14</v>
      </c>
      <c r="D35" s="208">
        <v>2480153</v>
      </c>
      <c r="E35" s="208">
        <v>2163941</v>
      </c>
      <c r="F35" s="208">
        <v>835046</v>
      </c>
      <c r="G35" s="208">
        <v>5479140</v>
      </c>
      <c r="H35" s="13">
        <v>0.03424156767100726</v>
      </c>
      <c r="I35" s="14">
        <f aca="true" t="shared" si="14" ref="I35:Q42">$H35*I$33</f>
        <v>6.848313534201451</v>
      </c>
      <c r="J35" s="14">
        <f t="shared" si="14"/>
        <v>7.533144887621597</v>
      </c>
      <c r="K35" s="14">
        <f t="shared" si="14"/>
        <v>8.217976241041741</v>
      </c>
      <c r="L35" s="14">
        <f t="shared" si="14"/>
        <v>8.902807594461887</v>
      </c>
      <c r="M35" s="14">
        <f t="shared" si="14"/>
        <v>9.587638947882033</v>
      </c>
      <c r="N35" s="14">
        <f t="shared" si="14"/>
        <v>9.930054624592104</v>
      </c>
      <c r="O35" s="14">
        <f t="shared" si="14"/>
        <v>10.957301654722322</v>
      </c>
      <c r="P35" s="14">
        <f t="shared" si="14"/>
        <v>11.642133008142467</v>
      </c>
      <c r="Q35" s="14">
        <f t="shared" si="14"/>
        <v>11.98454868485254</v>
      </c>
      <c r="R35" s="14">
        <f aca="true" t="shared" si="15" ref="R35:R66">$H35*R$33</f>
        <v>12.326964361562613</v>
      </c>
      <c r="S35" s="14">
        <f t="shared" si="11"/>
        <v>12.498172199917649</v>
      </c>
      <c r="T35" s="14">
        <f t="shared" si="11"/>
        <v>12.498172199917649</v>
      </c>
      <c r="U35" s="14">
        <f t="shared" si="11"/>
        <v>12.498172199917649</v>
      </c>
      <c r="V35" s="14">
        <f t="shared" si="11"/>
        <v>12.326964361562613</v>
      </c>
      <c r="W35" s="14">
        <f t="shared" si="11"/>
        <v>10.61488597801225</v>
      </c>
      <c r="X35" s="14">
        <f t="shared" si="11"/>
        <v>9.587638947882033</v>
      </c>
      <c r="Y35" s="14">
        <f t="shared" si="11"/>
        <v>8.560391917751815</v>
      </c>
      <c r="Z35" s="14">
        <f t="shared" si="11"/>
        <v>8.217976241041741</v>
      </c>
      <c r="AA35" s="14">
        <f t="shared" si="11"/>
        <v>7.8755605643316695</v>
      </c>
      <c r="AB35" s="14">
        <f t="shared" si="11"/>
        <v>7.533144887621597</v>
      </c>
      <c r="AC35" s="14">
        <f t="shared" si="12"/>
        <v>200.1419630370374</v>
      </c>
    </row>
    <row r="36" spans="1:29" ht="12.75">
      <c r="A36" s="27" t="str">
        <f t="shared" si="13"/>
        <v>Avista Corp - ID</v>
      </c>
      <c r="B36" s="190" t="s">
        <v>137</v>
      </c>
      <c r="C36" s="190" t="s">
        <v>19</v>
      </c>
      <c r="D36" s="208">
        <v>1189723</v>
      </c>
      <c r="E36" s="208">
        <v>1006232</v>
      </c>
      <c r="F36" s="208">
        <v>1249326</v>
      </c>
      <c r="G36" s="208">
        <v>3445281</v>
      </c>
      <c r="H36" s="13">
        <v>0.021531083802774808</v>
      </c>
      <c r="I36" s="14">
        <f t="shared" si="14"/>
        <v>4.306216760554961</v>
      </c>
      <c r="J36" s="14">
        <f t="shared" si="14"/>
        <v>4.736838436610458</v>
      </c>
      <c r="K36" s="14">
        <f t="shared" si="14"/>
        <v>5.167460112665954</v>
      </c>
      <c r="L36" s="14">
        <f t="shared" si="14"/>
        <v>5.5980817887214505</v>
      </c>
      <c r="M36" s="14">
        <f t="shared" si="14"/>
        <v>6.028703464776946</v>
      </c>
      <c r="N36" s="14">
        <f t="shared" si="14"/>
        <v>6.244014302804694</v>
      </c>
      <c r="O36" s="14">
        <f t="shared" si="14"/>
        <v>6.889946816887939</v>
      </c>
      <c r="P36" s="14">
        <f t="shared" si="14"/>
        <v>7.320568492943434</v>
      </c>
      <c r="Q36" s="14">
        <f t="shared" si="14"/>
        <v>7.5358793309711825</v>
      </c>
      <c r="R36" s="14">
        <f t="shared" si="15"/>
        <v>7.751190168998931</v>
      </c>
      <c r="S36" s="14">
        <f t="shared" si="11"/>
        <v>7.858845588012805</v>
      </c>
      <c r="T36" s="14">
        <f t="shared" si="11"/>
        <v>7.858845588012805</v>
      </c>
      <c r="U36" s="14">
        <f t="shared" si="11"/>
        <v>7.858845588012805</v>
      </c>
      <c r="V36" s="14">
        <f t="shared" si="11"/>
        <v>7.751190168998931</v>
      </c>
      <c r="W36" s="14">
        <f t="shared" si="11"/>
        <v>6.6746359788601906</v>
      </c>
      <c r="X36" s="14">
        <f t="shared" si="11"/>
        <v>6.028703464776946</v>
      </c>
      <c r="Y36" s="14">
        <f t="shared" si="11"/>
        <v>5.382770950693702</v>
      </c>
      <c r="Z36" s="14">
        <f t="shared" si="11"/>
        <v>5.167460112665954</v>
      </c>
      <c r="AA36" s="14">
        <f t="shared" si="11"/>
        <v>4.952149274638206</v>
      </c>
      <c r="AB36" s="14">
        <f t="shared" si="11"/>
        <v>4.736838436610458</v>
      </c>
      <c r="AC36" s="14">
        <f t="shared" si="12"/>
        <v>125.84918482721875</v>
      </c>
    </row>
    <row r="37" spans="1:29" ht="12.75">
      <c r="A37" s="27" t="str">
        <f t="shared" si="13"/>
        <v>Avista Corp - MT</v>
      </c>
      <c r="B37" s="190" t="s">
        <v>137</v>
      </c>
      <c r="C37" s="190" t="s">
        <v>57</v>
      </c>
      <c r="D37" s="208">
        <v>150</v>
      </c>
      <c r="E37" s="208">
        <v>155</v>
      </c>
      <c r="F37" s="208">
        <v>0</v>
      </c>
      <c r="G37" s="208">
        <v>305</v>
      </c>
      <c r="H37" s="13">
        <v>1.9060798117327197E-06</v>
      </c>
      <c r="I37" s="14">
        <f t="shared" si="14"/>
        <v>0.00038121596234654394</v>
      </c>
      <c r="J37" s="14">
        <f t="shared" si="14"/>
        <v>0.0004193375585811983</v>
      </c>
      <c r="K37" s="14">
        <f t="shared" si="14"/>
        <v>0.00045745915481585275</v>
      </c>
      <c r="L37" s="14">
        <f t="shared" si="14"/>
        <v>0.0004955807510505071</v>
      </c>
      <c r="M37" s="14">
        <f t="shared" si="14"/>
        <v>0.0005337023472851615</v>
      </c>
      <c r="N37" s="14">
        <f t="shared" si="14"/>
        <v>0.0005527631454024887</v>
      </c>
      <c r="O37" s="14">
        <f t="shared" si="14"/>
        <v>0.0006099455397544703</v>
      </c>
      <c r="P37" s="14">
        <f t="shared" si="14"/>
        <v>0.0006480671359891247</v>
      </c>
      <c r="Q37" s="14">
        <f t="shared" si="14"/>
        <v>0.0006671279341064519</v>
      </c>
      <c r="R37" s="14">
        <f t="shared" si="15"/>
        <v>0.0006861887322237791</v>
      </c>
      <c r="S37" s="14">
        <f t="shared" si="11"/>
        <v>0.0006957191312824427</v>
      </c>
      <c r="T37" s="14">
        <f t="shared" si="11"/>
        <v>0.0006957191312824427</v>
      </c>
      <c r="U37" s="14">
        <f t="shared" si="11"/>
        <v>0.0006957191312824427</v>
      </c>
      <c r="V37" s="14">
        <f t="shared" si="11"/>
        <v>0.0006861887322237791</v>
      </c>
      <c r="W37" s="14">
        <f t="shared" si="11"/>
        <v>0.0005908847416371432</v>
      </c>
      <c r="X37" s="14">
        <f t="shared" si="11"/>
        <v>0.0005337023472851615</v>
      </c>
      <c r="Y37" s="14">
        <f t="shared" si="11"/>
        <v>0.0004765199529331799</v>
      </c>
      <c r="Z37" s="14">
        <f t="shared" si="11"/>
        <v>0.00045745915481585275</v>
      </c>
      <c r="AA37" s="14">
        <f t="shared" si="11"/>
        <v>0.00043839835669852553</v>
      </c>
      <c r="AB37" s="14">
        <f t="shared" si="11"/>
        <v>0.0004193375585811983</v>
      </c>
      <c r="AC37" s="14">
        <f t="shared" si="12"/>
        <v>0.011141036499577747</v>
      </c>
    </row>
    <row r="38" spans="1:29" ht="12.75">
      <c r="A38" s="27" t="str">
        <f t="shared" si="13"/>
        <v>Benton Rural Electric Assn - WA</v>
      </c>
      <c r="B38" s="190" t="s">
        <v>25</v>
      </c>
      <c r="C38" s="190" t="s">
        <v>14</v>
      </c>
      <c r="D38" s="208">
        <v>210770</v>
      </c>
      <c r="E38" s="208">
        <v>100690</v>
      </c>
      <c r="F38" s="208">
        <v>204062</v>
      </c>
      <c r="G38" s="208">
        <v>515522</v>
      </c>
      <c r="H38" s="13">
        <v>0.0032217248416527055</v>
      </c>
      <c r="I38" s="14">
        <f t="shared" si="14"/>
        <v>0.6443449683305411</v>
      </c>
      <c r="J38" s="14">
        <f t="shared" si="14"/>
        <v>0.7087794651635952</v>
      </c>
      <c r="K38" s="14">
        <f t="shared" si="14"/>
        <v>0.7732139619966493</v>
      </c>
      <c r="L38" s="14">
        <f t="shared" si="14"/>
        <v>0.8376484588297034</v>
      </c>
      <c r="M38" s="14">
        <f t="shared" si="14"/>
        <v>0.9020829556627575</v>
      </c>
      <c r="N38" s="14">
        <f t="shared" si="14"/>
        <v>0.9343002040792846</v>
      </c>
      <c r="O38" s="14">
        <f t="shared" si="14"/>
        <v>1.0309519493288657</v>
      </c>
      <c r="P38" s="14">
        <f t="shared" si="14"/>
        <v>1.0953864461619198</v>
      </c>
      <c r="Q38" s="14">
        <f t="shared" si="14"/>
        <v>1.127603694578447</v>
      </c>
      <c r="R38" s="14">
        <f t="shared" si="15"/>
        <v>1.159820942994974</v>
      </c>
      <c r="S38" s="14">
        <f t="shared" si="11"/>
        <v>1.1759295672032375</v>
      </c>
      <c r="T38" s="14">
        <f t="shared" si="11"/>
        <v>1.1759295672032375</v>
      </c>
      <c r="U38" s="14">
        <f t="shared" si="11"/>
        <v>1.1759295672032375</v>
      </c>
      <c r="V38" s="14">
        <f t="shared" si="11"/>
        <v>1.159820942994974</v>
      </c>
      <c r="W38" s="14">
        <f t="shared" si="11"/>
        <v>0.9987347009123387</v>
      </c>
      <c r="X38" s="14">
        <f t="shared" si="11"/>
        <v>0.9020829556627575</v>
      </c>
      <c r="Y38" s="14">
        <f t="shared" si="11"/>
        <v>0.8054312104131763</v>
      </c>
      <c r="Z38" s="14">
        <f t="shared" si="11"/>
        <v>0.7732139619966493</v>
      </c>
      <c r="AA38" s="14">
        <f t="shared" si="11"/>
        <v>0.7409967135801222</v>
      </c>
      <c r="AB38" s="14">
        <f t="shared" si="11"/>
        <v>0.7087794651635952</v>
      </c>
      <c r="AC38" s="14">
        <f t="shared" si="12"/>
        <v>18.830981699460065</v>
      </c>
    </row>
    <row r="39" spans="1:29" ht="12.75">
      <c r="A39" s="27" t="str">
        <f t="shared" si="13"/>
        <v>Big Bend Electric Coop, Inc - WA</v>
      </c>
      <c r="B39" s="190" t="s">
        <v>26</v>
      </c>
      <c r="C39" s="190" t="s">
        <v>14</v>
      </c>
      <c r="D39" s="208">
        <v>95346</v>
      </c>
      <c r="E39" s="208">
        <v>389323</v>
      </c>
      <c r="F39" s="208">
        <v>0</v>
      </c>
      <c r="G39" s="208">
        <v>484669</v>
      </c>
      <c r="H39" s="13">
        <v>0.003028910807451428</v>
      </c>
      <c r="I39" s="14">
        <f t="shared" si="14"/>
        <v>0.6057821614902856</v>
      </c>
      <c r="J39" s="14">
        <f t="shared" si="14"/>
        <v>0.6663603776393141</v>
      </c>
      <c r="K39" s="14">
        <f t="shared" si="14"/>
        <v>0.7269385937883427</v>
      </c>
      <c r="L39" s="14">
        <f t="shared" si="14"/>
        <v>0.7875168099373713</v>
      </c>
      <c r="M39" s="14">
        <f t="shared" si="14"/>
        <v>0.8480950260863998</v>
      </c>
      <c r="N39" s="14">
        <f t="shared" si="14"/>
        <v>0.8783841341609141</v>
      </c>
      <c r="O39" s="14">
        <f t="shared" si="14"/>
        <v>0.9692514583844569</v>
      </c>
      <c r="P39" s="14">
        <f t="shared" si="14"/>
        <v>1.0298296745334854</v>
      </c>
      <c r="Q39" s="14">
        <f t="shared" si="14"/>
        <v>1.0601187826079999</v>
      </c>
      <c r="R39" s="14">
        <f t="shared" si="15"/>
        <v>1.090407890682514</v>
      </c>
      <c r="S39" s="14">
        <f t="shared" si="11"/>
        <v>1.105552444719771</v>
      </c>
      <c r="T39" s="14">
        <f t="shared" si="11"/>
        <v>1.105552444719771</v>
      </c>
      <c r="U39" s="14">
        <f t="shared" si="11"/>
        <v>1.105552444719771</v>
      </c>
      <c r="V39" s="14">
        <f t="shared" si="11"/>
        <v>1.090407890682514</v>
      </c>
      <c r="W39" s="14">
        <f t="shared" si="11"/>
        <v>0.9389623503099427</v>
      </c>
      <c r="X39" s="14">
        <f t="shared" si="11"/>
        <v>0.8480950260863998</v>
      </c>
      <c r="Y39" s="14">
        <f t="shared" si="11"/>
        <v>0.7572277018628569</v>
      </c>
      <c r="Z39" s="14">
        <f t="shared" si="11"/>
        <v>0.7269385937883427</v>
      </c>
      <c r="AA39" s="14">
        <f t="shared" si="11"/>
        <v>0.6966494857138285</v>
      </c>
      <c r="AB39" s="14">
        <f t="shared" si="11"/>
        <v>0.6663603776393141</v>
      </c>
      <c r="AC39" s="14">
        <f t="shared" si="12"/>
        <v>17.703983669553597</v>
      </c>
    </row>
    <row r="40" spans="1:29" ht="12.75">
      <c r="A40" s="27" t="str">
        <f t="shared" si="13"/>
        <v>Blachly-Lane Cnty Coop El Assn - OR</v>
      </c>
      <c r="B40" s="190" t="s">
        <v>214</v>
      </c>
      <c r="C40" s="190" t="s">
        <v>22</v>
      </c>
      <c r="D40" s="208">
        <v>53363</v>
      </c>
      <c r="E40" s="208">
        <v>42983</v>
      </c>
      <c r="F40" s="208">
        <v>49414</v>
      </c>
      <c r="G40" s="208">
        <v>145760</v>
      </c>
      <c r="H40" s="13">
        <v>0.0009109186667480697</v>
      </c>
      <c r="I40" s="14">
        <f t="shared" si="14"/>
        <v>0.18218373334961394</v>
      </c>
      <c r="J40" s="14">
        <f t="shared" si="14"/>
        <v>0.20040210668457534</v>
      </c>
      <c r="K40" s="14">
        <f t="shared" si="14"/>
        <v>0.2186204800195367</v>
      </c>
      <c r="L40" s="14">
        <f t="shared" si="14"/>
        <v>0.2368388533544981</v>
      </c>
      <c r="M40" s="14">
        <f t="shared" si="14"/>
        <v>0.2550572266894595</v>
      </c>
      <c r="N40" s="14">
        <f t="shared" si="14"/>
        <v>0.2641664133569402</v>
      </c>
      <c r="O40" s="14">
        <f t="shared" si="14"/>
        <v>0.2914939733593823</v>
      </c>
      <c r="P40" s="14">
        <f t="shared" si="14"/>
        <v>0.30971234669434367</v>
      </c>
      <c r="Q40" s="14">
        <f t="shared" si="14"/>
        <v>0.3188215333618244</v>
      </c>
      <c r="R40" s="14">
        <f t="shared" si="15"/>
        <v>0.32793072002930507</v>
      </c>
      <c r="S40" s="14">
        <f t="shared" si="11"/>
        <v>0.33248531336304543</v>
      </c>
      <c r="T40" s="14">
        <f t="shared" si="11"/>
        <v>0.33248531336304543</v>
      </c>
      <c r="U40" s="14">
        <f t="shared" si="11"/>
        <v>0.33248531336304543</v>
      </c>
      <c r="V40" s="14">
        <f t="shared" si="11"/>
        <v>0.32793072002930507</v>
      </c>
      <c r="W40" s="14">
        <f t="shared" si="11"/>
        <v>0.2823847866919016</v>
      </c>
      <c r="X40" s="14">
        <f t="shared" si="11"/>
        <v>0.2550572266894595</v>
      </c>
      <c r="Y40" s="14">
        <f t="shared" si="11"/>
        <v>0.2277296666870174</v>
      </c>
      <c r="Z40" s="14">
        <f t="shared" si="11"/>
        <v>0.2186204800195367</v>
      </c>
      <c r="AA40" s="14">
        <f t="shared" si="11"/>
        <v>0.209511293352056</v>
      </c>
      <c r="AB40" s="14">
        <f t="shared" si="11"/>
        <v>0.20040210668457534</v>
      </c>
      <c r="AC40" s="14">
        <f t="shared" si="12"/>
        <v>5.324319607142467</v>
      </c>
    </row>
    <row r="41" spans="1:29" ht="12.75">
      <c r="A41" s="27" t="str">
        <f t="shared" si="13"/>
        <v>Canby Utility Board - OR</v>
      </c>
      <c r="B41" s="190" t="s">
        <v>215</v>
      </c>
      <c r="C41" s="190" t="s">
        <v>22</v>
      </c>
      <c r="D41" s="208">
        <v>78195</v>
      </c>
      <c r="E41" s="208">
        <v>54357</v>
      </c>
      <c r="F41" s="208">
        <v>29997</v>
      </c>
      <c r="G41" s="208">
        <v>162549</v>
      </c>
      <c r="H41" s="13">
        <v>0.0010158405485814488</v>
      </c>
      <c r="I41" s="14">
        <f t="shared" si="14"/>
        <v>0.20316810971628976</v>
      </c>
      <c r="J41" s="14">
        <f t="shared" si="14"/>
        <v>0.22348492068791873</v>
      </c>
      <c r="K41" s="14">
        <f t="shared" si="14"/>
        <v>0.24380173165954772</v>
      </c>
      <c r="L41" s="14">
        <f t="shared" si="14"/>
        <v>0.2641185426311767</v>
      </c>
      <c r="M41" s="14">
        <f t="shared" si="14"/>
        <v>0.28443535360280564</v>
      </c>
      <c r="N41" s="14">
        <f t="shared" si="14"/>
        <v>0.2945937590886201</v>
      </c>
      <c r="O41" s="14">
        <f t="shared" si="14"/>
        <v>0.3250689755460636</v>
      </c>
      <c r="P41" s="14">
        <f t="shared" si="14"/>
        <v>0.3453857865176926</v>
      </c>
      <c r="Q41" s="14">
        <f t="shared" si="14"/>
        <v>0.35554419200350706</v>
      </c>
      <c r="R41" s="14">
        <f t="shared" si="15"/>
        <v>0.36570259748932155</v>
      </c>
      <c r="S41" s="14">
        <f t="shared" si="11"/>
        <v>0.3707818002322288</v>
      </c>
      <c r="T41" s="14">
        <f t="shared" si="11"/>
        <v>0.3707818002322288</v>
      </c>
      <c r="U41" s="14">
        <f t="shared" si="11"/>
        <v>0.3707818002322288</v>
      </c>
      <c r="V41" s="14">
        <f t="shared" si="11"/>
        <v>0.36570259748932155</v>
      </c>
      <c r="W41" s="14">
        <f t="shared" si="11"/>
        <v>0.31491057006024914</v>
      </c>
      <c r="X41" s="14">
        <f t="shared" si="11"/>
        <v>0.28443535360280564</v>
      </c>
      <c r="Y41" s="14">
        <f t="shared" si="11"/>
        <v>0.2539601371453622</v>
      </c>
      <c r="Z41" s="14">
        <f t="shared" si="11"/>
        <v>0.24380173165954772</v>
      </c>
      <c r="AA41" s="14">
        <f t="shared" si="11"/>
        <v>0.2336433261737332</v>
      </c>
      <c r="AB41" s="14">
        <f t="shared" si="11"/>
        <v>0.22348492068791873</v>
      </c>
      <c r="AC41" s="14">
        <f t="shared" si="12"/>
        <v>5.937588006458568</v>
      </c>
    </row>
    <row r="42" spans="1:29" ht="12.75">
      <c r="A42" s="27" t="str">
        <f t="shared" si="13"/>
        <v>Central Electric Coop Inc - OR</v>
      </c>
      <c r="B42" s="190" t="s">
        <v>216</v>
      </c>
      <c r="C42" s="190" t="s">
        <v>22</v>
      </c>
      <c r="D42" s="208">
        <v>443665</v>
      </c>
      <c r="E42" s="208">
        <v>102851</v>
      </c>
      <c r="F42" s="208">
        <v>105204</v>
      </c>
      <c r="G42" s="208">
        <v>651720</v>
      </c>
      <c r="H42" s="13">
        <v>0.004072886343942453</v>
      </c>
      <c r="I42" s="14">
        <f t="shared" si="14"/>
        <v>0.8145772687884906</v>
      </c>
      <c r="J42" s="14">
        <f t="shared" si="14"/>
        <v>0.8960349956673397</v>
      </c>
      <c r="K42" s="14">
        <f t="shared" si="14"/>
        <v>0.9774927225461887</v>
      </c>
      <c r="L42" s="14">
        <f t="shared" si="14"/>
        <v>1.0589504494250377</v>
      </c>
      <c r="M42" s="14">
        <f t="shared" si="14"/>
        <v>1.140408176303887</v>
      </c>
      <c r="N42" s="14">
        <f t="shared" si="14"/>
        <v>1.1811370397433114</v>
      </c>
      <c r="O42" s="14">
        <f t="shared" si="14"/>
        <v>1.303323630061585</v>
      </c>
      <c r="P42" s="14">
        <f t="shared" si="14"/>
        <v>1.3847813569404341</v>
      </c>
      <c r="Q42" s="14">
        <f t="shared" si="14"/>
        <v>1.4255102203798586</v>
      </c>
      <c r="R42" s="14">
        <f t="shared" si="15"/>
        <v>1.4662390838192831</v>
      </c>
      <c r="S42" s="14">
        <f t="shared" si="11"/>
        <v>1.4866035155389954</v>
      </c>
      <c r="T42" s="14">
        <f t="shared" si="11"/>
        <v>1.4866035155389954</v>
      </c>
      <c r="U42" s="14">
        <f t="shared" si="11"/>
        <v>1.4866035155389954</v>
      </c>
      <c r="V42" s="14">
        <f t="shared" si="11"/>
        <v>1.4662390838192831</v>
      </c>
      <c r="W42" s="14">
        <f t="shared" si="11"/>
        <v>1.2625947666221604</v>
      </c>
      <c r="X42" s="14">
        <f t="shared" si="11"/>
        <v>1.140408176303887</v>
      </c>
      <c r="Y42" s="14">
        <f t="shared" si="11"/>
        <v>1.0182215859856132</v>
      </c>
      <c r="Z42" s="14">
        <f t="shared" si="11"/>
        <v>0.9774927225461887</v>
      </c>
      <c r="AA42" s="14">
        <f t="shared" si="11"/>
        <v>0.9367638591067642</v>
      </c>
      <c r="AB42" s="14">
        <f t="shared" si="11"/>
        <v>0.8960349956673397</v>
      </c>
      <c r="AC42" s="14">
        <f t="shared" si="12"/>
        <v>23.80602068034364</v>
      </c>
    </row>
    <row r="43" spans="1:29" ht="12.75">
      <c r="A43" s="27" t="str">
        <f t="shared" si="13"/>
        <v>Central Lincoln People's Ut Dt - OR</v>
      </c>
      <c r="B43" s="190" t="s">
        <v>32</v>
      </c>
      <c r="C43" s="190" t="s">
        <v>22</v>
      </c>
      <c r="D43" s="208">
        <v>436772</v>
      </c>
      <c r="E43" s="208">
        <v>205946</v>
      </c>
      <c r="F43" s="208">
        <v>564684</v>
      </c>
      <c r="G43" s="208">
        <v>1207402</v>
      </c>
      <c r="H43" s="13">
        <v>0.0075455887765433095</v>
      </c>
      <c r="I43" s="14">
        <f aca="true" t="shared" si="16" ref="I43:Q52">$H43*I$33</f>
        <v>1.5091177553086619</v>
      </c>
      <c r="J43" s="14">
        <f t="shared" si="16"/>
        <v>1.660029530839528</v>
      </c>
      <c r="K43" s="14">
        <f t="shared" si="16"/>
        <v>1.8109413063703943</v>
      </c>
      <c r="L43" s="14">
        <f t="shared" si="16"/>
        <v>1.9618530819012605</v>
      </c>
      <c r="M43" s="14">
        <f t="shared" si="16"/>
        <v>2.1127648574321265</v>
      </c>
      <c r="N43" s="14">
        <f t="shared" si="16"/>
        <v>2.18822074519756</v>
      </c>
      <c r="O43" s="14">
        <f t="shared" si="16"/>
        <v>2.414588408493859</v>
      </c>
      <c r="P43" s="14">
        <f t="shared" si="16"/>
        <v>2.5655001840247253</v>
      </c>
      <c r="Q43" s="14">
        <f t="shared" si="16"/>
        <v>2.6409560717901583</v>
      </c>
      <c r="R43" s="14">
        <f t="shared" si="15"/>
        <v>2.7164119595555913</v>
      </c>
      <c r="S43" s="14">
        <f t="shared" si="11"/>
        <v>2.754139903438308</v>
      </c>
      <c r="T43" s="14">
        <f t="shared" si="11"/>
        <v>2.754139903438308</v>
      </c>
      <c r="U43" s="14">
        <f t="shared" si="11"/>
        <v>2.754139903438308</v>
      </c>
      <c r="V43" s="14">
        <f t="shared" si="11"/>
        <v>2.7164119595555913</v>
      </c>
      <c r="W43" s="14">
        <f t="shared" si="11"/>
        <v>2.339132520728426</v>
      </c>
      <c r="X43" s="14">
        <f t="shared" si="11"/>
        <v>2.1127648574321265</v>
      </c>
      <c r="Y43" s="14">
        <f t="shared" si="11"/>
        <v>1.8863971941358273</v>
      </c>
      <c r="Z43" s="14">
        <f t="shared" si="11"/>
        <v>1.8109413063703943</v>
      </c>
      <c r="AA43" s="14">
        <f t="shared" si="11"/>
        <v>1.735485418604961</v>
      </c>
      <c r="AB43" s="14">
        <f t="shared" si="11"/>
        <v>1.660029530839528</v>
      </c>
      <c r="AC43" s="14">
        <f t="shared" si="12"/>
        <v>44.10396639889564</v>
      </c>
    </row>
    <row r="44" spans="1:29" ht="12.75">
      <c r="A44" s="27" t="str">
        <f t="shared" si="13"/>
        <v>City of Albion - ID</v>
      </c>
      <c r="B44" s="190" t="s">
        <v>18</v>
      </c>
      <c r="C44" s="190" t="s">
        <v>19</v>
      </c>
      <c r="D44" s="208">
        <v>1974</v>
      </c>
      <c r="E44" s="208">
        <v>1049</v>
      </c>
      <c r="F44" s="208">
        <v>0</v>
      </c>
      <c r="G44" s="208">
        <v>3023</v>
      </c>
      <c r="H44" s="13">
        <v>1.889206318317381E-05</v>
      </c>
      <c r="I44" s="14">
        <f t="shared" si="16"/>
        <v>0.003778412636634762</v>
      </c>
      <c r="J44" s="14">
        <f t="shared" si="16"/>
        <v>0.004156253900298238</v>
      </c>
      <c r="K44" s="14">
        <f t="shared" si="16"/>
        <v>0.004534095163961714</v>
      </c>
      <c r="L44" s="14">
        <f t="shared" si="16"/>
        <v>0.00491193642762519</v>
      </c>
      <c r="M44" s="14">
        <f t="shared" si="16"/>
        <v>0.005289777691288667</v>
      </c>
      <c r="N44" s="14">
        <f t="shared" si="16"/>
        <v>0.005478698323120404</v>
      </c>
      <c r="O44" s="14">
        <f t="shared" si="16"/>
        <v>0.006045460218615619</v>
      </c>
      <c r="P44" s="14">
        <f t="shared" si="16"/>
        <v>0.006423301482279095</v>
      </c>
      <c r="Q44" s="14">
        <f t="shared" si="16"/>
        <v>0.006612222114110834</v>
      </c>
      <c r="R44" s="14">
        <f t="shared" si="15"/>
        <v>0.006801142745942571</v>
      </c>
      <c r="S44" s="14">
        <f t="shared" si="11"/>
        <v>0.00689560306185844</v>
      </c>
      <c r="T44" s="14">
        <f t="shared" si="11"/>
        <v>0.00689560306185844</v>
      </c>
      <c r="U44" s="14">
        <f t="shared" si="11"/>
        <v>0.00689560306185844</v>
      </c>
      <c r="V44" s="14">
        <f t="shared" si="11"/>
        <v>0.006801142745942571</v>
      </c>
      <c r="W44" s="14">
        <f t="shared" si="11"/>
        <v>0.005856539586783881</v>
      </c>
      <c r="X44" s="14">
        <f t="shared" si="11"/>
        <v>0.005289777691288667</v>
      </c>
      <c r="Y44" s="14">
        <f t="shared" si="11"/>
        <v>0.0047230157957934525</v>
      </c>
      <c r="Z44" s="14">
        <f t="shared" si="11"/>
        <v>0.004534095163961714</v>
      </c>
      <c r="AA44" s="14">
        <f t="shared" si="11"/>
        <v>0.004345174532129976</v>
      </c>
      <c r="AB44" s="14">
        <f t="shared" si="11"/>
        <v>0.004156253900298238</v>
      </c>
      <c r="AC44" s="14">
        <f t="shared" si="12"/>
        <v>0.11042410930565091</v>
      </c>
    </row>
    <row r="45" spans="1:29" ht="12.75">
      <c r="A45" s="27" t="str">
        <f t="shared" si="13"/>
        <v>City of Ashland - OR</v>
      </c>
      <c r="B45" s="190" t="s">
        <v>21</v>
      </c>
      <c r="C45" s="190" t="s">
        <v>22</v>
      </c>
      <c r="D45" s="208">
        <v>91297</v>
      </c>
      <c r="E45" s="208">
        <v>84268</v>
      </c>
      <c r="F45" s="208">
        <v>0</v>
      </c>
      <c r="G45" s="208">
        <v>175565</v>
      </c>
      <c r="H45" s="13">
        <v>0.0010971832857273932</v>
      </c>
      <c r="I45" s="14">
        <f t="shared" si="16"/>
        <v>0.21943665714547864</v>
      </c>
      <c r="J45" s="14">
        <f t="shared" si="16"/>
        <v>0.2413803228600265</v>
      </c>
      <c r="K45" s="14">
        <f t="shared" si="16"/>
        <v>0.26332398857457434</v>
      </c>
      <c r="L45" s="14">
        <f t="shared" si="16"/>
        <v>0.2852676542891222</v>
      </c>
      <c r="M45" s="14">
        <f t="shared" si="16"/>
        <v>0.3072113200036701</v>
      </c>
      <c r="N45" s="14">
        <f t="shared" si="16"/>
        <v>0.318183152860944</v>
      </c>
      <c r="O45" s="14">
        <f t="shared" si="16"/>
        <v>0.3510986514327658</v>
      </c>
      <c r="P45" s="14">
        <f t="shared" si="16"/>
        <v>0.3730423171473137</v>
      </c>
      <c r="Q45" s="14">
        <f t="shared" si="16"/>
        <v>0.3840141500045876</v>
      </c>
      <c r="R45" s="14">
        <f t="shared" si="15"/>
        <v>0.39498598286186154</v>
      </c>
      <c r="S45" s="14">
        <f t="shared" si="11"/>
        <v>0.40047189929049853</v>
      </c>
      <c r="T45" s="14">
        <f t="shared" si="11"/>
        <v>0.40047189929049853</v>
      </c>
      <c r="U45" s="14">
        <f t="shared" si="11"/>
        <v>0.40047189929049853</v>
      </c>
      <c r="V45" s="14">
        <f t="shared" si="11"/>
        <v>0.39498598286186154</v>
      </c>
      <c r="W45" s="14">
        <f t="shared" si="11"/>
        <v>0.3401268185754919</v>
      </c>
      <c r="X45" s="14">
        <f t="shared" si="11"/>
        <v>0.3072113200036701</v>
      </c>
      <c r="Y45" s="14">
        <f t="shared" si="11"/>
        <v>0.2742958214318483</v>
      </c>
      <c r="Z45" s="14">
        <f t="shared" si="11"/>
        <v>0.26332398857457434</v>
      </c>
      <c r="AA45" s="14">
        <f t="shared" si="11"/>
        <v>0.2523521557173004</v>
      </c>
      <c r="AB45" s="14">
        <f t="shared" si="11"/>
        <v>0.2413803228600265</v>
      </c>
      <c r="AC45" s="14">
        <f t="shared" si="12"/>
        <v>6.413036305076613</v>
      </c>
    </row>
    <row r="46" spans="1:29" ht="12.75">
      <c r="A46" s="27" t="str">
        <f t="shared" si="13"/>
        <v>City of Bandon - OR</v>
      </c>
      <c r="B46" s="190" t="s">
        <v>23</v>
      </c>
      <c r="C46" s="190" t="s">
        <v>22</v>
      </c>
      <c r="D46" s="208">
        <v>34436</v>
      </c>
      <c r="E46" s="208">
        <v>28253</v>
      </c>
      <c r="F46" s="208">
        <v>2171</v>
      </c>
      <c r="G46" s="208">
        <v>64860</v>
      </c>
      <c r="H46" s="13">
        <v>0.00040533880848847277</v>
      </c>
      <c r="I46" s="14">
        <f t="shared" si="16"/>
        <v>0.08106776169769456</v>
      </c>
      <c r="J46" s="14">
        <f t="shared" si="16"/>
        <v>0.08917453786746402</v>
      </c>
      <c r="K46" s="14">
        <f t="shared" si="16"/>
        <v>0.09728131403723346</v>
      </c>
      <c r="L46" s="14">
        <f t="shared" si="16"/>
        <v>0.10538809020700292</v>
      </c>
      <c r="M46" s="14">
        <f t="shared" si="16"/>
        <v>0.11349486637677238</v>
      </c>
      <c r="N46" s="14">
        <f t="shared" si="16"/>
        <v>0.1175482544616571</v>
      </c>
      <c r="O46" s="14">
        <f t="shared" si="16"/>
        <v>0.12970841871631128</v>
      </c>
      <c r="P46" s="14">
        <f t="shared" si="16"/>
        <v>0.13781519488608074</v>
      </c>
      <c r="Q46" s="14">
        <f t="shared" si="16"/>
        <v>0.14186858297096547</v>
      </c>
      <c r="R46" s="14">
        <f t="shared" si="15"/>
        <v>0.1459219710558502</v>
      </c>
      <c r="S46" s="14">
        <f t="shared" si="11"/>
        <v>0.14794866509829258</v>
      </c>
      <c r="T46" s="14">
        <f t="shared" si="11"/>
        <v>0.14794866509829258</v>
      </c>
      <c r="U46" s="14">
        <f t="shared" si="11"/>
        <v>0.14794866509829258</v>
      </c>
      <c r="V46" s="14">
        <f t="shared" si="11"/>
        <v>0.1459219710558502</v>
      </c>
      <c r="W46" s="14">
        <f t="shared" si="11"/>
        <v>0.12565503063142655</v>
      </c>
      <c r="X46" s="14">
        <f t="shared" si="11"/>
        <v>0.11349486637677238</v>
      </c>
      <c r="Y46" s="14">
        <f t="shared" si="11"/>
        <v>0.10133470212211819</v>
      </c>
      <c r="Z46" s="14">
        <f t="shared" si="11"/>
        <v>0.09728131403723346</v>
      </c>
      <c r="AA46" s="14">
        <f t="shared" si="11"/>
        <v>0.09322792595234873</v>
      </c>
      <c r="AB46" s="14">
        <f t="shared" si="11"/>
        <v>0.08917453786746402</v>
      </c>
      <c r="AC46" s="14">
        <f t="shared" si="12"/>
        <v>2.3692053356151233</v>
      </c>
    </row>
    <row r="47" spans="1:29" ht="12.75">
      <c r="A47" s="27" t="str">
        <f t="shared" si="13"/>
        <v>City of Blaine - WA</v>
      </c>
      <c r="B47" s="190" t="s">
        <v>27</v>
      </c>
      <c r="C47" s="190" t="s">
        <v>14</v>
      </c>
      <c r="D47" s="208">
        <v>23927</v>
      </c>
      <c r="E47" s="208">
        <v>39236</v>
      </c>
      <c r="F47" s="208">
        <v>7598</v>
      </c>
      <c r="G47" s="208">
        <v>70761</v>
      </c>
      <c r="H47" s="13">
        <v>0.00044221676576399664</v>
      </c>
      <c r="I47" s="14">
        <f t="shared" si="16"/>
        <v>0.08844335315279933</v>
      </c>
      <c r="J47" s="14">
        <f t="shared" si="16"/>
        <v>0.09728768846807927</v>
      </c>
      <c r="K47" s="14">
        <f t="shared" si="16"/>
        <v>0.10613202378335919</v>
      </c>
      <c r="L47" s="14">
        <f t="shared" si="16"/>
        <v>0.11497635909863912</v>
      </c>
      <c r="M47" s="14">
        <f t="shared" si="16"/>
        <v>0.12382069441391906</v>
      </c>
      <c r="N47" s="14">
        <f t="shared" si="16"/>
        <v>0.12824286207155902</v>
      </c>
      <c r="O47" s="14">
        <f t="shared" si="16"/>
        <v>0.14150936504447892</v>
      </c>
      <c r="P47" s="14">
        <f t="shared" si="16"/>
        <v>0.15035370035975887</v>
      </c>
      <c r="Q47" s="14">
        <f t="shared" si="16"/>
        <v>0.15477586801739882</v>
      </c>
      <c r="R47" s="14">
        <f t="shared" si="15"/>
        <v>0.1591980356750388</v>
      </c>
      <c r="S47" s="14">
        <f t="shared" si="11"/>
        <v>0.16140911950385878</v>
      </c>
      <c r="T47" s="14">
        <f t="shared" si="11"/>
        <v>0.16140911950385878</v>
      </c>
      <c r="U47" s="14">
        <f t="shared" si="11"/>
        <v>0.16140911950385878</v>
      </c>
      <c r="V47" s="14">
        <f t="shared" si="11"/>
        <v>0.1591980356750388</v>
      </c>
      <c r="W47" s="14">
        <f t="shared" si="11"/>
        <v>0.13708719738683897</v>
      </c>
      <c r="X47" s="14">
        <f t="shared" si="11"/>
        <v>0.12382069441391906</v>
      </c>
      <c r="Y47" s="14">
        <f t="shared" si="11"/>
        <v>0.11055419144099916</v>
      </c>
      <c r="Z47" s="14">
        <f t="shared" si="11"/>
        <v>0.10613202378335919</v>
      </c>
      <c r="AA47" s="14">
        <f t="shared" si="11"/>
        <v>0.10170985612571923</v>
      </c>
      <c r="AB47" s="14">
        <f t="shared" si="11"/>
        <v>0.09728768846807927</v>
      </c>
      <c r="AC47" s="14">
        <f t="shared" si="12"/>
        <v>2.5847569958905603</v>
      </c>
    </row>
    <row r="48" spans="1:29" ht="12.75">
      <c r="A48" s="27" t="str">
        <f t="shared" si="13"/>
        <v>City of Bonners Ferry - ID</v>
      </c>
      <c r="B48" s="190" t="s">
        <v>28</v>
      </c>
      <c r="C48" s="190" t="s">
        <v>19</v>
      </c>
      <c r="D48" s="208">
        <v>24696</v>
      </c>
      <c r="E48" s="208">
        <v>23052</v>
      </c>
      <c r="F48" s="208">
        <v>17454</v>
      </c>
      <c r="G48" s="208">
        <v>65202</v>
      </c>
      <c r="H48" s="13">
        <v>0.0004074761176544157</v>
      </c>
      <c r="I48" s="14">
        <f t="shared" si="16"/>
        <v>0.08149522353088315</v>
      </c>
      <c r="J48" s="14">
        <f t="shared" si="16"/>
        <v>0.08964474588397145</v>
      </c>
      <c r="K48" s="14">
        <f t="shared" si="16"/>
        <v>0.09779426823705976</v>
      </c>
      <c r="L48" s="14">
        <f t="shared" si="16"/>
        <v>0.10594379059014808</v>
      </c>
      <c r="M48" s="14">
        <f t="shared" si="16"/>
        <v>0.1140933129432364</v>
      </c>
      <c r="N48" s="14">
        <f t="shared" si="16"/>
        <v>0.11816807411978056</v>
      </c>
      <c r="O48" s="14">
        <f t="shared" si="16"/>
        <v>0.13039235764941304</v>
      </c>
      <c r="P48" s="14">
        <f t="shared" si="16"/>
        <v>0.13854188000250134</v>
      </c>
      <c r="Q48" s="14">
        <f t="shared" si="16"/>
        <v>0.1426166411790455</v>
      </c>
      <c r="R48" s="14">
        <f t="shared" si="15"/>
        <v>0.14669140235558967</v>
      </c>
      <c r="S48" s="14">
        <f aca="true" t="shared" si="17" ref="S48:AB57">$H48*S$33</f>
        <v>0.14872878294386174</v>
      </c>
      <c r="T48" s="14">
        <f t="shared" si="17"/>
        <v>0.14872878294386174</v>
      </c>
      <c r="U48" s="14">
        <f t="shared" si="17"/>
        <v>0.14872878294386174</v>
      </c>
      <c r="V48" s="14">
        <f t="shared" si="17"/>
        <v>0.14669140235558967</v>
      </c>
      <c r="W48" s="14">
        <f t="shared" si="17"/>
        <v>0.12631759647286886</v>
      </c>
      <c r="X48" s="14">
        <f t="shared" si="17"/>
        <v>0.1140933129432364</v>
      </c>
      <c r="Y48" s="14">
        <f t="shared" si="17"/>
        <v>0.10186902941360393</v>
      </c>
      <c r="Z48" s="14">
        <f t="shared" si="17"/>
        <v>0.09779426823705976</v>
      </c>
      <c r="AA48" s="14">
        <f t="shared" si="17"/>
        <v>0.09371950706051561</v>
      </c>
      <c r="AB48" s="14">
        <f t="shared" si="17"/>
        <v>0.08964474588397145</v>
      </c>
      <c r="AC48" s="14">
        <f t="shared" si="12"/>
        <v>2.38169790769006</v>
      </c>
    </row>
    <row r="49" spans="1:29" ht="12.75">
      <c r="A49" s="27" t="str">
        <f t="shared" si="13"/>
        <v>City of Burley - ID</v>
      </c>
      <c r="B49" s="190" t="s">
        <v>29</v>
      </c>
      <c r="C49" s="190" t="s">
        <v>19</v>
      </c>
      <c r="D49" s="208">
        <v>44850</v>
      </c>
      <c r="E49" s="208">
        <v>59192</v>
      </c>
      <c r="F49" s="208">
        <v>0</v>
      </c>
      <c r="G49" s="208">
        <v>104042</v>
      </c>
      <c r="H49" s="13">
        <v>0.0006502044451550677</v>
      </c>
      <c r="I49" s="14">
        <f t="shared" si="16"/>
        <v>0.13004088903101355</v>
      </c>
      <c r="J49" s="14">
        <f t="shared" si="16"/>
        <v>0.1430449779341149</v>
      </c>
      <c r="K49" s="14">
        <f t="shared" si="16"/>
        <v>0.15604906683721625</v>
      </c>
      <c r="L49" s="14">
        <f t="shared" si="16"/>
        <v>0.1690531557403176</v>
      </c>
      <c r="M49" s="14">
        <f t="shared" si="16"/>
        <v>0.18205724464341896</v>
      </c>
      <c r="N49" s="14">
        <f t="shared" si="16"/>
        <v>0.18855928909496963</v>
      </c>
      <c r="O49" s="14">
        <f t="shared" si="16"/>
        <v>0.20806542244962167</v>
      </c>
      <c r="P49" s="14">
        <f t="shared" si="16"/>
        <v>0.221069511352723</v>
      </c>
      <c r="Q49" s="14">
        <f t="shared" si="16"/>
        <v>0.22757155580427368</v>
      </c>
      <c r="R49" s="14">
        <f t="shared" si="15"/>
        <v>0.23407360025582435</v>
      </c>
      <c r="S49" s="14">
        <f t="shared" si="17"/>
        <v>0.23732462248159972</v>
      </c>
      <c r="T49" s="14">
        <f t="shared" si="17"/>
        <v>0.23732462248159972</v>
      </c>
      <c r="U49" s="14">
        <f t="shared" si="17"/>
        <v>0.23732462248159972</v>
      </c>
      <c r="V49" s="14">
        <f t="shared" si="17"/>
        <v>0.23407360025582435</v>
      </c>
      <c r="W49" s="14">
        <f t="shared" si="17"/>
        <v>0.20156337799807097</v>
      </c>
      <c r="X49" s="14">
        <f t="shared" si="17"/>
        <v>0.18205724464341896</v>
      </c>
      <c r="Y49" s="14">
        <f t="shared" si="17"/>
        <v>0.16255111128876693</v>
      </c>
      <c r="Z49" s="14">
        <f t="shared" si="17"/>
        <v>0.15604906683721625</v>
      </c>
      <c r="AA49" s="14">
        <f t="shared" si="17"/>
        <v>0.14954702238566556</v>
      </c>
      <c r="AB49" s="14">
        <f t="shared" si="17"/>
        <v>0.1430449779341149</v>
      </c>
      <c r="AC49" s="14">
        <f t="shared" si="12"/>
        <v>3.8004449819313706</v>
      </c>
    </row>
    <row r="50" spans="1:29" ht="12.75">
      <c r="A50" s="27" t="str">
        <f t="shared" si="13"/>
        <v>City of Cascade Locks - OR</v>
      </c>
      <c r="B50" s="190" t="s">
        <v>30</v>
      </c>
      <c r="C50" s="190" t="s">
        <v>22</v>
      </c>
      <c r="D50" s="208">
        <v>8337</v>
      </c>
      <c r="E50" s="208">
        <v>13452</v>
      </c>
      <c r="F50" s="208">
        <v>0</v>
      </c>
      <c r="G50" s="208">
        <v>21789</v>
      </c>
      <c r="H50" s="13">
        <v>0.00013616909186178435</v>
      </c>
      <c r="I50" s="14">
        <f t="shared" si="16"/>
        <v>0.02723381837235687</v>
      </c>
      <c r="J50" s="14">
        <f t="shared" si="16"/>
        <v>0.02995720020959256</v>
      </c>
      <c r="K50" s="14">
        <f t="shared" si="16"/>
        <v>0.03268058204682824</v>
      </c>
      <c r="L50" s="14">
        <f t="shared" si="16"/>
        <v>0.03540396388406393</v>
      </c>
      <c r="M50" s="14">
        <f t="shared" si="16"/>
        <v>0.03812734572129962</v>
      </c>
      <c r="N50" s="14">
        <f t="shared" si="16"/>
        <v>0.039489036639917464</v>
      </c>
      <c r="O50" s="14">
        <f t="shared" si="16"/>
        <v>0.04357410939577099</v>
      </c>
      <c r="P50" s="14">
        <f t="shared" si="16"/>
        <v>0.04629749123300668</v>
      </c>
      <c r="Q50" s="14">
        <f t="shared" si="16"/>
        <v>0.04765918215162452</v>
      </c>
      <c r="R50" s="14">
        <f t="shared" si="15"/>
        <v>0.04902087307024237</v>
      </c>
      <c r="S50" s="14">
        <f t="shared" si="17"/>
        <v>0.04970171852955129</v>
      </c>
      <c r="T50" s="14">
        <f t="shared" si="17"/>
        <v>0.04970171852955129</v>
      </c>
      <c r="U50" s="14">
        <f t="shared" si="17"/>
        <v>0.04970171852955129</v>
      </c>
      <c r="V50" s="14">
        <f t="shared" si="17"/>
        <v>0.04902087307024237</v>
      </c>
      <c r="W50" s="14">
        <f t="shared" si="17"/>
        <v>0.04221241847715315</v>
      </c>
      <c r="X50" s="14">
        <f t="shared" si="17"/>
        <v>0.03812734572129962</v>
      </c>
      <c r="Y50" s="14">
        <f t="shared" si="17"/>
        <v>0.03404227296544609</v>
      </c>
      <c r="Z50" s="14">
        <f t="shared" si="17"/>
        <v>0.03268058204682824</v>
      </c>
      <c r="AA50" s="14">
        <f t="shared" si="17"/>
        <v>0.0313188911282104</v>
      </c>
      <c r="AB50" s="14">
        <f t="shared" si="17"/>
        <v>0.02995720020959256</v>
      </c>
      <c r="AC50" s="14">
        <f t="shared" si="12"/>
        <v>0.7959083419321296</v>
      </c>
    </row>
    <row r="51" spans="1:29" ht="12.75">
      <c r="A51" s="27" t="str">
        <f t="shared" si="13"/>
        <v>City of Cashmere - WA</v>
      </c>
      <c r="B51" s="190" t="s">
        <v>31</v>
      </c>
      <c r="C51" s="190" t="s">
        <v>14</v>
      </c>
      <c r="D51" s="208">
        <v>20150</v>
      </c>
      <c r="E51" s="208">
        <v>32756</v>
      </c>
      <c r="F51" s="208">
        <v>4124</v>
      </c>
      <c r="G51" s="208">
        <v>57030</v>
      </c>
      <c r="H51" s="13">
        <v>0.0003564056775839902</v>
      </c>
      <c r="I51" s="14">
        <f t="shared" si="16"/>
        <v>0.07128113551679803</v>
      </c>
      <c r="J51" s="14">
        <f t="shared" si="16"/>
        <v>0.07840924906847783</v>
      </c>
      <c r="K51" s="14">
        <f t="shared" si="16"/>
        <v>0.08553736262015764</v>
      </c>
      <c r="L51" s="14">
        <f t="shared" si="16"/>
        <v>0.09266547617183744</v>
      </c>
      <c r="M51" s="14">
        <f t="shared" si="16"/>
        <v>0.09979358972351725</v>
      </c>
      <c r="N51" s="14">
        <f t="shared" si="16"/>
        <v>0.10335764649935715</v>
      </c>
      <c r="O51" s="14">
        <f t="shared" si="16"/>
        <v>0.11404981682687686</v>
      </c>
      <c r="P51" s="14">
        <f t="shared" si="16"/>
        <v>0.12117793037855666</v>
      </c>
      <c r="Q51" s="14">
        <f t="shared" si="16"/>
        <v>0.12474198715439656</v>
      </c>
      <c r="R51" s="14">
        <f t="shared" si="15"/>
        <v>0.12830604393023645</v>
      </c>
      <c r="S51" s="14">
        <f t="shared" si="17"/>
        <v>0.13008807231815642</v>
      </c>
      <c r="T51" s="14">
        <f t="shared" si="17"/>
        <v>0.13008807231815642</v>
      </c>
      <c r="U51" s="14">
        <f t="shared" si="17"/>
        <v>0.13008807231815642</v>
      </c>
      <c r="V51" s="14">
        <f t="shared" si="17"/>
        <v>0.12830604393023645</v>
      </c>
      <c r="W51" s="14">
        <f t="shared" si="17"/>
        <v>0.11048576005103695</v>
      </c>
      <c r="X51" s="14">
        <f t="shared" si="17"/>
        <v>0.09979358972351725</v>
      </c>
      <c r="Y51" s="14">
        <f t="shared" si="17"/>
        <v>0.08910141939599754</v>
      </c>
      <c r="Z51" s="14">
        <f t="shared" si="17"/>
        <v>0.08553736262015764</v>
      </c>
      <c r="AA51" s="14">
        <f t="shared" si="17"/>
        <v>0.08197330584431774</v>
      </c>
      <c r="AB51" s="14">
        <f t="shared" si="17"/>
        <v>0.07840924906847783</v>
      </c>
      <c r="AC51" s="14">
        <f t="shared" si="12"/>
        <v>2.0831911854784226</v>
      </c>
    </row>
    <row r="52" spans="1:29" ht="12.75">
      <c r="A52" s="27" t="str">
        <f t="shared" si="13"/>
        <v>City of Centralia - WA</v>
      </c>
      <c r="B52" s="190" t="s">
        <v>33</v>
      </c>
      <c r="C52" s="190" t="s">
        <v>14</v>
      </c>
      <c r="D52" s="208">
        <v>119262</v>
      </c>
      <c r="E52" s="208">
        <v>35873</v>
      </c>
      <c r="F52" s="208">
        <v>97884</v>
      </c>
      <c r="G52" s="208">
        <v>253019</v>
      </c>
      <c r="H52" s="13">
        <v>0.0015812275668354132</v>
      </c>
      <c r="I52" s="14">
        <f t="shared" si="16"/>
        <v>0.3162455133670826</v>
      </c>
      <c r="J52" s="14">
        <f t="shared" si="16"/>
        <v>0.3478700647037909</v>
      </c>
      <c r="K52" s="14">
        <f t="shared" si="16"/>
        <v>0.37949461604049917</v>
      </c>
      <c r="L52" s="14">
        <f t="shared" si="16"/>
        <v>0.41111916737720744</v>
      </c>
      <c r="M52" s="14">
        <f t="shared" si="16"/>
        <v>0.4427437187139157</v>
      </c>
      <c r="N52" s="14">
        <f t="shared" si="16"/>
        <v>0.45855599438226985</v>
      </c>
      <c r="O52" s="14">
        <f t="shared" si="16"/>
        <v>0.5059928213873323</v>
      </c>
      <c r="P52" s="14">
        <f t="shared" si="16"/>
        <v>0.5376173727240405</v>
      </c>
      <c r="Q52" s="14">
        <f t="shared" si="16"/>
        <v>0.5534296483923946</v>
      </c>
      <c r="R52" s="14">
        <f t="shared" si="15"/>
        <v>0.5692419240607487</v>
      </c>
      <c r="S52" s="14">
        <f t="shared" si="17"/>
        <v>0.5771480618949258</v>
      </c>
      <c r="T52" s="14">
        <f t="shared" si="17"/>
        <v>0.5771480618949258</v>
      </c>
      <c r="U52" s="14">
        <f t="shared" si="17"/>
        <v>0.5771480618949258</v>
      </c>
      <c r="V52" s="14">
        <f t="shared" si="17"/>
        <v>0.5692419240607487</v>
      </c>
      <c r="W52" s="14">
        <f t="shared" si="17"/>
        <v>0.49018054571897807</v>
      </c>
      <c r="X52" s="14">
        <f t="shared" si="17"/>
        <v>0.4427437187139157</v>
      </c>
      <c r="Y52" s="14">
        <f t="shared" si="17"/>
        <v>0.3953068917088533</v>
      </c>
      <c r="Z52" s="14">
        <f t="shared" si="17"/>
        <v>0.37949461604049917</v>
      </c>
      <c r="AA52" s="14">
        <f t="shared" si="17"/>
        <v>0.36368234037214503</v>
      </c>
      <c r="AB52" s="14">
        <f t="shared" si="17"/>
        <v>0.3478700647037909</v>
      </c>
      <c r="AC52" s="14">
        <f t="shared" si="12"/>
        <v>9.24227512815299</v>
      </c>
    </row>
    <row r="53" spans="1:29" ht="12.75">
      <c r="A53" s="27" t="str">
        <f t="shared" si="13"/>
        <v>City of Cheney - WA</v>
      </c>
      <c r="B53" s="190" t="s">
        <v>35</v>
      </c>
      <c r="C53" s="190" t="s">
        <v>14</v>
      </c>
      <c r="D53" s="208">
        <v>45546</v>
      </c>
      <c r="E53" s="208">
        <v>64265</v>
      </c>
      <c r="F53" s="208">
        <v>11665</v>
      </c>
      <c r="G53" s="208">
        <v>121476</v>
      </c>
      <c r="H53" s="13">
        <v>0.0007591572170821111</v>
      </c>
      <c r="I53" s="14">
        <f aca="true" t="shared" si="18" ref="I53:Q62">$H53*I$33</f>
        <v>0.1518314434164222</v>
      </c>
      <c r="J53" s="14">
        <f t="shared" si="18"/>
        <v>0.16701458775806444</v>
      </c>
      <c r="K53" s="14">
        <f t="shared" si="18"/>
        <v>0.18219773209970666</v>
      </c>
      <c r="L53" s="14">
        <f t="shared" si="18"/>
        <v>0.19738087644134888</v>
      </c>
      <c r="M53" s="14">
        <f t="shared" si="18"/>
        <v>0.2125640207829911</v>
      </c>
      <c r="N53" s="14">
        <f t="shared" si="18"/>
        <v>0.2201555929538122</v>
      </c>
      <c r="O53" s="14">
        <f t="shared" si="18"/>
        <v>0.24293030946627553</v>
      </c>
      <c r="P53" s="14">
        <f t="shared" si="18"/>
        <v>0.2581134538079178</v>
      </c>
      <c r="Q53" s="14">
        <f t="shared" si="18"/>
        <v>0.26570502597873885</v>
      </c>
      <c r="R53" s="14">
        <f t="shared" si="15"/>
        <v>0.27329659814956</v>
      </c>
      <c r="S53" s="14">
        <f t="shared" si="17"/>
        <v>0.27709238423497057</v>
      </c>
      <c r="T53" s="14">
        <f t="shared" si="17"/>
        <v>0.27709238423497057</v>
      </c>
      <c r="U53" s="14">
        <f t="shared" si="17"/>
        <v>0.27709238423497057</v>
      </c>
      <c r="V53" s="14">
        <f t="shared" si="17"/>
        <v>0.27329659814956</v>
      </c>
      <c r="W53" s="14">
        <f t="shared" si="17"/>
        <v>0.23533873729545443</v>
      </c>
      <c r="X53" s="14">
        <f t="shared" si="17"/>
        <v>0.2125640207829911</v>
      </c>
      <c r="Y53" s="14">
        <f t="shared" si="17"/>
        <v>0.18978930427052776</v>
      </c>
      <c r="Z53" s="14">
        <f t="shared" si="17"/>
        <v>0.18219773209970666</v>
      </c>
      <c r="AA53" s="14">
        <f t="shared" si="17"/>
        <v>0.17460615992888553</v>
      </c>
      <c r="AB53" s="14">
        <f t="shared" si="17"/>
        <v>0.16701458775806444</v>
      </c>
      <c r="AC53" s="14">
        <f t="shared" si="12"/>
        <v>4.437273933844939</v>
      </c>
    </row>
    <row r="54" spans="1:29" ht="12.75">
      <c r="A54" s="27" t="str">
        <f t="shared" si="13"/>
        <v>City of Chewelah - WA</v>
      </c>
      <c r="B54" s="190" t="s">
        <v>36</v>
      </c>
      <c r="C54" s="190" t="s">
        <v>14</v>
      </c>
      <c r="D54" s="208">
        <v>11613</v>
      </c>
      <c r="E54" s="208">
        <v>9839</v>
      </c>
      <c r="F54" s="208">
        <v>0</v>
      </c>
      <c r="G54" s="208">
        <v>21452</v>
      </c>
      <c r="H54" s="13">
        <v>0.00013406302990586985</v>
      </c>
      <c r="I54" s="14">
        <f t="shared" si="18"/>
        <v>0.026812605981173968</v>
      </c>
      <c r="J54" s="14">
        <f t="shared" si="18"/>
        <v>0.029493866579291365</v>
      </c>
      <c r="K54" s="14">
        <f t="shared" si="18"/>
        <v>0.032175127177408766</v>
      </c>
      <c r="L54" s="14">
        <f t="shared" si="18"/>
        <v>0.03485638777552616</v>
      </c>
      <c r="M54" s="14">
        <f t="shared" si="18"/>
        <v>0.03753764837364356</v>
      </c>
      <c r="N54" s="14">
        <f t="shared" si="18"/>
        <v>0.03887827867270226</v>
      </c>
      <c r="O54" s="14">
        <f t="shared" si="18"/>
        <v>0.042900169569878355</v>
      </c>
      <c r="P54" s="14">
        <f t="shared" si="18"/>
        <v>0.04558143016799575</v>
      </c>
      <c r="Q54" s="14">
        <f t="shared" si="18"/>
        <v>0.046922060467054445</v>
      </c>
      <c r="R54" s="14">
        <f t="shared" si="15"/>
        <v>0.04826269076611314</v>
      </c>
      <c r="S54" s="14">
        <f t="shared" si="17"/>
        <v>0.048933005915642494</v>
      </c>
      <c r="T54" s="14">
        <f t="shared" si="17"/>
        <v>0.048933005915642494</v>
      </c>
      <c r="U54" s="14">
        <f t="shared" si="17"/>
        <v>0.048933005915642494</v>
      </c>
      <c r="V54" s="14">
        <f t="shared" si="17"/>
        <v>0.04826269076611314</v>
      </c>
      <c r="W54" s="14">
        <f t="shared" si="17"/>
        <v>0.04155953927081965</v>
      </c>
      <c r="X54" s="14">
        <f t="shared" si="17"/>
        <v>0.03753764837364356</v>
      </c>
      <c r="Y54" s="14">
        <f t="shared" si="17"/>
        <v>0.03351575747646746</v>
      </c>
      <c r="Z54" s="14">
        <f t="shared" si="17"/>
        <v>0.032175127177408766</v>
      </c>
      <c r="AA54" s="14">
        <f t="shared" si="17"/>
        <v>0.030834496878350066</v>
      </c>
      <c r="AB54" s="14">
        <f t="shared" si="17"/>
        <v>0.029493866579291365</v>
      </c>
      <c r="AC54" s="14">
        <f t="shared" si="12"/>
        <v>0.7835984097998092</v>
      </c>
    </row>
    <row r="55" spans="1:29" ht="12.75">
      <c r="A55" s="27" t="str">
        <f t="shared" si="13"/>
        <v>City of Coulee Dam - WA</v>
      </c>
      <c r="B55" s="190" t="s">
        <v>44</v>
      </c>
      <c r="C55" s="190" t="s">
        <v>14</v>
      </c>
      <c r="D55" s="208">
        <v>9628</v>
      </c>
      <c r="E55" s="208">
        <v>8138</v>
      </c>
      <c r="F55" s="208">
        <v>0</v>
      </c>
      <c r="G55" s="208">
        <v>17766</v>
      </c>
      <c r="H55" s="13">
        <v>0.00011102758667292951</v>
      </c>
      <c r="I55" s="14">
        <f t="shared" si="18"/>
        <v>0.0222055173345859</v>
      </c>
      <c r="J55" s="14">
        <f t="shared" si="18"/>
        <v>0.024426069068044492</v>
      </c>
      <c r="K55" s="14">
        <f t="shared" si="18"/>
        <v>0.026646620801503082</v>
      </c>
      <c r="L55" s="14">
        <f t="shared" si="18"/>
        <v>0.028867172534961672</v>
      </c>
      <c r="M55" s="14">
        <f t="shared" si="18"/>
        <v>0.031087724268420262</v>
      </c>
      <c r="N55" s="14">
        <f t="shared" si="18"/>
        <v>0.032198000135149556</v>
      </c>
      <c r="O55" s="14">
        <f t="shared" si="18"/>
        <v>0.03552882773533744</v>
      </c>
      <c r="P55" s="14">
        <f t="shared" si="18"/>
        <v>0.03774937946879603</v>
      </c>
      <c r="Q55" s="14">
        <f t="shared" si="18"/>
        <v>0.03885965533552533</v>
      </c>
      <c r="R55" s="14">
        <f t="shared" si="15"/>
        <v>0.03996993120225462</v>
      </c>
      <c r="S55" s="14">
        <f t="shared" si="17"/>
        <v>0.04052506913561927</v>
      </c>
      <c r="T55" s="14">
        <f t="shared" si="17"/>
        <v>0.04052506913561927</v>
      </c>
      <c r="U55" s="14">
        <f t="shared" si="17"/>
        <v>0.04052506913561927</v>
      </c>
      <c r="V55" s="14">
        <f t="shared" si="17"/>
        <v>0.03996993120225462</v>
      </c>
      <c r="W55" s="14">
        <f t="shared" si="17"/>
        <v>0.03441855186860815</v>
      </c>
      <c r="X55" s="14">
        <f t="shared" si="17"/>
        <v>0.031087724268420262</v>
      </c>
      <c r="Y55" s="14">
        <f t="shared" si="17"/>
        <v>0.027756896668232375</v>
      </c>
      <c r="Z55" s="14">
        <f t="shared" si="17"/>
        <v>0.026646620801503082</v>
      </c>
      <c r="AA55" s="14">
        <f t="shared" si="17"/>
        <v>0.02553634493477379</v>
      </c>
      <c r="AB55" s="14">
        <f t="shared" si="17"/>
        <v>0.024426069068044492</v>
      </c>
      <c r="AC55" s="14">
        <f t="shared" si="12"/>
        <v>0.648956244103273</v>
      </c>
    </row>
    <row r="56" spans="1:29" ht="12.75">
      <c r="A56" s="27" t="str">
        <f t="shared" si="13"/>
        <v>City of Declo - ID</v>
      </c>
      <c r="B56" s="190" t="s">
        <v>63</v>
      </c>
      <c r="C56" s="190" t="s">
        <v>19</v>
      </c>
      <c r="D56" s="208">
        <v>1447</v>
      </c>
      <c r="E56" s="208">
        <v>773</v>
      </c>
      <c r="F56" s="208">
        <v>230</v>
      </c>
      <c r="G56" s="208">
        <v>2450</v>
      </c>
      <c r="H56" s="13">
        <v>1.531113291391857E-05</v>
      </c>
      <c r="I56" s="14">
        <f t="shared" si="18"/>
        <v>0.003062226582783714</v>
      </c>
      <c r="J56" s="14">
        <f t="shared" si="18"/>
        <v>0.003368449241062085</v>
      </c>
      <c r="K56" s="14">
        <f t="shared" si="18"/>
        <v>0.0036746718993404567</v>
      </c>
      <c r="L56" s="14">
        <f t="shared" si="18"/>
        <v>0.003980894557618828</v>
      </c>
      <c r="M56" s="14">
        <f t="shared" si="18"/>
        <v>0.0042871172158971994</v>
      </c>
      <c r="N56" s="14">
        <f t="shared" si="18"/>
        <v>0.004440228545036385</v>
      </c>
      <c r="O56" s="14">
        <f t="shared" si="18"/>
        <v>0.004899562532453942</v>
      </c>
      <c r="P56" s="14">
        <f t="shared" si="18"/>
        <v>0.005205785190732314</v>
      </c>
      <c r="Q56" s="14">
        <f t="shared" si="18"/>
        <v>0.005358896519871499</v>
      </c>
      <c r="R56" s="14">
        <f t="shared" si="15"/>
        <v>0.005512007849010685</v>
      </c>
      <c r="S56" s="14">
        <f t="shared" si="17"/>
        <v>0.005588563513580278</v>
      </c>
      <c r="T56" s="14">
        <f t="shared" si="17"/>
        <v>0.005588563513580278</v>
      </c>
      <c r="U56" s="14">
        <f t="shared" si="17"/>
        <v>0.005588563513580278</v>
      </c>
      <c r="V56" s="14">
        <f t="shared" si="17"/>
        <v>0.005512007849010685</v>
      </c>
      <c r="W56" s="14">
        <f t="shared" si="17"/>
        <v>0.004746451203314756</v>
      </c>
      <c r="X56" s="14">
        <f t="shared" si="17"/>
        <v>0.0042871172158971994</v>
      </c>
      <c r="Y56" s="14">
        <f t="shared" si="17"/>
        <v>0.0038277832284796423</v>
      </c>
      <c r="Z56" s="14">
        <f t="shared" si="17"/>
        <v>0.0036746718993404567</v>
      </c>
      <c r="AA56" s="14">
        <f t="shared" si="17"/>
        <v>0.0035215605702012707</v>
      </c>
      <c r="AB56" s="14">
        <f t="shared" si="17"/>
        <v>0.003368449241062085</v>
      </c>
      <c r="AC56" s="14">
        <f t="shared" si="12"/>
        <v>0.08949357188185404</v>
      </c>
    </row>
    <row r="57" spans="1:29" ht="12.75">
      <c r="A57" s="27" t="str">
        <f t="shared" si="13"/>
        <v>City of Drain - OR</v>
      </c>
      <c r="B57" s="190" t="s">
        <v>49</v>
      </c>
      <c r="C57" s="190" t="s">
        <v>22</v>
      </c>
      <c r="D57" s="208">
        <v>7607</v>
      </c>
      <c r="E57" s="208">
        <v>4214</v>
      </c>
      <c r="F57" s="208">
        <v>8713</v>
      </c>
      <c r="G57" s="208">
        <v>20534</v>
      </c>
      <c r="H57" s="13">
        <v>0.00012832604214465466</v>
      </c>
      <c r="I57" s="14">
        <f t="shared" si="18"/>
        <v>0.02566520842893093</v>
      </c>
      <c r="J57" s="14">
        <f t="shared" si="18"/>
        <v>0.028231729271824026</v>
      </c>
      <c r="K57" s="14">
        <f t="shared" si="18"/>
        <v>0.030798250114717117</v>
      </c>
      <c r="L57" s="14">
        <f t="shared" si="18"/>
        <v>0.03336477095761021</v>
      </c>
      <c r="M57" s="14">
        <f t="shared" si="18"/>
        <v>0.03593129180050331</v>
      </c>
      <c r="N57" s="14">
        <f t="shared" si="18"/>
        <v>0.03721455222194985</v>
      </c>
      <c r="O57" s="14">
        <f t="shared" si="18"/>
        <v>0.04106433348628949</v>
      </c>
      <c r="P57" s="14">
        <f t="shared" si="18"/>
        <v>0.04363085432918259</v>
      </c>
      <c r="Q57" s="14">
        <f t="shared" si="18"/>
        <v>0.04491411475062913</v>
      </c>
      <c r="R57" s="14">
        <f t="shared" si="15"/>
        <v>0.04619737517207568</v>
      </c>
      <c r="S57" s="14">
        <f t="shared" si="17"/>
        <v>0.04683900538279895</v>
      </c>
      <c r="T57" s="14">
        <f t="shared" si="17"/>
        <v>0.04683900538279895</v>
      </c>
      <c r="U57" s="14">
        <f t="shared" si="17"/>
        <v>0.04683900538279895</v>
      </c>
      <c r="V57" s="14">
        <f t="shared" si="17"/>
        <v>0.04619737517207568</v>
      </c>
      <c r="W57" s="14">
        <f t="shared" si="17"/>
        <v>0.039781073064842944</v>
      </c>
      <c r="X57" s="14">
        <f t="shared" si="17"/>
        <v>0.03593129180050331</v>
      </c>
      <c r="Y57" s="14">
        <f t="shared" si="17"/>
        <v>0.03208151053616366</v>
      </c>
      <c r="Z57" s="14">
        <f t="shared" si="17"/>
        <v>0.030798250114717117</v>
      </c>
      <c r="AA57" s="14">
        <f t="shared" si="17"/>
        <v>0.02951498969327057</v>
      </c>
      <c r="AB57" s="14">
        <f t="shared" si="17"/>
        <v>0.028231729271824026</v>
      </c>
      <c r="AC57" s="14">
        <f t="shared" si="12"/>
        <v>0.7500657163355064</v>
      </c>
    </row>
    <row r="58" spans="1:29" ht="12.75">
      <c r="A58" s="27" t="str">
        <f t="shared" si="13"/>
        <v>City of Ellensburg - WA</v>
      </c>
      <c r="B58" s="190" t="s">
        <v>54</v>
      </c>
      <c r="C58" s="190" t="s">
        <v>14</v>
      </c>
      <c r="D58" s="208">
        <v>71169</v>
      </c>
      <c r="E58" s="208">
        <v>114329</v>
      </c>
      <c r="F58" s="208">
        <v>14757</v>
      </c>
      <c r="G58" s="208">
        <v>200255</v>
      </c>
      <c r="H58" s="13">
        <v>0.0012514820088476584</v>
      </c>
      <c r="I58" s="14">
        <f t="shared" si="18"/>
        <v>0.25029640176953166</v>
      </c>
      <c r="J58" s="14">
        <f t="shared" si="18"/>
        <v>0.27532604194648486</v>
      </c>
      <c r="K58" s="14">
        <f t="shared" si="18"/>
        <v>0.30035568212343805</v>
      </c>
      <c r="L58" s="14">
        <f t="shared" si="18"/>
        <v>0.3253853223003912</v>
      </c>
      <c r="M58" s="14">
        <f t="shared" si="18"/>
        <v>0.3504149624773444</v>
      </c>
      <c r="N58" s="14">
        <f t="shared" si="18"/>
        <v>0.3629297825658209</v>
      </c>
      <c r="O58" s="14">
        <f t="shared" si="18"/>
        <v>0.4004742428312507</v>
      </c>
      <c r="P58" s="14">
        <f t="shared" si="18"/>
        <v>0.42550388300820385</v>
      </c>
      <c r="Q58" s="14">
        <f t="shared" si="18"/>
        <v>0.43801870309668045</v>
      </c>
      <c r="R58" s="14">
        <f t="shared" si="15"/>
        <v>0.45053352318515705</v>
      </c>
      <c r="S58" s="14">
        <f aca="true" t="shared" si="19" ref="S58:AB66">$H58*S$33</f>
        <v>0.45679093322939535</v>
      </c>
      <c r="T58" s="14">
        <f t="shared" si="19"/>
        <v>0.45679093322939535</v>
      </c>
      <c r="U58" s="14">
        <f t="shared" si="19"/>
        <v>0.45679093322939535</v>
      </c>
      <c r="V58" s="14">
        <f t="shared" si="19"/>
        <v>0.45053352318515705</v>
      </c>
      <c r="W58" s="14">
        <f t="shared" si="19"/>
        <v>0.3879594227427741</v>
      </c>
      <c r="X58" s="14">
        <f t="shared" si="19"/>
        <v>0.3504149624773444</v>
      </c>
      <c r="Y58" s="14">
        <f t="shared" si="19"/>
        <v>0.3128705022119146</v>
      </c>
      <c r="Z58" s="14">
        <f t="shared" si="19"/>
        <v>0.30035568212343805</v>
      </c>
      <c r="AA58" s="14">
        <f t="shared" si="19"/>
        <v>0.28784086203496145</v>
      </c>
      <c r="AB58" s="14">
        <f t="shared" si="19"/>
        <v>0.27532604194648486</v>
      </c>
      <c r="AC58" s="14">
        <f t="shared" si="12"/>
        <v>7.314912341714564</v>
      </c>
    </row>
    <row r="59" spans="1:29" ht="12.75">
      <c r="A59" s="27" t="str">
        <f t="shared" si="13"/>
        <v>City of Eugene - OR</v>
      </c>
      <c r="B59" s="190" t="s">
        <v>53</v>
      </c>
      <c r="C59" s="190" t="s">
        <v>22</v>
      </c>
      <c r="D59" s="208">
        <v>1026245</v>
      </c>
      <c r="E59" s="208">
        <v>928826</v>
      </c>
      <c r="F59" s="208">
        <v>773613</v>
      </c>
      <c r="G59" s="208">
        <v>2728684</v>
      </c>
      <c r="H59" s="13">
        <v>0.017052752409829786</v>
      </c>
      <c r="I59" s="14">
        <f t="shared" si="18"/>
        <v>3.410550481965957</v>
      </c>
      <c r="J59" s="14">
        <f t="shared" si="18"/>
        <v>3.7516055301625526</v>
      </c>
      <c r="K59" s="14">
        <f t="shared" si="18"/>
        <v>4.0926605783591485</v>
      </c>
      <c r="L59" s="14">
        <f t="shared" si="18"/>
        <v>4.4337156265557445</v>
      </c>
      <c r="M59" s="14">
        <f t="shared" si="18"/>
        <v>4.7747706747523395</v>
      </c>
      <c r="N59" s="14">
        <f t="shared" si="18"/>
        <v>4.9452981988506375</v>
      </c>
      <c r="O59" s="14">
        <f t="shared" si="18"/>
        <v>5.456880771145531</v>
      </c>
      <c r="P59" s="14">
        <f t="shared" si="18"/>
        <v>5.797935819342127</v>
      </c>
      <c r="Q59" s="14">
        <f t="shared" si="18"/>
        <v>5.968463343440425</v>
      </c>
      <c r="R59" s="14">
        <f t="shared" si="15"/>
        <v>6.138990867538723</v>
      </c>
      <c r="S59" s="14">
        <f t="shared" si="19"/>
        <v>6.224254629587872</v>
      </c>
      <c r="T59" s="14">
        <f t="shared" si="19"/>
        <v>6.224254629587872</v>
      </c>
      <c r="U59" s="14">
        <f t="shared" si="19"/>
        <v>6.224254629587872</v>
      </c>
      <c r="V59" s="14">
        <f t="shared" si="19"/>
        <v>6.138990867538723</v>
      </c>
      <c r="W59" s="14">
        <f t="shared" si="19"/>
        <v>5.286353247047233</v>
      </c>
      <c r="X59" s="14">
        <f t="shared" si="19"/>
        <v>4.7747706747523395</v>
      </c>
      <c r="Y59" s="14">
        <f t="shared" si="19"/>
        <v>4.2631881024574465</v>
      </c>
      <c r="Z59" s="14">
        <f t="shared" si="19"/>
        <v>4.0926605783591485</v>
      </c>
      <c r="AA59" s="14">
        <f t="shared" si="19"/>
        <v>3.9221330542608506</v>
      </c>
      <c r="AB59" s="14">
        <f t="shared" si="19"/>
        <v>3.7516055301625526</v>
      </c>
      <c r="AC59" s="14">
        <f t="shared" si="12"/>
        <v>99.6733378354551</v>
      </c>
    </row>
    <row r="60" spans="1:29" ht="12.75">
      <c r="A60" s="27" t="str">
        <f t="shared" si="13"/>
        <v>City of Forest Grove - OR</v>
      </c>
      <c r="B60" s="190" t="s">
        <v>61</v>
      </c>
      <c r="C60" s="190" t="s">
        <v>22</v>
      </c>
      <c r="D60" s="208">
        <v>109769</v>
      </c>
      <c r="E60" s="208">
        <v>45561</v>
      </c>
      <c r="F60" s="208">
        <v>92940</v>
      </c>
      <c r="G60" s="208">
        <v>248270</v>
      </c>
      <c r="H60" s="13">
        <v>0.0015515489667504339</v>
      </c>
      <c r="I60" s="14">
        <f t="shared" si="18"/>
        <v>0.3103097933500868</v>
      </c>
      <c r="J60" s="14">
        <f t="shared" si="18"/>
        <v>0.34134077268509544</v>
      </c>
      <c r="K60" s="14">
        <f t="shared" si="18"/>
        <v>0.37237175202010414</v>
      </c>
      <c r="L60" s="14">
        <f t="shared" si="18"/>
        <v>0.4034027313551128</v>
      </c>
      <c r="M60" s="14">
        <f t="shared" si="18"/>
        <v>0.4344337106901215</v>
      </c>
      <c r="N60" s="14">
        <f t="shared" si="18"/>
        <v>0.4499492003576258</v>
      </c>
      <c r="O60" s="14">
        <f t="shared" si="18"/>
        <v>0.49649566936013884</v>
      </c>
      <c r="P60" s="14">
        <f t="shared" si="18"/>
        <v>0.5275266486951475</v>
      </c>
      <c r="Q60" s="14">
        <f t="shared" si="18"/>
        <v>0.5430421383626518</v>
      </c>
      <c r="R60" s="14">
        <f t="shared" si="15"/>
        <v>0.5585576280301562</v>
      </c>
      <c r="S60" s="14">
        <f t="shared" si="19"/>
        <v>0.5663153728639083</v>
      </c>
      <c r="T60" s="14">
        <f t="shared" si="19"/>
        <v>0.5663153728639083</v>
      </c>
      <c r="U60" s="14">
        <f t="shared" si="19"/>
        <v>0.5663153728639083</v>
      </c>
      <c r="V60" s="14">
        <f t="shared" si="19"/>
        <v>0.5585576280301562</v>
      </c>
      <c r="W60" s="14">
        <f t="shared" si="19"/>
        <v>0.4809801796926345</v>
      </c>
      <c r="X60" s="14">
        <f t="shared" si="19"/>
        <v>0.4344337106901215</v>
      </c>
      <c r="Y60" s="14">
        <f t="shared" si="19"/>
        <v>0.38788724168760846</v>
      </c>
      <c r="Z60" s="14">
        <f t="shared" si="19"/>
        <v>0.37237175202010414</v>
      </c>
      <c r="AA60" s="14">
        <f t="shared" si="19"/>
        <v>0.35685626235259976</v>
      </c>
      <c r="AB60" s="14">
        <f t="shared" si="19"/>
        <v>0.34134077268509544</v>
      </c>
      <c r="AC60" s="14">
        <f t="shared" si="12"/>
        <v>9.068803710656287</v>
      </c>
    </row>
    <row r="61" spans="1:29" ht="12.75">
      <c r="A61" s="27" t="str">
        <f t="shared" si="13"/>
        <v>City of Hermiston - OR</v>
      </c>
      <c r="B61" s="211" t="s">
        <v>66</v>
      </c>
      <c r="C61" s="190" t="s">
        <v>22</v>
      </c>
      <c r="D61" s="208">
        <v>50244</v>
      </c>
      <c r="E61" s="208">
        <v>56760</v>
      </c>
      <c r="F61" s="208">
        <v>0</v>
      </c>
      <c r="G61" s="208">
        <v>107004</v>
      </c>
      <c r="H61" s="13">
        <v>0.0006687152923758949</v>
      </c>
      <c r="I61" s="14">
        <f t="shared" si="18"/>
        <v>0.13374305847517898</v>
      </c>
      <c r="J61" s="14">
        <f t="shared" si="18"/>
        <v>0.1471173643226969</v>
      </c>
      <c r="K61" s="14">
        <f t="shared" si="18"/>
        <v>0.1604916701702148</v>
      </c>
      <c r="L61" s="14">
        <f t="shared" si="18"/>
        <v>0.17386597601773268</v>
      </c>
      <c r="M61" s="14">
        <f t="shared" si="18"/>
        <v>0.18724028186525057</v>
      </c>
      <c r="N61" s="14">
        <f t="shared" si="18"/>
        <v>0.19392743478900953</v>
      </c>
      <c r="O61" s="14">
        <f t="shared" si="18"/>
        <v>0.2139888935602864</v>
      </c>
      <c r="P61" s="14">
        <f t="shared" si="18"/>
        <v>0.22736319940780428</v>
      </c>
      <c r="Q61" s="14">
        <f t="shared" si="18"/>
        <v>0.23405035233156324</v>
      </c>
      <c r="R61" s="14">
        <f t="shared" si="15"/>
        <v>0.24073750525532217</v>
      </c>
      <c r="S61" s="14">
        <f t="shared" si="19"/>
        <v>0.24408108171720166</v>
      </c>
      <c r="T61" s="14">
        <f t="shared" si="19"/>
        <v>0.24408108171720166</v>
      </c>
      <c r="U61" s="14">
        <f t="shared" si="19"/>
        <v>0.24408108171720166</v>
      </c>
      <c r="V61" s="14">
        <f t="shared" si="19"/>
        <v>0.24073750525532217</v>
      </c>
      <c r="W61" s="14">
        <f t="shared" si="19"/>
        <v>0.20730174063652743</v>
      </c>
      <c r="X61" s="14">
        <f t="shared" si="19"/>
        <v>0.18724028186525057</v>
      </c>
      <c r="Y61" s="14">
        <f t="shared" si="19"/>
        <v>0.16717882309397372</v>
      </c>
      <c r="Z61" s="14">
        <f t="shared" si="19"/>
        <v>0.1604916701702148</v>
      </c>
      <c r="AA61" s="14">
        <f t="shared" si="19"/>
        <v>0.15380451724645583</v>
      </c>
      <c r="AB61" s="14">
        <f t="shared" si="19"/>
        <v>0.1471173643226969</v>
      </c>
      <c r="AC61" s="14">
        <f t="shared" si="12"/>
        <v>3.908640883937106</v>
      </c>
    </row>
    <row r="62" spans="1:29" ht="12.75">
      <c r="A62" s="27" t="str">
        <f t="shared" si="13"/>
        <v>City of Heyburn - ID</v>
      </c>
      <c r="B62" s="190" t="s">
        <v>67</v>
      </c>
      <c r="C62" s="190" t="s">
        <v>19</v>
      </c>
      <c r="D62" s="208">
        <v>16840</v>
      </c>
      <c r="E62" s="208">
        <v>5884</v>
      </c>
      <c r="F62" s="208">
        <v>13151</v>
      </c>
      <c r="G62" s="208">
        <v>35875</v>
      </c>
      <c r="H62" s="13">
        <v>0.00022419873195380762</v>
      </c>
      <c r="I62" s="14">
        <f t="shared" si="18"/>
        <v>0.04483974639076153</v>
      </c>
      <c r="J62" s="14">
        <f t="shared" si="18"/>
        <v>0.049323721029837675</v>
      </c>
      <c r="K62" s="14">
        <f t="shared" si="18"/>
        <v>0.05380769566891383</v>
      </c>
      <c r="L62" s="14">
        <f t="shared" si="18"/>
        <v>0.058291670307989985</v>
      </c>
      <c r="M62" s="14">
        <f t="shared" si="18"/>
        <v>0.06277564494706614</v>
      </c>
      <c r="N62" s="14">
        <f t="shared" si="18"/>
        <v>0.06501763226660422</v>
      </c>
      <c r="O62" s="14">
        <f t="shared" si="18"/>
        <v>0.07174359422521843</v>
      </c>
      <c r="P62" s="14">
        <f t="shared" si="18"/>
        <v>0.07622756886429459</v>
      </c>
      <c r="Q62" s="14">
        <f t="shared" si="18"/>
        <v>0.07846955618383267</v>
      </c>
      <c r="R62" s="14">
        <f t="shared" si="15"/>
        <v>0.08071154350337074</v>
      </c>
      <c r="S62" s="14">
        <f t="shared" si="19"/>
        <v>0.08183253716313978</v>
      </c>
      <c r="T62" s="14">
        <f t="shared" si="19"/>
        <v>0.08183253716313978</v>
      </c>
      <c r="U62" s="14">
        <f t="shared" si="19"/>
        <v>0.08183253716313978</v>
      </c>
      <c r="V62" s="14">
        <f t="shared" si="19"/>
        <v>0.08071154350337074</v>
      </c>
      <c r="W62" s="14">
        <f t="shared" si="19"/>
        <v>0.06950160690568036</v>
      </c>
      <c r="X62" s="14">
        <f t="shared" si="19"/>
        <v>0.06277564494706614</v>
      </c>
      <c r="Y62" s="14">
        <f t="shared" si="19"/>
        <v>0.05604968298845191</v>
      </c>
      <c r="Z62" s="14">
        <f t="shared" si="19"/>
        <v>0.05380769566891383</v>
      </c>
      <c r="AA62" s="14">
        <f t="shared" si="19"/>
        <v>0.05156570834937575</v>
      </c>
      <c r="AB62" s="14">
        <f t="shared" si="19"/>
        <v>0.049323721029837675</v>
      </c>
      <c r="AC62" s="14">
        <f t="shared" si="12"/>
        <v>1.3104415882700056</v>
      </c>
    </row>
    <row r="63" spans="1:29" ht="12.75">
      <c r="A63" s="27" t="str">
        <f t="shared" si="13"/>
        <v>City of Idaho Falls - ID</v>
      </c>
      <c r="B63" s="190" t="s">
        <v>71</v>
      </c>
      <c r="C63" s="190" t="s">
        <v>19</v>
      </c>
      <c r="D63" s="208">
        <v>286419</v>
      </c>
      <c r="E63" s="208">
        <v>308917</v>
      </c>
      <c r="F63" s="208">
        <v>97547</v>
      </c>
      <c r="G63" s="208">
        <v>692883</v>
      </c>
      <c r="H63" s="13">
        <v>0.004330132125222302</v>
      </c>
      <c r="I63" s="14">
        <f aca="true" t="shared" si="20" ref="I63:Q72">$H63*I$33</f>
        <v>0.8660264250444604</v>
      </c>
      <c r="J63" s="14">
        <f t="shared" si="20"/>
        <v>0.9526290675489064</v>
      </c>
      <c r="K63" s="14">
        <f t="shared" si="20"/>
        <v>1.0392317100533524</v>
      </c>
      <c r="L63" s="14">
        <f t="shared" si="20"/>
        <v>1.1258343525577985</v>
      </c>
      <c r="M63" s="14">
        <f t="shared" si="20"/>
        <v>1.2124369950622444</v>
      </c>
      <c r="N63" s="14">
        <f t="shared" si="20"/>
        <v>1.2557383163144675</v>
      </c>
      <c r="O63" s="14">
        <f t="shared" si="20"/>
        <v>1.3856422800711365</v>
      </c>
      <c r="P63" s="14">
        <f t="shared" si="20"/>
        <v>1.4722449225755825</v>
      </c>
      <c r="Q63" s="14">
        <f t="shared" si="20"/>
        <v>1.5155462438278056</v>
      </c>
      <c r="R63" s="14">
        <f t="shared" si="15"/>
        <v>1.5588475650800286</v>
      </c>
      <c r="S63" s="14">
        <f t="shared" si="19"/>
        <v>1.5804982257061402</v>
      </c>
      <c r="T63" s="14">
        <f t="shared" si="19"/>
        <v>1.5804982257061402</v>
      </c>
      <c r="U63" s="14">
        <f t="shared" si="19"/>
        <v>1.5804982257061402</v>
      </c>
      <c r="V63" s="14">
        <f t="shared" si="19"/>
        <v>1.5588475650800286</v>
      </c>
      <c r="W63" s="14">
        <f t="shared" si="19"/>
        <v>1.3423409588189135</v>
      </c>
      <c r="X63" s="14">
        <f t="shared" si="19"/>
        <v>1.2124369950622444</v>
      </c>
      <c r="Y63" s="14">
        <f t="shared" si="19"/>
        <v>1.0825330313055754</v>
      </c>
      <c r="Z63" s="14">
        <f t="shared" si="19"/>
        <v>1.0392317100533524</v>
      </c>
      <c r="AA63" s="14">
        <f t="shared" si="19"/>
        <v>0.9959303888011294</v>
      </c>
      <c r="AB63" s="14">
        <f t="shared" si="19"/>
        <v>0.9526290675489064</v>
      </c>
      <c r="AC63" s="14">
        <f t="shared" si="12"/>
        <v>25.309622271924354</v>
      </c>
    </row>
    <row r="64" spans="1:29" ht="12.75">
      <c r="A64" s="27" t="str">
        <f t="shared" si="13"/>
        <v>City of McCleary - WA</v>
      </c>
      <c r="B64" s="190" t="s">
        <v>84</v>
      </c>
      <c r="C64" s="190" t="s">
        <v>14</v>
      </c>
      <c r="D64" s="208">
        <v>16770</v>
      </c>
      <c r="E64" s="208">
        <v>2260</v>
      </c>
      <c r="F64" s="208">
        <v>15500</v>
      </c>
      <c r="G64" s="208">
        <v>34530</v>
      </c>
      <c r="H64" s="13">
        <v>0.0002157932324561666</v>
      </c>
      <c r="I64" s="14">
        <f t="shared" si="20"/>
        <v>0.04315864649123332</v>
      </c>
      <c r="J64" s="14">
        <f t="shared" si="20"/>
        <v>0.047474511140356654</v>
      </c>
      <c r="K64" s="14">
        <f t="shared" si="20"/>
        <v>0.05179037578947999</v>
      </c>
      <c r="L64" s="14">
        <f t="shared" si="20"/>
        <v>0.056106240438603315</v>
      </c>
      <c r="M64" s="14">
        <f t="shared" si="20"/>
        <v>0.06042210508772665</v>
      </c>
      <c r="N64" s="14">
        <f t="shared" si="20"/>
        <v>0.06258003741228832</v>
      </c>
      <c r="O64" s="14">
        <f t="shared" si="20"/>
        <v>0.06905383438597332</v>
      </c>
      <c r="P64" s="14">
        <f t="shared" si="20"/>
        <v>0.07336969903509664</v>
      </c>
      <c r="Q64" s="14">
        <f t="shared" si="20"/>
        <v>0.07552763135965831</v>
      </c>
      <c r="R64" s="14">
        <f t="shared" si="15"/>
        <v>0.07768556368421997</v>
      </c>
      <c r="S64" s="14">
        <f t="shared" si="19"/>
        <v>0.07876452984650081</v>
      </c>
      <c r="T64" s="14">
        <f t="shared" si="19"/>
        <v>0.07876452984650081</v>
      </c>
      <c r="U64" s="14">
        <f t="shared" si="19"/>
        <v>0.07876452984650081</v>
      </c>
      <c r="V64" s="14">
        <f t="shared" si="19"/>
        <v>0.07768556368421997</v>
      </c>
      <c r="W64" s="14">
        <f t="shared" si="19"/>
        <v>0.06689590206141165</v>
      </c>
      <c r="X64" s="14">
        <f t="shared" si="19"/>
        <v>0.06042210508772665</v>
      </c>
      <c r="Y64" s="14">
        <f t="shared" si="19"/>
        <v>0.05394830811404165</v>
      </c>
      <c r="Z64" s="14">
        <f t="shared" si="19"/>
        <v>0.05179037578947999</v>
      </c>
      <c r="AA64" s="14">
        <f t="shared" si="19"/>
        <v>0.04963244346491832</v>
      </c>
      <c r="AB64" s="14">
        <f t="shared" si="19"/>
        <v>0.047474511140356654</v>
      </c>
      <c r="AC64" s="14">
        <f t="shared" si="12"/>
        <v>1.2613114437062938</v>
      </c>
    </row>
    <row r="65" spans="1:29" ht="12.75">
      <c r="A65" s="27" t="str">
        <f t="shared" si="13"/>
        <v>City of McMinnville - OR</v>
      </c>
      <c r="B65" s="190" t="s">
        <v>85</v>
      </c>
      <c r="C65" s="190" t="s">
        <v>22</v>
      </c>
      <c r="D65" s="208">
        <v>208004</v>
      </c>
      <c r="E65" s="208">
        <v>182786</v>
      </c>
      <c r="F65" s="208">
        <v>492693</v>
      </c>
      <c r="G65" s="208">
        <v>883483</v>
      </c>
      <c r="H65" s="13">
        <v>0.00552127577150511</v>
      </c>
      <c r="I65" s="14">
        <f t="shared" si="20"/>
        <v>1.104255154301022</v>
      </c>
      <c r="J65" s="14">
        <f t="shared" si="20"/>
        <v>1.214680669731124</v>
      </c>
      <c r="K65" s="14">
        <f t="shared" si="20"/>
        <v>1.3251061851612262</v>
      </c>
      <c r="L65" s="14">
        <f t="shared" si="20"/>
        <v>1.4355317005913286</v>
      </c>
      <c r="M65" s="14">
        <f t="shared" si="20"/>
        <v>1.5459572160214308</v>
      </c>
      <c r="N65" s="14">
        <f t="shared" si="20"/>
        <v>1.6011699737364817</v>
      </c>
      <c r="O65" s="14">
        <f t="shared" si="20"/>
        <v>1.766808246881635</v>
      </c>
      <c r="P65" s="14">
        <f t="shared" si="20"/>
        <v>1.8772337623117372</v>
      </c>
      <c r="Q65" s="14">
        <f t="shared" si="20"/>
        <v>1.9324465200267884</v>
      </c>
      <c r="R65" s="14">
        <f t="shared" si="15"/>
        <v>1.9876592777418396</v>
      </c>
      <c r="S65" s="14">
        <f t="shared" si="19"/>
        <v>2.015265656599365</v>
      </c>
      <c r="T65" s="14">
        <f t="shared" si="19"/>
        <v>2.015265656599365</v>
      </c>
      <c r="U65" s="14">
        <f t="shared" si="19"/>
        <v>2.015265656599365</v>
      </c>
      <c r="V65" s="14">
        <f t="shared" si="19"/>
        <v>1.9876592777418396</v>
      </c>
      <c r="W65" s="14">
        <f t="shared" si="19"/>
        <v>1.711595489166584</v>
      </c>
      <c r="X65" s="14">
        <f t="shared" si="19"/>
        <v>1.5459572160214308</v>
      </c>
      <c r="Y65" s="14">
        <f t="shared" si="19"/>
        <v>1.3803189428762774</v>
      </c>
      <c r="Z65" s="14">
        <f t="shared" si="19"/>
        <v>1.3251061851612262</v>
      </c>
      <c r="AA65" s="14">
        <f t="shared" si="19"/>
        <v>1.2698934274461753</v>
      </c>
      <c r="AB65" s="14">
        <f t="shared" si="19"/>
        <v>1.214680669731124</v>
      </c>
      <c r="AC65" s="14">
        <f t="shared" si="12"/>
        <v>32.27185688444737</v>
      </c>
    </row>
    <row r="66" spans="1:29" ht="12.75">
      <c r="A66" s="27" t="str">
        <f t="shared" si="13"/>
        <v>City of Milton - WA</v>
      </c>
      <c r="B66" s="190" t="s">
        <v>89</v>
      </c>
      <c r="C66" s="190" t="s">
        <v>14</v>
      </c>
      <c r="D66" s="208">
        <v>38321</v>
      </c>
      <c r="E66" s="208">
        <v>21785</v>
      </c>
      <c r="F66" s="208">
        <v>0</v>
      </c>
      <c r="G66" s="208">
        <v>60106</v>
      </c>
      <c r="H66" s="13">
        <v>0.0003756289611934651</v>
      </c>
      <c r="I66" s="14">
        <f t="shared" si="20"/>
        <v>0.07512579223869302</v>
      </c>
      <c r="J66" s="14">
        <f t="shared" si="20"/>
        <v>0.08263837146256231</v>
      </c>
      <c r="K66" s="14">
        <f t="shared" si="20"/>
        <v>0.09015095068643161</v>
      </c>
      <c r="L66" s="14">
        <f t="shared" si="20"/>
        <v>0.09766352991030092</v>
      </c>
      <c r="M66" s="14">
        <f t="shared" si="20"/>
        <v>0.10517610913417022</v>
      </c>
      <c r="N66" s="14">
        <f t="shared" si="20"/>
        <v>0.10893239874610487</v>
      </c>
      <c r="O66" s="14">
        <f t="shared" si="20"/>
        <v>0.12020126758190883</v>
      </c>
      <c r="P66" s="14">
        <f t="shared" si="20"/>
        <v>0.12771384680577813</v>
      </c>
      <c r="Q66" s="14">
        <f t="shared" si="20"/>
        <v>0.13147013641771277</v>
      </c>
      <c r="R66" s="14">
        <f t="shared" si="15"/>
        <v>0.13522642602964743</v>
      </c>
      <c r="S66" s="14">
        <f t="shared" si="19"/>
        <v>0.13710457083561475</v>
      </c>
      <c r="T66" s="14">
        <f t="shared" si="19"/>
        <v>0.13710457083561475</v>
      </c>
      <c r="U66" s="14">
        <f t="shared" si="19"/>
        <v>0.13710457083561475</v>
      </c>
      <c r="V66" s="14">
        <f t="shared" si="19"/>
        <v>0.13522642602964743</v>
      </c>
      <c r="W66" s="14">
        <f t="shared" si="19"/>
        <v>0.11644497796997418</v>
      </c>
      <c r="X66" s="14">
        <f t="shared" si="19"/>
        <v>0.10517610913417022</v>
      </c>
      <c r="Y66" s="14">
        <f t="shared" si="19"/>
        <v>0.09390724029836627</v>
      </c>
      <c r="Z66" s="14">
        <f t="shared" si="19"/>
        <v>0.09015095068643161</v>
      </c>
      <c r="AA66" s="14">
        <f t="shared" si="19"/>
        <v>0.08639466107449696</v>
      </c>
      <c r="AB66" s="14">
        <f t="shared" si="19"/>
        <v>0.08263837146256231</v>
      </c>
      <c r="AC66" s="14">
        <f aca="true" t="shared" si="21" ref="AC66:AC97">$H66*AC$33</f>
        <v>2.1955512781758033</v>
      </c>
    </row>
    <row r="67" spans="1:29" ht="12.75">
      <c r="A67" s="27" t="str">
        <f t="shared" si="13"/>
        <v>City of Milton-Freewater - OR</v>
      </c>
      <c r="B67" s="190" t="s">
        <v>88</v>
      </c>
      <c r="C67" s="190" t="s">
        <v>22</v>
      </c>
      <c r="D67" s="208">
        <v>64217</v>
      </c>
      <c r="E67" s="208">
        <v>16107</v>
      </c>
      <c r="F67" s="208">
        <v>30612</v>
      </c>
      <c r="G67" s="208">
        <v>110936</v>
      </c>
      <c r="H67" s="13">
        <v>0.0006932880983422328</v>
      </c>
      <c r="I67" s="14">
        <f t="shared" si="20"/>
        <v>0.13865761966844656</v>
      </c>
      <c r="J67" s="14">
        <f t="shared" si="20"/>
        <v>0.15252338163529122</v>
      </c>
      <c r="K67" s="14">
        <f t="shared" si="20"/>
        <v>0.16638914360213589</v>
      </c>
      <c r="L67" s="14">
        <f t="shared" si="20"/>
        <v>0.18025490556898052</v>
      </c>
      <c r="M67" s="14">
        <f t="shared" si="20"/>
        <v>0.1941206675358252</v>
      </c>
      <c r="N67" s="14">
        <f t="shared" si="20"/>
        <v>0.2010535485192475</v>
      </c>
      <c r="O67" s="14">
        <f t="shared" si="20"/>
        <v>0.22185219146951451</v>
      </c>
      <c r="P67" s="14">
        <f t="shared" si="20"/>
        <v>0.23571795343635915</v>
      </c>
      <c r="Q67" s="14">
        <f t="shared" si="20"/>
        <v>0.2426508344197815</v>
      </c>
      <c r="R67" s="14">
        <f aca="true" t="shared" si="22" ref="R67:R96">$H67*R$33</f>
        <v>0.24958371540320382</v>
      </c>
      <c r="S67" s="14">
        <f>$H67*S$33</f>
        <v>0.253050155894915</v>
      </c>
      <c r="T67" s="14">
        <f aca="true" t="shared" si="23" ref="S67:AB92">$H67*T$33</f>
        <v>0.253050155894915</v>
      </c>
      <c r="U67" s="14">
        <f t="shared" si="23"/>
        <v>0.253050155894915</v>
      </c>
      <c r="V67" s="14">
        <f t="shared" si="23"/>
        <v>0.24958371540320382</v>
      </c>
      <c r="W67" s="14">
        <f t="shared" si="23"/>
        <v>0.21491931048609217</v>
      </c>
      <c r="X67" s="14">
        <f t="shared" si="23"/>
        <v>0.1941206675358252</v>
      </c>
      <c r="Y67" s="14">
        <f t="shared" si="23"/>
        <v>0.1733220245855582</v>
      </c>
      <c r="Z67" s="14">
        <f t="shared" si="23"/>
        <v>0.16638914360213589</v>
      </c>
      <c r="AA67" s="14">
        <f t="shared" si="23"/>
        <v>0.15945626261871354</v>
      </c>
      <c r="AB67" s="14">
        <f t="shared" si="23"/>
        <v>0.15252338163529122</v>
      </c>
      <c r="AC67" s="14">
        <f t="shared" si="21"/>
        <v>4.052268934810351</v>
      </c>
    </row>
    <row r="68" spans="1:29" ht="12.75">
      <c r="A68" s="27" t="str">
        <f t="shared" si="13"/>
        <v>City of Minidoka - ID</v>
      </c>
      <c r="B68" s="190" t="s">
        <v>87</v>
      </c>
      <c r="C68" s="190" t="s">
        <v>19</v>
      </c>
      <c r="D68" s="208">
        <v>622</v>
      </c>
      <c r="E68" s="208">
        <v>70</v>
      </c>
      <c r="F68" s="208">
        <v>0</v>
      </c>
      <c r="G68" s="208">
        <v>692</v>
      </c>
      <c r="H68" s="13">
        <v>4.324613867931285E-06</v>
      </c>
      <c r="I68" s="14">
        <f t="shared" si="20"/>
        <v>0.0008649227735862571</v>
      </c>
      <c r="J68" s="14">
        <f t="shared" si="20"/>
        <v>0.0009514150509448828</v>
      </c>
      <c r="K68" s="14">
        <f t="shared" si="20"/>
        <v>0.0010379073283035085</v>
      </c>
      <c r="L68" s="14">
        <f t="shared" si="20"/>
        <v>0.0011243996056621343</v>
      </c>
      <c r="M68" s="14">
        <f t="shared" si="20"/>
        <v>0.0012108918830207598</v>
      </c>
      <c r="N68" s="14">
        <f t="shared" si="20"/>
        <v>0.0012541380217000726</v>
      </c>
      <c r="O68" s="14">
        <f t="shared" si="20"/>
        <v>0.0013838764377380112</v>
      </c>
      <c r="P68" s="14">
        <f t="shared" si="20"/>
        <v>0.001470368715096637</v>
      </c>
      <c r="Q68" s="14">
        <f t="shared" si="20"/>
        <v>0.0015136148537759498</v>
      </c>
      <c r="R68" s="14">
        <f t="shared" si="22"/>
        <v>0.0015568609924552627</v>
      </c>
      <c r="S68" s="14">
        <f t="shared" si="23"/>
        <v>0.0015784840617949192</v>
      </c>
      <c r="T68" s="14">
        <f t="shared" si="23"/>
        <v>0.0015784840617949192</v>
      </c>
      <c r="U68" s="14">
        <f t="shared" si="23"/>
        <v>0.0015784840617949192</v>
      </c>
      <c r="V68" s="14">
        <f t="shared" si="23"/>
        <v>0.0015568609924552627</v>
      </c>
      <c r="W68" s="14">
        <f t="shared" si="23"/>
        <v>0.0013406302990586984</v>
      </c>
      <c r="X68" s="14">
        <f t="shared" si="23"/>
        <v>0.0012108918830207598</v>
      </c>
      <c r="Y68" s="14">
        <f t="shared" si="23"/>
        <v>0.0010811534669828214</v>
      </c>
      <c r="Z68" s="14">
        <f t="shared" si="23"/>
        <v>0.0010379073283035085</v>
      </c>
      <c r="AA68" s="14">
        <f t="shared" si="23"/>
        <v>0.0009946611896241957</v>
      </c>
      <c r="AB68" s="14">
        <f t="shared" si="23"/>
        <v>0.0009514150509448828</v>
      </c>
      <c r="AC68" s="14">
        <f t="shared" si="21"/>
        <v>0.02527736805805836</v>
      </c>
    </row>
    <row r="69" spans="1:29" ht="12.75">
      <c r="A69" s="27" t="str">
        <f t="shared" si="13"/>
        <v>City of Monmouth - OR</v>
      </c>
      <c r="B69" s="190" t="s">
        <v>92</v>
      </c>
      <c r="C69" s="190" t="s">
        <v>22</v>
      </c>
      <c r="D69" s="208">
        <v>43965</v>
      </c>
      <c r="E69" s="208">
        <v>2900</v>
      </c>
      <c r="F69" s="208">
        <v>21167</v>
      </c>
      <c r="G69" s="208">
        <v>68032</v>
      </c>
      <c r="H69" s="13">
        <v>0.00042516203853049307</v>
      </c>
      <c r="I69" s="14">
        <f t="shared" si="20"/>
        <v>0.08503240770609861</v>
      </c>
      <c r="J69" s="14">
        <f t="shared" si="20"/>
        <v>0.09353564847670848</v>
      </c>
      <c r="K69" s="14">
        <f t="shared" si="20"/>
        <v>0.10203888924731834</v>
      </c>
      <c r="L69" s="14">
        <f t="shared" si="20"/>
        <v>0.1105421300179282</v>
      </c>
      <c r="M69" s="14">
        <f t="shared" si="20"/>
        <v>0.11904537078853805</v>
      </c>
      <c r="N69" s="14">
        <f t="shared" si="20"/>
        <v>0.12329699117384299</v>
      </c>
      <c r="O69" s="14">
        <f t="shared" si="20"/>
        <v>0.13605185232975778</v>
      </c>
      <c r="P69" s="14">
        <f t="shared" si="20"/>
        <v>0.14455509310036765</v>
      </c>
      <c r="Q69" s="14">
        <f t="shared" si="20"/>
        <v>0.14880671348567256</v>
      </c>
      <c r="R69" s="14">
        <f t="shared" si="22"/>
        <v>0.1530583338709775</v>
      </c>
      <c r="S69" s="14">
        <f t="shared" si="23"/>
        <v>0.15518414406362996</v>
      </c>
      <c r="T69" s="14">
        <f t="shared" si="23"/>
        <v>0.15518414406362996</v>
      </c>
      <c r="U69" s="14">
        <f t="shared" si="23"/>
        <v>0.15518414406362996</v>
      </c>
      <c r="V69" s="14">
        <f t="shared" si="23"/>
        <v>0.1530583338709775</v>
      </c>
      <c r="W69" s="14">
        <f t="shared" si="23"/>
        <v>0.13180023194445284</v>
      </c>
      <c r="X69" s="14">
        <f t="shared" si="23"/>
        <v>0.11904537078853805</v>
      </c>
      <c r="Y69" s="14">
        <f t="shared" si="23"/>
        <v>0.10629050963262326</v>
      </c>
      <c r="Z69" s="14">
        <f t="shared" si="23"/>
        <v>0.10203888924731834</v>
      </c>
      <c r="AA69" s="14">
        <f t="shared" si="23"/>
        <v>0.0977872688620134</v>
      </c>
      <c r="AB69" s="14">
        <f t="shared" si="23"/>
        <v>0.09353564847670848</v>
      </c>
      <c r="AC69" s="14">
        <f t="shared" si="21"/>
        <v>2.485072115210732</v>
      </c>
    </row>
    <row r="70" spans="1:29" ht="12.75">
      <c r="A70" s="27" t="str">
        <f t="shared" si="13"/>
        <v>City of Plummer - ID</v>
      </c>
      <c r="B70" s="190" t="s">
        <v>111</v>
      </c>
      <c r="C70" s="190" t="s">
        <v>19</v>
      </c>
      <c r="D70" s="208">
        <v>9453</v>
      </c>
      <c r="E70" s="208">
        <v>7541</v>
      </c>
      <c r="F70" s="208">
        <v>14297</v>
      </c>
      <c r="G70" s="208">
        <v>31291</v>
      </c>
      <c r="H70" s="13">
        <v>0.00019555128979976567</v>
      </c>
      <c r="I70" s="14">
        <f t="shared" si="20"/>
        <v>0.03911025795995313</v>
      </c>
      <c r="J70" s="14">
        <f t="shared" si="20"/>
        <v>0.04302128375594845</v>
      </c>
      <c r="K70" s="14">
        <f t="shared" si="20"/>
        <v>0.04693230955194376</v>
      </c>
      <c r="L70" s="14">
        <f t="shared" si="20"/>
        <v>0.05084333534793908</v>
      </c>
      <c r="M70" s="14">
        <f t="shared" si="20"/>
        <v>0.05475436114393439</v>
      </c>
      <c r="N70" s="14">
        <f t="shared" si="20"/>
        <v>0.05670987404193204</v>
      </c>
      <c r="O70" s="14">
        <f t="shared" si="20"/>
        <v>0.06257641273592501</v>
      </c>
      <c r="P70" s="14">
        <f t="shared" si="20"/>
        <v>0.06648743853192032</v>
      </c>
      <c r="Q70" s="14">
        <f t="shared" si="20"/>
        <v>0.06844295142991799</v>
      </c>
      <c r="R70" s="14">
        <f t="shared" si="22"/>
        <v>0.07039846432791565</v>
      </c>
      <c r="S70" s="14">
        <f t="shared" si="23"/>
        <v>0.07137622077691447</v>
      </c>
      <c r="T70" s="14">
        <f t="shared" si="23"/>
        <v>0.07137622077691447</v>
      </c>
      <c r="U70" s="14">
        <f t="shared" si="23"/>
        <v>0.07137622077691447</v>
      </c>
      <c r="V70" s="14">
        <f t="shared" si="23"/>
        <v>0.07039846432791565</v>
      </c>
      <c r="W70" s="14">
        <f t="shared" si="23"/>
        <v>0.06062089983792736</v>
      </c>
      <c r="X70" s="14">
        <f t="shared" si="23"/>
        <v>0.05475436114393439</v>
      </c>
      <c r="Y70" s="14">
        <f t="shared" si="23"/>
        <v>0.048887822449941415</v>
      </c>
      <c r="Z70" s="14">
        <f t="shared" si="23"/>
        <v>0.04693230955194376</v>
      </c>
      <c r="AA70" s="14">
        <f t="shared" si="23"/>
        <v>0.044976796653946105</v>
      </c>
      <c r="AB70" s="14">
        <f t="shared" si="23"/>
        <v>0.04302128375594845</v>
      </c>
      <c r="AC70" s="14">
        <f t="shared" si="21"/>
        <v>1.1429972888796303</v>
      </c>
    </row>
    <row r="71" spans="1:29" ht="12.75">
      <c r="A71" s="27" t="str">
        <f t="shared" si="13"/>
        <v>City of Port Angeles - WA</v>
      </c>
      <c r="B71" s="190" t="s">
        <v>109</v>
      </c>
      <c r="C71" s="190" t="s">
        <v>14</v>
      </c>
      <c r="D71" s="208">
        <v>134372</v>
      </c>
      <c r="E71" s="208">
        <v>106907</v>
      </c>
      <c r="F71" s="208">
        <v>457190</v>
      </c>
      <c r="G71" s="208">
        <v>698469</v>
      </c>
      <c r="H71" s="13">
        <v>0.004365041508266036</v>
      </c>
      <c r="I71" s="14">
        <f t="shared" si="20"/>
        <v>0.8730083016532072</v>
      </c>
      <c r="J71" s="14">
        <f t="shared" si="20"/>
        <v>0.960309131818528</v>
      </c>
      <c r="K71" s="14">
        <f t="shared" si="20"/>
        <v>1.0476099619838486</v>
      </c>
      <c r="L71" s="14">
        <f t="shared" si="20"/>
        <v>1.1349107921491695</v>
      </c>
      <c r="M71" s="14">
        <f t="shared" si="20"/>
        <v>1.22221162231449</v>
      </c>
      <c r="N71" s="14">
        <f t="shared" si="20"/>
        <v>1.2658620373971505</v>
      </c>
      <c r="O71" s="14">
        <f t="shared" si="20"/>
        <v>1.3968132826451316</v>
      </c>
      <c r="P71" s="14">
        <f t="shared" si="20"/>
        <v>1.4841141128104522</v>
      </c>
      <c r="Q71" s="14">
        <f t="shared" si="20"/>
        <v>1.5277645278931127</v>
      </c>
      <c r="R71" s="14">
        <f t="shared" si="22"/>
        <v>1.5714149429757729</v>
      </c>
      <c r="S71" s="14">
        <f t="shared" si="23"/>
        <v>1.5932401505171032</v>
      </c>
      <c r="T71" s="14">
        <f t="shared" si="23"/>
        <v>1.5932401505171032</v>
      </c>
      <c r="U71" s="14">
        <f t="shared" si="23"/>
        <v>1.5932401505171032</v>
      </c>
      <c r="V71" s="14">
        <f t="shared" si="23"/>
        <v>1.5714149429757729</v>
      </c>
      <c r="W71" s="14">
        <f t="shared" si="23"/>
        <v>1.3531628675624712</v>
      </c>
      <c r="X71" s="14">
        <f t="shared" si="23"/>
        <v>1.22221162231449</v>
      </c>
      <c r="Y71" s="14">
        <f t="shared" si="23"/>
        <v>1.091260377066509</v>
      </c>
      <c r="Z71" s="14">
        <f t="shared" si="23"/>
        <v>1.0476099619838486</v>
      </c>
      <c r="AA71" s="14">
        <f t="shared" si="23"/>
        <v>1.0039595469011884</v>
      </c>
      <c r="AB71" s="14">
        <f t="shared" si="23"/>
        <v>0.960309131818528</v>
      </c>
      <c r="AC71" s="14">
        <f t="shared" si="21"/>
        <v>25.51366761581498</v>
      </c>
    </row>
    <row r="72" spans="1:29" ht="12.75">
      <c r="A72" s="27" t="str">
        <f t="shared" si="13"/>
        <v>City of Richland - WA</v>
      </c>
      <c r="B72" s="190" t="s">
        <v>114</v>
      </c>
      <c r="C72" s="190" t="s">
        <v>14</v>
      </c>
      <c r="D72" s="208">
        <v>316271</v>
      </c>
      <c r="E72" s="208">
        <v>330099</v>
      </c>
      <c r="F72" s="208">
        <v>155927</v>
      </c>
      <c r="G72" s="208">
        <v>802297</v>
      </c>
      <c r="H72" s="13">
        <v>0.005013908572831888</v>
      </c>
      <c r="I72" s="14">
        <f t="shared" si="20"/>
        <v>1.0027817145663775</v>
      </c>
      <c r="J72" s="14">
        <f t="shared" si="20"/>
        <v>1.1030598860230154</v>
      </c>
      <c r="K72" s="14">
        <f t="shared" si="20"/>
        <v>1.203338057479653</v>
      </c>
      <c r="L72" s="14">
        <f t="shared" si="20"/>
        <v>1.303616228936291</v>
      </c>
      <c r="M72" s="14">
        <f t="shared" si="20"/>
        <v>1.4038944003929286</v>
      </c>
      <c r="N72" s="14">
        <f t="shared" si="20"/>
        <v>1.4540334861212474</v>
      </c>
      <c r="O72" s="14">
        <f t="shared" si="20"/>
        <v>1.604450743306204</v>
      </c>
      <c r="P72" s="14">
        <f t="shared" si="20"/>
        <v>1.704728914762842</v>
      </c>
      <c r="Q72" s="14">
        <f t="shared" si="20"/>
        <v>1.7548680004911608</v>
      </c>
      <c r="R72" s="14">
        <f t="shared" si="22"/>
        <v>1.8050070862194796</v>
      </c>
      <c r="S72" s="14">
        <f t="shared" si="23"/>
        <v>1.830076629083639</v>
      </c>
      <c r="T72" s="14">
        <f t="shared" si="23"/>
        <v>1.830076629083639</v>
      </c>
      <c r="U72" s="14">
        <f t="shared" si="23"/>
        <v>1.830076629083639</v>
      </c>
      <c r="V72" s="14">
        <f t="shared" si="23"/>
        <v>1.8050070862194796</v>
      </c>
      <c r="W72" s="14">
        <f t="shared" si="23"/>
        <v>1.5543116575778853</v>
      </c>
      <c r="X72" s="14">
        <f t="shared" si="23"/>
        <v>1.4038944003929286</v>
      </c>
      <c r="Y72" s="14">
        <f t="shared" si="23"/>
        <v>1.2534771432079719</v>
      </c>
      <c r="Z72" s="14">
        <f t="shared" si="23"/>
        <v>1.203338057479653</v>
      </c>
      <c r="AA72" s="14">
        <f t="shared" si="23"/>
        <v>1.1531989717513342</v>
      </c>
      <c r="AB72" s="14">
        <f t="shared" si="23"/>
        <v>1.1030598860230154</v>
      </c>
      <c r="AC72" s="14">
        <f t="shared" si="21"/>
        <v>29.306295608202383</v>
      </c>
    </row>
    <row r="73" spans="1:29" ht="12.75">
      <c r="A73" s="27" t="str">
        <f t="shared" si="13"/>
        <v>City of Rupert - ID</v>
      </c>
      <c r="B73" s="190" t="s">
        <v>115</v>
      </c>
      <c r="C73" s="190" t="s">
        <v>19</v>
      </c>
      <c r="D73" s="208">
        <v>37062</v>
      </c>
      <c r="E73" s="208">
        <v>26734</v>
      </c>
      <c r="F73" s="208">
        <v>5284</v>
      </c>
      <c r="G73" s="208">
        <v>69080</v>
      </c>
      <c r="H73" s="13">
        <v>0.00043171145375244684</v>
      </c>
      <c r="I73" s="14">
        <f aca="true" t="shared" si="24" ref="I73:Q82">$H73*I$33</f>
        <v>0.08634229075048937</v>
      </c>
      <c r="J73" s="14">
        <f t="shared" si="24"/>
        <v>0.0949765198255383</v>
      </c>
      <c r="K73" s="14">
        <f t="shared" si="24"/>
        <v>0.10361074890058725</v>
      </c>
      <c r="L73" s="14">
        <f t="shared" si="24"/>
        <v>0.11224497797563618</v>
      </c>
      <c r="M73" s="14">
        <f t="shared" si="24"/>
        <v>0.12087920705068511</v>
      </c>
      <c r="N73" s="14">
        <f t="shared" si="24"/>
        <v>0.1251963215882096</v>
      </c>
      <c r="O73" s="14">
        <f t="shared" si="24"/>
        <v>0.13814766520078298</v>
      </c>
      <c r="P73" s="14">
        <f t="shared" si="24"/>
        <v>0.14678189427583194</v>
      </c>
      <c r="Q73" s="14">
        <f t="shared" si="24"/>
        <v>0.1510990088133564</v>
      </c>
      <c r="R73" s="14">
        <f t="shared" si="22"/>
        <v>0.15541612335088087</v>
      </c>
      <c r="S73" s="14">
        <f t="shared" si="23"/>
        <v>0.1575746806196431</v>
      </c>
      <c r="T73" s="14">
        <f t="shared" si="23"/>
        <v>0.1575746806196431</v>
      </c>
      <c r="U73" s="14">
        <f t="shared" si="23"/>
        <v>0.1575746806196431</v>
      </c>
      <c r="V73" s="14">
        <f t="shared" si="23"/>
        <v>0.15541612335088087</v>
      </c>
      <c r="W73" s="14">
        <f t="shared" si="23"/>
        <v>0.13383055066325852</v>
      </c>
      <c r="X73" s="14">
        <f t="shared" si="23"/>
        <v>0.12087920705068511</v>
      </c>
      <c r="Y73" s="14">
        <f t="shared" si="23"/>
        <v>0.10792786343811171</v>
      </c>
      <c r="Z73" s="14">
        <f t="shared" si="23"/>
        <v>0.10361074890058725</v>
      </c>
      <c r="AA73" s="14">
        <f t="shared" si="23"/>
        <v>0.09929363436306278</v>
      </c>
      <c r="AB73" s="14">
        <f t="shared" si="23"/>
        <v>0.0949765198255383</v>
      </c>
      <c r="AC73" s="14">
        <f t="shared" si="21"/>
        <v>2.5233534471830517</v>
      </c>
    </row>
    <row r="74" spans="1:29" ht="12.75">
      <c r="A74" s="27" t="str">
        <f t="shared" si="13"/>
        <v>City of Salem - OR</v>
      </c>
      <c r="B74" s="190" t="s">
        <v>117</v>
      </c>
      <c r="C74" s="190" t="s">
        <v>22</v>
      </c>
      <c r="D74" s="208">
        <v>187344</v>
      </c>
      <c r="E74" s="208">
        <v>110119</v>
      </c>
      <c r="F74" s="208">
        <v>29313</v>
      </c>
      <c r="G74" s="208">
        <v>326776</v>
      </c>
      <c r="H74" s="13">
        <v>0.0020421676608484303</v>
      </c>
      <c r="I74" s="14">
        <f t="shared" si="24"/>
        <v>0.4084335321696861</v>
      </c>
      <c r="J74" s="14">
        <f t="shared" si="24"/>
        <v>0.44927688538665467</v>
      </c>
      <c r="K74" s="14">
        <f t="shared" si="24"/>
        <v>0.4901202386036233</v>
      </c>
      <c r="L74" s="14">
        <f t="shared" si="24"/>
        <v>0.5309635918205919</v>
      </c>
      <c r="M74" s="14">
        <f t="shared" si="24"/>
        <v>0.5718069450375605</v>
      </c>
      <c r="N74" s="14">
        <f t="shared" si="24"/>
        <v>0.5922286216460448</v>
      </c>
      <c r="O74" s="14">
        <f t="shared" si="24"/>
        <v>0.6534936514714977</v>
      </c>
      <c r="P74" s="14">
        <f t="shared" si="24"/>
        <v>0.6943370046884663</v>
      </c>
      <c r="Q74" s="14">
        <f t="shared" si="24"/>
        <v>0.7147586812969506</v>
      </c>
      <c r="R74" s="14">
        <f t="shared" si="22"/>
        <v>0.7351803579054349</v>
      </c>
      <c r="S74" s="14">
        <f t="shared" si="23"/>
        <v>0.7453911962096771</v>
      </c>
      <c r="T74" s="14">
        <f t="shared" si="23"/>
        <v>0.7453911962096771</v>
      </c>
      <c r="U74" s="14">
        <f t="shared" si="23"/>
        <v>0.7453911962096771</v>
      </c>
      <c r="V74" s="14">
        <f t="shared" si="23"/>
        <v>0.7351803579054349</v>
      </c>
      <c r="W74" s="14">
        <f t="shared" si="23"/>
        <v>0.6330719748630134</v>
      </c>
      <c r="X74" s="14">
        <f t="shared" si="23"/>
        <v>0.5718069450375605</v>
      </c>
      <c r="Y74" s="14">
        <f t="shared" si="23"/>
        <v>0.5105419152121076</v>
      </c>
      <c r="Z74" s="14">
        <f t="shared" si="23"/>
        <v>0.4901202386036233</v>
      </c>
      <c r="AA74" s="14">
        <f t="shared" si="23"/>
        <v>0.469698561995139</v>
      </c>
      <c r="AB74" s="14">
        <f t="shared" si="23"/>
        <v>0.44927688538665467</v>
      </c>
      <c r="AC74" s="14">
        <f t="shared" si="21"/>
        <v>11.936469977659076</v>
      </c>
    </row>
    <row r="75" spans="1:29" ht="12.75">
      <c r="A75" s="27" t="str">
        <f t="shared" si="13"/>
        <v>City of Seattle - WA</v>
      </c>
      <c r="B75" s="190" t="s">
        <v>119</v>
      </c>
      <c r="C75" s="190" t="s">
        <v>14</v>
      </c>
      <c r="D75" s="208">
        <v>3102218</v>
      </c>
      <c r="E75" s="208">
        <v>5247690</v>
      </c>
      <c r="F75" s="208">
        <v>1249367</v>
      </c>
      <c r="G75" s="208">
        <v>9599275</v>
      </c>
      <c r="H75" s="13">
        <v>0.059990112409083945</v>
      </c>
      <c r="I75" s="14">
        <f t="shared" si="24"/>
        <v>11.99802248181679</v>
      </c>
      <c r="J75" s="14">
        <f t="shared" si="24"/>
        <v>13.197824729998468</v>
      </c>
      <c r="K75" s="14">
        <f t="shared" si="24"/>
        <v>14.397626978180147</v>
      </c>
      <c r="L75" s="14">
        <f t="shared" si="24"/>
        <v>15.597429226361825</v>
      </c>
      <c r="M75" s="14">
        <f t="shared" si="24"/>
        <v>16.797231474543505</v>
      </c>
      <c r="N75" s="14">
        <f t="shared" si="24"/>
        <v>17.397132598634343</v>
      </c>
      <c r="O75" s="14">
        <f t="shared" si="24"/>
        <v>19.19683597090686</v>
      </c>
      <c r="P75" s="14">
        <f t="shared" si="24"/>
        <v>20.39663821908854</v>
      </c>
      <c r="Q75" s="14">
        <f t="shared" si="24"/>
        <v>20.996539343179382</v>
      </c>
      <c r="R75" s="14">
        <f t="shared" si="22"/>
        <v>21.59644046727022</v>
      </c>
      <c r="S75" s="14">
        <f t="shared" si="23"/>
        <v>21.89639102931564</v>
      </c>
      <c r="T75" s="14">
        <f t="shared" si="23"/>
        <v>21.89639102931564</v>
      </c>
      <c r="U75" s="14">
        <f t="shared" si="23"/>
        <v>21.89639102931564</v>
      </c>
      <c r="V75" s="14">
        <f t="shared" si="23"/>
        <v>21.59644046727022</v>
      </c>
      <c r="W75" s="14">
        <f t="shared" si="23"/>
        <v>18.596934846816023</v>
      </c>
      <c r="X75" s="14">
        <f t="shared" si="23"/>
        <v>16.797231474543505</v>
      </c>
      <c r="Y75" s="14">
        <f t="shared" si="23"/>
        <v>14.997528102270987</v>
      </c>
      <c r="Z75" s="14">
        <f t="shared" si="23"/>
        <v>14.397626978180147</v>
      </c>
      <c r="AA75" s="14">
        <f t="shared" si="23"/>
        <v>13.797725854089308</v>
      </c>
      <c r="AB75" s="14">
        <f t="shared" si="23"/>
        <v>13.197824729998468</v>
      </c>
      <c r="AC75" s="14">
        <f t="shared" si="21"/>
        <v>350.64220703109567</v>
      </c>
    </row>
    <row r="76" spans="1:29" ht="12.75">
      <c r="A76" s="27" t="str">
        <f t="shared" si="13"/>
        <v>City of Soda Springs - ID</v>
      </c>
      <c r="B76" s="190" t="s">
        <v>122</v>
      </c>
      <c r="C76" s="190" t="s">
        <v>19</v>
      </c>
      <c r="D76" s="208">
        <v>12317</v>
      </c>
      <c r="E76" s="208">
        <v>11343</v>
      </c>
      <c r="F76" s="208">
        <v>243</v>
      </c>
      <c r="G76" s="208">
        <v>23903</v>
      </c>
      <c r="H76" s="13">
        <v>0.0001493804122617941</v>
      </c>
      <c r="I76" s="14">
        <f t="shared" si="24"/>
        <v>0.029876082452358822</v>
      </c>
      <c r="J76" s="14">
        <f t="shared" si="24"/>
        <v>0.032863690697594705</v>
      </c>
      <c r="K76" s="14">
        <f t="shared" si="24"/>
        <v>0.03585129894283058</v>
      </c>
      <c r="L76" s="14">
        <f t="shared" si="24"/>
        <v>0.038838907188066464</v>
      </c>
      <c r="M76" s="14">
        <f t="shared" si="24"/>
        <v>0.04182651543330235</v>
      </c>
      <c r="N76" s="14">
        <f t="shared" si="24"/>
        <v>0.04332031955592029</v>
      </c>
      <c r="O76" s="14">
        <f t="shared" si="24"/>
        <v>0.04780173192377411</v>
      </c>
      <c r="P76" s="14">
        <f t="shared" si="24"/>
        <v>0.050789340169009996</v>
      </c>
      <c r="Q76" s="14">
        <f t="shared" si="24"/>
        <v>0.052283144291627934</v>
      </c>
      <c r="R76" s="14">
        <f t="shared" si="22"/>
        <v>0.05377694841424588</v>
      </c>
      <c r="S76" s="14">
        <f t="shared" si="23"/>
        <v>0.054523850475554844</v>
      </c>
      <c r="T76" s="14">
        <f t="shared" si="23"/>
        <v>0.054523850475554844</v>
      </c>
      <c r="U76" s="14">
        <f t="shared" si="23"/>
        <v>0.054523850475554844</v>
      </c>
      <c r="V76" s="14">
        <f t="shared" si="23"/>
        <v>0.05377694841424588</v>
      </c>
      <c r="W76" s="14">
        <f t="shared" si="23"/>
        <v>0.046307927801156175</v>
      </c>
      <c r="X76" s="14">
        <f t="shared" si="23"/>
        <v>0.04182651543330235</v>
      </c>
      <c r="Y76" s="14">
        <f t="shared" si="23"/>
        <v>0.037345103065448526</v>
      </c>
      <c r="Z76" s="14">
        <f t="shared" si="23"/>
        <v>0.03585129894283058</v>
      </c>
      <c r="AA76" s="14">
        <f t="shared" si="23"/>
        <v>0.03435749482021264</v>
      </c>
      <c r="AB76" s="14">
        <f t="shared" si="23"/>
        <v>0.032863690697594705</v>
      </c>
      <c r="AC76" s="14">
        <f t="shared" si="21"/>
        <v>0.8731285096701865</v>
      </c>
    </row>
    <row r="77" spans="1:29" ht="12.75">
      <c r="A77" s="27" t="str">
        <f t="shared" si="13"/>
        <v>City of Springfield - OR</v>
      </c>
      <c r="B77" s="190" t="s">
        <v>124</v>
      </c>
      <c r="C77" s="190" t="s">
        <v>22</v>
      </c>
      <c r="D77" s="208">
        <v>396629</v>
      </c>
      <c r="E77" s="208">
        <v>250027</v>
      </c>
      <c r="F77" s="208">
        <v>158612</v>
      </c>
      <c r="G77" s="208">
        <v>805268</v>
      </c>
      <c r="H77" s="13">
        <v>0.005032475665030766</v>
      </c>
      <c r="I77" s="14">
        <f t="shared" si="24"/>
        <v>1.0064951330061533</v>
      </c>
      <c r="J77" s="14">
        <f t="shared" si="24"/>
        <v>1.1071446463067687</v>
      </c>
      <c r="K77" s="14">
        <f t="shared" si="24"/>
        <v>1.207794159607384</v>
      </c>
      <c r="L77" s="14">
        <f t="shared" si="24"/>
        <v>1.3084436729079993</v>
      </c>
      <c r="M77" s="14">
        <f t="shared" si="24"/>
        <v>1.4090931862086147</v>
      </c>
      <c r="N77" s="14">
        <f t="shared" si="24"/>
        <v>1.4594179428589222</v>
      </c>
      <c r="O77" s="14">
        <f t="shared" si="24"/>
        <v>1.6103922128098453</v>
      </c>
      <c r="P77" s="14">
        <f t="shared" si="24"/>
        <v>1.7110417261104605</v>
      </c>
      <c r="Q77" s="14">
        <f t="shared" si="24"/>
        <v>1.7613664827607682</v>
      </c>
      <c r="R77" s="14">
        <f t="shared" si="22"/>
        <v>1.8116912394110758</v>
      </c>
      <c r="S77" s="14">
        <f t="shared" si="23"/>
        <v>1.8368536177362298</v>
      </c>
      <c r="T77" s="14">
        <f t="shared" si="23"/>
        <v>1.8368536177362298</v>
      </c>
      <c r="U77" s="14">
        <f t="shared" si="23"/>
        <v>1.8368536177362298</v>
      </c>
      <c r="V77" s="14">
        <f t="shared" si="23"/>
        <v>1.8116912394110758</v>
      </c>
      <c r="W77" s="14">
        <f t="shared" si="23"/>
        <v>1.5600674561595376</v>
      </c>
      <c r="X77" s="14">
        <f t="shared" si="23"/>
        <v>1.4090931862086147</v>
      </c>
      <c r="Y77" s="14">
        <f t="shared" si="23"/>
        <v>1.2581189162576916</v>
      </c>
      <c r="Z77" s="14">
        <f t="shared" si="23"/>
        <v>1.207794159607384</v>
      </c>
      <c r="AA77" s="14">
        <f t="shared" si="23"/>
        <v>1.1574694029570762</v>
      </c>
      <c r="AB77" s="14">
        <f t="shared" si="23"/>
        <v>1.1071446463067687</v>
      </c>
      <c r="AC77" s="14">
        <f t="shared" si="21"/>
        <v>29.41482026210483</v>
      </c>
    </row>
    <row r="78" spans="1:29" ht="12.75">
      <c r="A78" s="27" t="str">
        <f t="shared" si="13"/>
        <v>City of Sumas - WA</v>
      </c>
      <c r="B78" s="190" t="s">
        <v>127</v>
      </c>
      <c r="C78" s="190" t="s">
        <v>14</v>
      </c>
      <c r="D78" s="208">
        <v>4524</v>
      </c>
      <c r="E78" s="208">
        <v>4859</v>
      </c>
      <c r="F78" s="208">
        <v>20627</v>
      </c>
      <c r="G78" s="208">
        <v>30010</v>
      </c>
      <c r="H78" s="13">
        <v>0.00018754575459048827</v>
      </c>
      <c r="I78" s="14">
        <f t="shared" si="24"/>
        <v>0.03750915091809765</v>
      </c>
      <c r="J78" s="14">
        <f t="shared" si="24"/>
        <v>0.04126006600990742</v>
      </c>
      <c r="K78" s="14">
        <f t="shared" si="24"/>
        <v>0.04501098110171719</v>
      </c>
      <c r="L78" s="14">
        <f t="shared" si="24"/>
        <v>0.04876189619352695</v>
      </c>
      <c r="M78" s="14">
        <f t="shared" si="24"/>
        <v>0.05251281128533672</v>
      </c>
      <c r="N78" s="14">
        <f t="shared" si="24"/>
        <v>0.0543882688312416</v>
      </c>
      <c r="O78" s="14">
        <f t="shared" si="24"/>
        <v>0.06001464146895625</v>
      </c>
      <c r="P78" s="14">
        <f t="shared" si="24"/>
        <v>0.06376555656076602</v>
      </c>
      <c r="Q78" s="14">
        <f t="shared" si="24"/>
        <v>0.06564101410667089</v>
      </c>
      <c r="R78" s="14">
        <f t="shared" si="22"/>
        <v>0.06751647165257578</v>
      </c>
      <c r="S78" s="14">
        <f t="shared" si="23"/>
        <v>0.06845420042552822</v>
      </c>
      <c r="T78" s="14">
        <f t="shared" si="23"/>
        <v>0.06845420042552822</v>
      </c>
      <c r="U78" s="14">
        <f t="shared" si="23"/>
        <v>0.06845420042552822</v>
      </c>
      <c r="V78" s="14">
        <f t="shared" si="23"/>
        <v>0.06751647165257578</v>
      </c>
      <c r="W78" s="14">
        <f t="shared" si="23"/>
        <v>0.05813918392305136</v>
      </c>
      <c r="X78" s="14">
        <f t="shared" si="23"/>
        <v>0.05251281128533672</v>
      </c>
      <c r="Y78" s="14">
        <f t="shared" si="23"/>
        <v>0.04688643864762207</v>
      </c>
      <c r="Z78" s="14">
        <f t="shared" si="23"/>
        <v>0.04501098110171719</v>
      </c>
      <c r="AA78" s="14">
        <f t="shared" si="23"/>
        <v>0.0431355235558123</v>
      </c>
      <c r="AB78" s="14">
        <f t="shared" si="23"/>
        <v>0.04126006600990742</v>
      </c>
      <c r="AC78" s="14">
        <f t="shared" si="21"/>
        <v>1.0962049355814039</v>
      </c>
    </row>
    <row r="79" spans="1:29" ht="12.75">
      <c r="A79" s="27" t="str">
        <f t="shared" si="13"/>
        <v>City of Tacoma - WA</v>
      </c>
      <c r="B79" s="190" t="s">
        <v>128</v>
      </c>
      <c r="C79" s="190" t="s">
        <v>14</v>
      </c>
      <c r="D79" s="208">
        <v>1885268</v>
      </c>
      <c r="E79" s="208">
        <v>760805</v>
      </c>
      <c r="F79" s="208">
        <v>2562171</v>
      </c>
      <c r="G79" s="208">
        <v>5208244</v>
      </c>
      <c r="H79" s="13">
        <v>0.032548618829436285</v>
      </c>
      <c r="I79" s="14">
        <f t="shared" si="24"/>
        <v>6.509723765887257</v>
      </c>
      <c r="J79" s="14">
        <f t="shared" si="24"/>
        <v>7.160696142475983</v>
      </c>
      <c r="K79" s="14">
        <f t="shared" si="24"/>
        <v>7.811668519064709</v>
      </c>
      <c r="L79" s="14">
        <f t="shared" si="24"/>
        <v>8.462640895653434</v>
      </c>
      <c r="M79" s="14">
        <f t="shared" si="24"/>
        <v>9.11361327224216</v>
      </c>
      <c r="N79" s="14">
        <f t="shared" si="24"/>
        <v>9.439099460536523</v>
      </c>
      <c r="O79" s="14">
        <f t="shared" si="24"/>
        <v>10.41555802541961</v>
      </c>
      <c r="P79" s="14">
        <f t="shared" si="24"/>
        <v>11.066530402008336</v>
      </c>
      <c r="Q79" s="14">
        <f t="shared" si="24"/>
        <v>11.392016590302699</v>
      </c>
      <c r="R79" s="14">
        <f t="shared" si="22"/>
        <v>11.717502778597062</v>
      </c>
      <c r="S79" s="14">
        <f t="shared" si="23"/>
        <v>11.880245872744243</v>
      </c>
      <c r="T79" s="14">
        <f t="shared" si="23"/>
        <v>11.880245872744243</v>
      </c>
      <c r="U79" s="14">
        <f t="shared" si="23"/>
        <v>11.880245872744243</v>
      </c>
      <c r="V79" s="14">
        <f t="shared" si="23"/>
        <v>11.717502778597062</v>
      </c>
      <c r="W79" s="14">
        <f t="shared" si="23"/>
        <v>10.09007183712525</v>
      </c>
      <c r="X79" s="14">
        <f t="shared" si="23"/>
        <v>9.11361327224216</v>
      </c>
      <c r="Y79" s="14">
        <f t="shared" si="23"/>
        <v>8.137154707359072</v>
      </c>
      <c r="Z79" s="14">
        <f t="shared" si="23"/>
        <v>7.811668519064709</v>
      </c>
      <c r="AA79" s="14">
        <f t="shared" si="23"/>
        <v>7.486182330770346</v>
      </c>
      <c r="AB79" s="14">
        <f t="shared" si="23"/>
        <v>7.160696142475983</v>
      </c>
      <c r="AC79" s="14">
        <f t="shared" si="21"/>
        <v>190.2466770580551</v>
      </c>
    </row>
    <row r="80" spans="1:29" ht="12.75">
      <c r="A80" s="27" t="str">
        <f t="shared" si="13"/>
        <v>City of Troy - MT</v>
      </c>
      <c r="B80" s="190" t="s">
        <v>131</v>
      </c>
      <c r="C80" s="190" t="s">
        <v>57</v>
      </c>
      <c r="D80" s="208">
        <v>10460</v>
      </c>
      <c r="E80" s="208">
        <v>5065</v>
      </c>
      <c r="F80" s="208">
        <v>51</v>
      </c>
      <c r="G80" s="208">
        <v>15576</v>
      </c>
      <c r="H80" s="13">
        <v>9.7341308680488E-05</v>
      </c>
      <c r="I80" s="14">
        <f t="shared" si="24"/>
        <v>0.0194682617360976</v>
      </c>
      <c r="J80" s="14">
        <f t="shared" si="24"/>
        <v>0.02141508790970736</v>
      </c>
      <c r="K80" s="14">
        <f t="shared" si="24"/>
        <v>0.02336191408331712</v>
      </c>
      <c r="L80" s="14">
        <f t="shared" si="24"/>
        <v>0.025308740256926882</v>
      </c>
      <c r="M80" s="14">
        <f t="shared" si="24"/>
        <v>0.027255566430536643</v>
      </c>
      <c r="N80" s="14">
        <f t="shared" si="24"/>
        <v>0.02822897951734152</v>
      </c>
      <c r="O80" s="14">
        <f t="shared" si="24"/>
        <v>0.03114921877775616</v>
      </c>
      <c r="P80" s="14">
        <f t="shared" si="24"/>
        <v>0.03309604495136592</v>
      </c>
      <c r="Q80" s="14">
        <f t="shared" si="24"/>
        <v>0.034069458038170804</v>
      </c>
      <c r="R80" s="14">
        <f t="shared" si="22"/>
        <v>0.03504287112497568</v>
      </c>
      <c r="S80" s="14">
        <f t="shared" si="23"/>
        <v>0.03552957766837812</v>
      </c>
      <c r="T80" s="14">
        <f t="shared" si="23"/>
        <v>0.03552957766837812</v>
      </c>
      <c r="U80" s="14">
        <f t="shared" si="23"/>
        <v>0.03552957766837812</v>
      </c>
      <c r="V80" s="14">
        <f t="shared" si="23"/>
        <v>0.03504287112497568</v>
      </c>
      <c r="W80" s="14">
        <f t="shared" si="23"/>
        <v>0.030175805690951282</v>
      </c>
      <c r="X80" s="14">
        <f t="shared" si="23"/>
        <v>0.027255566430536643</v>
      </c>
      <c r="Y80" s="14">
        <f t="shared" si="23"/>
        <v>0.024335327170122</v>
      </c>
      <c r="Z80" s="14">
        <f t="shared" si="23"/>
        <v>0.02336191408331712</v>
      </c>
      <c r="AA80" s="14">
        <f t="shared" si="23"/>
        <v>0.022388500996512243</v>
      </c>
      <c r="AB80" s="14">
        <f t="shared" si="23"/>
        <v>0.02141508790970736</v>
      </c>
      <c r="AC80" s="14">
        <f t="shared" si="21"/>
        <v>0.5689599492374524</v>
      </c>
    </row>
    <row r="81" spans="1:29" ht="12.75">
      <c r="A81" s="27" t="str">
        <f t="shared" si="13"/>
        <v>City of Weiser - ID</v>
      </c>
      <c r="B81" s="190" t="s">
        <v>138</v>
      </c>
      <c r="C81" s="190" t="s">
        <v>19</v>
      </c>
      <c r="D81" s="208">
        <v>26000</v>
      </c>
      <c r="E81" s="208">
        <v>15000</v>
      </c>
      <c r="F81" s="208">
        <v>5000</v>
      </c>
      <c r="G81" s="208">
        <v>46000</v>
      </c>
      <c r="H81" s="13">
        <v>0.0002874743322613282</v>
      </c>
      <c r="I81" s="14">
        <f t="shared" si="24"/>
        <v>0.05749486645226565</v>
      </c>
      <c r="J81" s="14">
        <f t="shared" si="24"/>
        <v>0.06324435309749221</v>
      </c>
      <c r="K81" s="14">
        <f t="shared" si="24"/>
        <v>0.06899383974271878</v>
      </c>
      <c r="L81" s="14">
        <f t="shared" si="24"/>
        <v>0.07474332638794534</v>
      </c>
      <c r="M81" s="14">
        <f t="shared" si="24"/>
        <v>0.0804928130331719</v>
      </c>
      <c r="N81" s="14">
        <f t="shared" si="24"/>
        <v>0.08336755635578519</v>
      </c>
      <c r="O81" s="14">
        <f t="shared" si="24"/>
        <v>0.09199178632362504</v>
      </c>
      <c r="P81" s="14">
        <f t="shared" si="24"/>
        <v>0.0977412729688516</v>
      </c>
      <c r="Q81" s="14">
        <f t="shared" si="24"/>
        <v>0.10061601629146488</v>
      </c>
      <c r="R81" s="14">
        <f t="shared" si="22"/>
        <v>0.10349075961407816</v>
      </c>
      <c r="S81" s="14">
        <f t="shared" si="23"/>
        <v>0.1049281312753848</v>
      </c>
      <c r="T81" s="14">
        <f t="shared" si="23"/>
        <v>0.1049281312753848</v>
      </c>
      <c r="U81" s="14">
        <f t="shared" si="23"/>
        <v>0.1049281312753848</v>
      </c>
      <c r="V81" s="14">
        <f t="shared" si="23"/>
        <v>0.10349075961407816</v>
      </c>
      <c r="W81" s="14">
        <f t="shared" si="23"/>
        <v>0.08911704300101175</v>
      </c>
      <c r="X81" s="14">
        <f t="shared" si="23"/>
        <v>0.0804928130331719</v>
      </c>
      <c r="Y81" s="14">
        <f t="shared" si="23"/>
        <v>0.07186858306533206</v>
      </c>
      <c r="Z81" s="14">
        <f t="shared" si="23"/>
        <v>0.06899383974271878</v>
      </c>
      <c r="AA81" s="14">
        <f t="shared" si="23"/>
        <v>0.0661190964201055</v>
      </c>
      <c r="AB81" s="14">
        <f t="shared" si="23"/>
        <v>0.06324435309749221</v>
      </c>
      <c r="AC81" s="14">
        <f t="shared" si="21"/>
        <v>1.6802874720674634</v>
      </c>
    </row>
    <row r="82" spans="1:29" ht="12.75">
      <c r="A82" s="27" t="str">
        <f t="shared" si="13"/>
        <v>Clatskanie Peoples Util Dist - OR</v>
      </c>
      <c r="B82" s="190" t="s">
        <v>145</v>
      </c>
      <c r="C82" s="190" t="s">
        <v>22</v>
      </c>
      <c r="D82" s="208">
        <v>72689</v>
      </c>
      <c r="E82" s="208">
        <v>27085</v>
      </c>
      <c r="F82" s="208">
        <v>893305</v>
      </c>
      <c r="G82" s="208">
        <v>993079</v>
      </c>
      <c r="H82" s="13">
        <v>0.00620618961755973</v>
      </c>
      <c r="I82" s="14">
        <f t="shared" si="24"/>
        <v>1.241237923511946</v>
      </c>
      <c r="J82" s="14">
        <f t="shared" si="24"/>
        <v>1.3653617158631406</v>
      </c>
      <c r="K82" s="14">
        <f t="shared" si="24"/>
        <v>1.4894855082143352</v>
      </c>
      <c r="L82" s="14">
        <f t="shared" si="24"/>
        <v>1.6136093005655299</v>
      </c>
      <c r="M82" s="14">
        <f t="shared" si="24"/>
        <v>1.7377330929167243</v>
      </c>
      <c r="N82" s="14">
        <f t="shared" si="24"/>
        <v>1.7997949890923217</v>
      </c>
      <c r="O82" s="14">
        <f t="shared" si="24"/>
        <v>1.9859806776191136</v>
      </c>
      <c r="P82" s="14">
        <f t="shared" si="24"/>
        <v>2.110104469970308</v>
      </c>
      <c r="Q82" s="14">
        <f t="shared" si="24"/>
        <v>2.1721663661459054</v>
      </c>
      <c r="R82" s="14">
        <f t="shared" si="22"/>
        <v>2.2342282623215026</v>
      </c>
      <c r="S82" s="14">
        <f t="shared" si="23"/>
        <v>2.2652592104093014</v>
      </c>
      <c r="T82" s="14">
        <f t="shared" si="23"/>
        <v>2.2652592104093014</v>
      </c>
      <c r="U82" s="14">
        <f t="shared" si="23"/>
        <v>2.2652592104093014</v>
      </c>
      <c r="V82" s="14">
        <f t="shared" si="23"/>
        <v>2.2342282623215026</v>
      </c>
      <c r="W82" s="14">
        <f t="shared" si="23"/>
        <v>1.9239187814435164</v>
      </c>
      <c r="X82" s="14">
        <f t="shared" si="23"/>
        <v>1.7377330929167243</v>
      </c>
      <c r="Y82" s="14">
        <f t="shared" si="23"/>
        <v>1.5515474043899324</v>
      </c>
      <c r="Z82" s="14">
        <f t="shared" si="23"/>
        <v>1.4894855082143352</v>
      </c>
      <c r="AA82" s="14">
        <f t="shared" si="23"/>
        <v>1.4274236120387378</v>
      </c>
      <c r="AB82" s="14">
        <f t="shared" si="23"/>
        <v>1.3653617158631406</v>
      </c>
      <c r="AC82" s="14">
        <f t="shared" si="21"/>
        <v>36.27517831463662</v>
      </c>
    </row>
    <row r="83" spans="1:29" ht="12.75">
      <c r="A83" s="27" t="str">
        <f t="shared" si="13"/>
        <v>Clearwater Power Company - ID</v>
      </c>
      <c r="B83" s="190" t="s">
        <v>39</v>
      </c>
      <c r="C83" s="190" t="s">
        <v>19</v>
      </c>
      <c r="D83" s="208">
        <v>111933</v>
      </c>
      <c r="E83" s="208">
        <v>27752</v>
      </c>
      <c r="F83" s="208">
        <v>25304</v>
      </c>
      <c r="G83" s="208">
        <v>164989</v>
      </c>
      <c r="H83" s="13">
        <v>0.0010310891870753105</v>
      </c>
      <c r="I83" s="14">
        <f aca="true" t="shared" si="25" ref="I83:Q92">$H83*I$33</f>
        <v>0.2062178374150621</v>
      </c>
      <c r="J83" s="14">
        <f t="shared" si="25"/>
        <v>0.22683962115656833</v>
      </c>
      <c r="K83" s="14">
        <f t="shared" si="25"/>
        <v>0.24746140489807453</v>
      </c>
      <c r="L83" s="14">
        <f t="shared" si="25"/>
        <v>0.26808318863958075</v>
      </c>
      <c r="M83" s="14">
        <f t="shared" si="25"/>
        <v>0.28870497238108694</v>
      </c>
      <c r="N83" s="14">
        <f t="shared" si="25"/>
        <v>0.29901586425184007</v>
      </c>
      <c r="O83" s="14">
        <f t="shared" si="25"/>
        <v>0.3299485398640994</v>
      </c>
      <c r="P83" s="14">
        <f t="shared" si="25"/>
        <v>0.3505703236056056</v>
      </c>
      <c r="Q83" s="14">
        <f t="shared" si="25"/>
        <v>0.3608812154763587</v>
      </c>
      <c r="R83" s="14">
        <f t="shared" si="22"/>
        <v>0.3711921073471118</v>
      </c>
      <c r="S83" s="14">
        <f t="shared" si="23"/>
        <v>0.37634755328248837</v>
      </c>
      <c r="T83" s="14">
        <f t="shared" si="23"/>
        <v>0.37634755328248837</v>
      </c>
      <c r="U83" s="14">
        <f t="shared" si="23"/>
        <v>0.37634755328248837</v>
      </c>
      <c r="V83" s="14">
        <f t="shared" si="23"/>
        <v>0.3711921073471118</v>
      </c>
      <c r="W83" s="14">
        <f t="shared" si="23"/>
        <v>0.31963764799334626</v>
      </c>
      <c r="X83" s="14">
        <f t="shared" si="23"/>
        <v>0.28870497238108694</v>
      </c>
      <c r="Y83" s="14">
        <f t="shared" si="23"/>
        <v>0.2577722967688276</v>
      </c>
      <c r="Z83" s="14">
        <f t="shared" si="23"/>
        <v>0.24746140489807453</v>
      </c>
      <c r="AA83" s="14">
        <f t="shared" si="23"/>
        <v>0.23715051302732143</v>
      </c>
      <c r="AB83" s="14">
        <f t="shared" si="23"/>
        <v>0.22683962115656833</v>
      </c>
      <c r="AC83" s="14">
        <f t="shared" si="21"/>
        <v>6.02671629845519</v>
      </c>
    </row>
    <row r="84" spans="1:29" ht="12.75">
      <c r="A84" s="27" t="str">
        <f t="shared" si="13"/>
        <v>Clearwater Power Company - WA</v>
      </c>
      <c r="B84" s="190" t="s">
        <v>39</v>
      </c>
      <c r="C84" s="190" t="s">
        <v>14</v>
      </c>
      <c r="D84" s="214">
        <v>9324</v>
      </c>
      <c r="E84" s="214">
        <v>3239</v>
      </c>
      <c r="F84" s="214">
        <v>12989</v>
      </c>
      <c r="G84" s="208">
        <v>25552</v>
      </c>
      <c r="H84" s="13">
        <v>0.00015968574212916215</v>
      </c>
      <c r="I84" s="14">
        <f t="shared" si="25"/>
        <v>0.03193714842583243</v>
      </c>
      <c r="J84" s="14">
        <f t="shared" si="25"/>
        <v>0.03513086326841567</v>
      </c>
      <c r="K84" s="14">
        <f t="shared" si="25"/>
        <v>0.038324578110998916</v>
      </c>
      <c r="L84" s="14">
        <f t="shared" si="25"/>
        <v>0.041518292953582156</v>
      </c>
      <c r="M84" s="14">
        <f t="shared" si="25"/>
        <v>0.0447120077961654</v>
      </c>
      <c r="N84" s="14">
        <f t="shared" si="25"/>
        <v>0.04630886521745702</v>
      </c>
      <c r="O84" s="14">
        <f t="shared" si="25"/>
        <v>0.05109943748133189</v>
      </c>
      <c r="P84" s="14">
        <f t="shared" si="25"/>
        <v>0.05429315232391513</v>
      </c>
      <c r="Q84" s="14">
        <f t="shared" si="25"/>
        <v>0.05589000974520675</v>
      </c>
      <c r="R84" s="14">
        <f t="shared" si="22"/>
        <v>0.057486867166498375</v>
      </c>
      <c r="S84" s="14">
        <f t="shared" si="23"/>
        <v>0.058285295877144185</v>
      </c>
      <c r="T84" s="14">
        <f t="shared" si="23"/>
        <v>0.058285295877144185</v>
      </c>
      <c r="U84" s="14">
        <f t="shared" si="23"/>
        <v>0.058285295877144185</v>
      </c>
      <c r="V84" s="14">
        <f t="shared" si="23"/>
        <v>0.057486867166498375</v>
      </c>
      <c r="W84" s="14">
        <f t="shared" si="23"/>
        <v>0.04950258006004027</v>
      </c>
      <c r="X84" s="14">
        <f t="shared" si="23"/>
        <v>0.0447120077961654</v>
      </c>
      <c r="Y84" s="14">
        <f t="shared" si="23"/>
        <v>0.039921435532290536</v>
      </c>
      <c r="Z84" s="14">
        <f t="shared" si="23"/>
        <v>0.038324578110998916</v>
      </c>
      <c r="AA84" s="14">
        <f t="shared" si="23"/>
        <v>0.0367277206897073</v>
      </c>
      <c r="AB84" s="14">
        <f t="shared" si="23"/>
        <v>0.03513086326841567</v>
      </c>
      <c r="AC84" s="14">
        <f t="shared" si="21"/>
        <v>0.9333631627449528</v>
      </c>
    </row>
    <row r="85" spans="1:29" ht="12.75">
      <c r="A85" s="27" t="str">
        <f t="shared" si="13"/>
        <v>Clearwater Power Company - OR</v>
      </c>
      <c r="B85" s="190" t="s">
        <v>39</v>
      </c>
      <c r="C85" s="190" t="s">
        <v>22</v>
      </c>
      <c r="D85" s="208">
        <v>1597</v>
      </c>
      <c r="E85" s="208">
        <v>342</v>
      </c>
      <c r="F85" s="208">
        <v>0</v>
      </c>
      <c r="G85" s="208">
        <v>1939</v>
      </c>
      <c r="H85" s="13">
        <v>1.2117668049015552E-05</v>
      </c>
      <c r="I85" s="14">
        <f t="shared" si="25"/>
        <v>0.00242353360980311</v>
      </c>
      <c r="J85" s="14">
        <f t="shared" si="25"/>
        <v>0.0026658869707834217</v>
      </c>
      <c r="K85" s="14">
        <f t="shared" si="25"/>
        <v>0.0029082403317637327</v>
      </c>
      <c r="L85" s="14">
        <f t="shared" si="25"/>
        <v>0.0031505936927440437</v>
      </c>
      <c r="M85" s="14">
        <f t="shared" si="25"/>
        <v>0.0033929470537243547</v>
      </c>
      <c r="N85" s="14">
        <f t="shared" si="25"/>
        <v>0.00351412373421451</v>
      </c>
      <c r="O85" s="14">
        <f t="shared" si="25"/>
        <v>0.0038776537756849768</v>
      </c>
      <c r="P85" s="14">
        <f t="shared" si="25"/>
        <v>0.004120007136665288</v>
      </c>
      <c r="Q85" s="14">
        <f t="shared" si="25"/>
        <v>0.004241183817155443</v>
      </c>
      <c r="R85" s="14">
        <f t="shared" si="22"/>
        <v>0.004362360497645598</v>
      </c>
      <c r="S85" s="14">
        <f t="shared" si="23"/>
        <v>0.0044229488378906764</v>
      </c>
      <c r="T85" s="14">
        <f t="shared" si="23"/>
        <v>0.0044229488378906764</v>
      </c>
      <c r="U85" s="14">
        <f t="shared" si="23"/>
        <v>0.0044229488378906764</v>
      </c>
      <c r="V85" s="14">
        <f t="shared" si="23"/>
        <v>0.004362360497645598</v>
      </c>
      <c r="W85" s="14">
        <f t="shared" si="23"/>
        <v>0.003756477095194821</v>
      </c>
      <c r="X85" s="14">
        <f t="shared" si="23"/>
        <v>0.0033929470537243547</v>
      </c>
      <c r="Y85" s="14">
        <f t="shared" si="23"/>
        <v>0.003029417012253888</v>
      </c>
      <c r="Z85" s="14">
        <f t="shared" si="23"/>
        <v>0.0029082403317637327</v>
      </c>
      <c r="AA85" s="14">
        <f t="shared" si="23"/>
        <v>0.002787063651273577</v>
      </c>
      <c r="AB85" s="14">
        <f t="shared" si="23"/>
        <v>0.0026658869707834217</v>
      </c>
      <c r="AC85" s="14">
        <f t="shared" si="21"/>
        <v>0.0708277697464959</v>
      </c>
    </row>
    <row r="86" spans="1:29" ht="12.75">
      <c r="A86" s="27" t="str">
        <f t="shared" si="13"/>
        <v>Columbia Basin Elec Cooperative, Inc - OR</v>
      </c>
      <c r="B86" s="190" t="s">
        <v>40</v>
      </c>
      <c r="C86" s="190" t="s">
        <v>22</v>
      </c>
      <c r="D86" s="208">
        <v>38469</v>
      </c>
      <c r="E86" s="208">
        <v>23840</v>
      </c>
      <c r="F86" s="208">
        <v>30580</v>
      </c>
      <c r="G86" s="208">
        <v>92889</v>
      </c>
      <c r="H86" s="13">
        <v>0.0005805044184657069</v>
      </c>
      <c r="I86" s="14">
        <f t="shared" si="25"/>
        <v>0.11610088369314138</v>
      </c>
      <c r="J86" s="14">
        <f t="shared" si="25"/>
        <v>0.12771097206245552</v>
      </c>
      <c r="K86" s="14">
        <f t="shared" si="25"/>
        <v>0.13932106043176964</v>
      </c>
      <c r="L86" s="14">
        <f t="shared" si="25"/>
        <v>0.1509311488010838</v>
      </c>
      <c r="M86" s="14">
        <f t="shared" si="25"/>
        <v>0.16254123717039792</v>
      </c>
      <c r="N86" s="14">
        <f t="shared" si="25"/>
        <v>0.168346281355055</v>
      </c>
      <c r="O86" s="14">
        <f t="shared" si="25"/>
        <v>0.1857614139090262</v>
      </c>
      <c r="P86" s="14">
        <f t="shared" si="25"/>
        <v>0.19737150227834033</v>
      </c>
      <c r="Q86" s="14">
        <f t="shared" si="25"/>
        <v>0.2031765464629974</v>
      </c>
      <c r="R86" s="14">
        <f t="shared" si="22"/>
        <v>0.20898159064765448</v>
      </c>
      <c r="S86" s="14">
        <f t="shared" si="23"/>
        <v>0.211884112739983</v>
      </c>
      <c r="T86" s="14">
        <f t="shared" si="23"/>
        <v>0.211884112739983</v>
      </c>
      <c r="U86" s="14">
        <f t="shared" si="23"/>
        <v>0.211884112739983</v>
      </c>
      <c r="V86" s="14">
        <f t="shared" si="23"/>
        <v>0.20898159064765448</v>
      </c>
      <c r="W86" s="14">
        <f t="shared" si="23"/>
        <v>0.17995636972436913</v>
      </c>
      <c r="X86" s="14">
        <f t="shared" si="23"/>
        <v>0.16254123717039792</v>
      </c>
      <c r="Y86" s="14">
        <f t="shared" si="23"/>
        <v>0.14512610461642672</v>
      </c>
      <c r="Z86" s="14">
        <f t="shared" si="23"/>
        <v>0.13932106043176964</v>
      </c>
      <c r="AA86" s="14">
        <f t="shared" si="23"/>
        <v>0.1335160162471126</v>
      </c>
      <c r="AB86" s="14">
        <f t="shared" si="23"/>
        <v>0.12771097206245552</v>
      </c>
      <c r="AC86" s="14">
        <f t="shared" si="21"/>
        <v>3.3930483259320567</v>
      </c>
    </row>
    <row r="87" spans="1:29" ht="12.75">
      <c r="A87" s="27" t="str">
        <f t="shared" si="13"/>
        <v>Columbia Power Coop Assn Inc - OR</v>
      </c>
      <c r="B87" s="190" t="s">
        <v>41</v>
      </c>
      <c r="C87" s="190" t="s">
        <v>22</v>
      </c>
      <c r="D87" s="208">
        <v>13841</v>
      </c>
      <c r="E87" s="208">
        <v>5873</v>
      </c>
      <c r="F87" s="208">
        <v>4758</v>
      </c>
      <c r="G87" s="208">
        <v>24472</v>
      </c>
      <c r="H87" s="13">
        <v>0.0001529363447630266</v>
      </c>
      <c r="I87" s="14">
        <f t="shared" si="25"/>
        <v>0.030587268952605322</v>
      </c>
      <c r="J87" s="14">
        <f t="shared" si="25"/>
        <v>0.03364599584786585</v>
      </c>
      <c r="K87" s="14">
        <f t="shared" si="25"/>
        <v>0.03670472274312639</v>
      </c>
      <c r="L87" s="14">
        <f t="shared" si="25"/>
        <v>0.03976344963838692</v>
      </c>
      <c r="M87" s="14">
        <f t="shared" si="25"/>
        <v>0.04282217653364745</v>
      </c>
      <c r="N87" s="14">
        <f t="shared" si="25"/>
        <v>0.04435153998127772</v>
      </c>
      <c r="O87" s="14">
        <f t="shared" si="25"/>
        <v>0.048939630324168516</v>
      </c>
      <c r="P87" s="14">
        <f t="shared" si="25"/>
        <v>0.051998357219429046</v>
      </c>
      <c r="Q87" s="14">
        <f t="shared" si="25"/>
        <v>0.05352772066705931</v>
      </c>
      <c r="R87" s="14">
        <f t="shared" si="22"/>
        <v>0.05505708411468958</v>
      </c>
      <c r="S87" s="14">
        <f t="shared" si="23"/>
        <v>0.05582176583850471</v>
      </c>
      <c r="T87" s="14">
        <f t="shared" si="23"/>
        <v>0.05582176583850471</v>
      </c>
      <c r="U87" s="14">
        <f t="shared" si="23"/>
        <v>0.05582176583850471</v>
      </c>
      <c r="V87" s="14">
        <f t="shared" si="23"/>
        <v>0.05505708411468958</v>
      </c>
      <c r="W87" s="14">
        <f t="shared" si="23"/>
        <v>0.04741026687653825</v>
      </c>
      <c r="X87" s="14">
        <f t="shared" si="23"/>
        <v>0.04282217653364745</v>
      </c>
      <c r="Y87" s="14">
        <f t="shared" si="23"/>
        <v>0.038234086190756654</v>
      </c>
      <c r="Z87" s="14">
        <f t="shared" si="23"/>
        <v>0.03670472274312639</v>
      </c>
      <c r="AA87" s="14">
        <f t="shared" si="23"/>
        <v>0.035175359295496124</v>
      </c>
      <c r="AB87" s="14">
        <f t="shared" si="23"/>
        <v>0.03364599584786585</v>
      </c>
      <c r="AC87" s="14">
        <f t="shared" si="21"/>
        <v>0.8939129351398906</v>
      </c>
    </row>
    <row r="88" spans="1:29" ht="12.75">
      <c r="A88" s="27" t="str">
        <f t="shared" si="13"/>
        <v>Columbia River Peoples Ut Dist - OR</v>
      </c>
      <c r="B88" s="190" t="s">
        <v>147</v>
      </c>
      <c r="C88" s="190" t="s">
        <v>22</v>
      </c>
      <c r="D88" s="208">
        <v>205536</v>
      </c>
      <c r="E88" s="208">
        <v>91352</v>
      </c>
      <c r="F88" s="208">
        <v>204558</v>
      </c>
      <c r="G88" s="208">
        <v>501446</v>
      </c>
      <c r="H88" s="13">
        <v>0.003133757695980739</v>
      </c>
      <c r="I88" s="14">
        <f t="shared" si="25"/>
        <v>0.6267515391961478</v>
      </c>
      <c r="J88" s="14">
        <f t="shared" si="25"/>
        <v>0.6894266931157625</v>
      </c>
      <c r="K88" s="14">
        <f t="shared" si="25"/>
        <v>0.7521018470353773</v>
      </c>
      <c r="L88" s="14">
        <f t="shared" si="25"/>
        <v>0.8147770009549921</v>
      </c>
      <c r="M88" s="14">
        <f t="shared" si="25"/>
        <v>0.8774521548746068</v>
      </c>
      <c r="N88" s="14">
        <f t="shared" si="25"/>
        <v>0.9087897318344142</v>
      </c>
      <c r="O88" s="14">
        <f t="shared" si="25"/>
        <v>1.0028024627138363</v>
      </c>
      <c r="P88" s="14">
        <f t="shared" si="25"/>
        <v>1.0654776166334512</v>
      </c>
      <c r="Q88" s="14">
        <f t="shared" si="25"/>
        <v>1.0968151935932586</v>
      </c>
      <c r="R88" s="14">
        <f t="shared" si="22"/>
        <v>1.128152770553066</v>
      </c>
      <c r="S88" s="14">
        <f t="shared" si="23"/>
        <v>1.1438215590329697</v>
      </c>
      <c r="T88" s="14">
        <f t="shared" si="23"/>
        <v>1.1438215590329697</v>
      </c>
      <c r="U88" s="14">
        <f t="shared" si="23"/>
        <v>1.1438215590329697</v>
      </c>
      <c r="V88" s="14">
        <f t="shared" si="23"/>
        <v>1.128152770553066</v>
      </c>
      <c r="W88" s="14">
        <f t="shared" si="23"/>
        <v>0.971464885754029</v>
      </c>
      <c r="X88" s="14">
        <f t="shared" si="23"/>
        <v>0.8774521548746068</v>
      </c>
      <c r="Y88" s="14">
        <f t="shared" si="23"/>
        <v>0.7834394239951847</v>
      </c>
      <c r="Z88" s="14">
        <f t="shared" si="23"/>
        <v>0.7521018470353773</v>
      </c>
      <c r="AA88" s="14">
        <f t="shared" si="23"/>
        <v>0.7207642700755699</v>
      </c>
      <c r="AB88" s="14">
        <f t="shared" si="23"/>
        <v>0.6894266931157625</v>
      </c>
      <c r="AC88" s="14">
        <f t="shared" si="21"/>
        <v>18.316813733007418</v>
      </c>
    </row>
    <row r="89" spans="1:29" ht="12.75">
      <c r="A89" s="27" t="str">
        <f t="shared" si="13"/>
        <v>Columbia Rural Elec Assn, Inc - WA</v>
      </c>
      <c r="B89" s="190" t="s">
        <v>42</v>
      </c>
      <c r="C89" s="190" t="s">
        <v>14</v>
      </c>
      <c r="D89" s="208">
        <v>46558</v>
      </c>
      <c r="E89" s="208">
        <v>61829</v>
      </c>
      <c r="F89" s="208">
        <v>166204</v>
      </c>
      <c r="G89" s="208">
        <v>274591</v>
      </c>
      <c r="H89" s="13">
        <v>0.0017160405297819647</v>
      </c>
      <c r="I89" s="14">
        <f t="shared" si="25"/>
        <v>0.34320810595639295</v>
      </c>
      <c r="J89" s="14">
        <f t="shared" si="25"/>
        <v>0.37752891655203225</v>
      </c>
      <c r="K89" s="14">
        <f t="shared" si="25"/>
        <v>0.41184972714767154</v>
      </c>
      <c r="L89" s="14">
        <f t="shared" si="25"/>
        <v>0.44617053774331084</v>
      </c>
      <c r="M89" s="14">
        <f t="shared" si="25"/>
        <v>0.48049134833895013</v>
      </c>
      <c r="N89" s="14">
        <f t="shared" si="25"/>
        <v>0.4976517536367698</v>
      </c>
      <c r="O89" s="14">
        <f t="shared" si="25"/>
        <v>0.5491329695302287</v>
      </c>
      <c r="P89" s="14">
        <f t="shared" si="25"/>
        <v>0.583453780125868</v>
      </c>
      <c r="Q89" s="14">
        <f t="shared" si="25"/>
        <v>0.6006141854236876</v>
      </c>
      <c r="R89" s="14">
        <f t="shared" si="22"/>
        <v>0.6177745907215073</v>
      </c>
      <c r="S89" s="14">
        <f t="shared" si="23"/>
        <v>0.6263547933704171</v>
      </c>
      <c r="T89" s="14">
        <f t="shared" si="23"/>
        <v>0.6263547933704171</v>
      </c>
      <c r="U89" s="14">
        <f t="shared" si="23"/>
        <v>0.6263547933704171</v>
      </c>
      <c r="V89" s="14">
        <f t="shared" si="23"/>
        <v>0.6177745907215073</v>
      </c>
      <c r="W89" s="14">
        <f t="shared" si="23"/>
        <v>0.531972564232409</v>
      </c>
      <c r="X89" s="14">
        <f t="shared" si="23"/>
        <v>0.48049134833895013</v>
      </c>
      <c r="Y89" s="14">
        <f t="shared" si="23"/>
        <v>0.4290101324454912</v>
      </c>
      <c r="Z89" s="14">
        <f t="shared" si="23"/>
        <v>0.41184972714767154</v>
      </c>
      <c r="AA89" s="14">
        <f t="shared" si="23"/>
        <v>0.3946893218498519</v>
      </c>
      <c r="AB89" s="14">
        <f t="shared" si="23"/>
        <v>0.37752891655203225</v>
      </c>
      <c r="AC89" s="14">
        <f t="shared" si="21"/>
        <v>10.030256896575583</v>
      </c>
    </row>
    <row r="90" spans="1:29" ht="12.75">
      <c r="A90" s="27" t="str">
        <f t="shared" si="13"/>
        <v>Columbia Rural Elec Assn, Inc - OR</v>
      </c>
      <c r="B90" s="190" t="s">
        <v>42</v>
      </c>
      <c r="C90" s="190" t="s">
        <v>22</v>
      </c>
      <c r="D90" s="208">
        <v>827</v>
      </c>
      <c r="E90" s="208">
        <v>219</v>
      </c>
      <c r="F90" s="208">
        <v>4351</v>
      </c>
      <c r="G90" s="208">
        <v>5397</v>
      </c>
      <c r="H90" s="13">
        <v>3.372823850466062E-05</v>
      </c>
      <c r="I90" s="14">
        <f t="shared" si="25"/>
        <v>0.006745647700932124</v>
      </c>
      <c r="J90" s="14">
        <f t="shared" si="25"/>
        <v>0.007420212471025337</v>
      </c>
      <c r="K90" s="14">
        <f t="shared" si="25"/>
        <v>0.00809477724111855</v>
      </c>
      <c r="L90" s="14">
        <f t="shared" si="25"/>
        <v>0.008769342011211762</v>
      </c>
      <c r="M90" s="14">
        <f t="shared" si="25"/>
        <v>0.009443906781304974</v>
      </c>
      <c r="N90" s="14">
        <f t="shared" si="25"/>
        <v>0.009781189166351581</v>
      </c>
      <c r="O90" s="14">
        <f t="shared" si="25"/>
        <v>0.010793036321491398</v>
      </c>
      <c r="P90" s="14">
        <f t="shared" si="25"/>
        <v>0.01146760109158461</v>
      </c>
      <c r="Q90" s="14">
        <f t="shared" si="25"/>
        <v>0.011804883476631218</v>
      </c>
      <c r="R90" s="14">
        <f t="shared" si="22"/>
        <v>0.012142165861677824</v>
      </c>
      <c r="S90" s="14">
        <f t="shared" si="23"/>
        <v>0.012310807054201126</v>
      </c>
      <c r="T90" s="14">
        <f t="shared" si="23"/>
        <v>0.012310807054201126</v>
      </c>
      <c r="U90" s="14">
        <f t="shared" si="23"/>
        <v>0.012310807054201126</v>
      </c>
      <c r="V90" s="14">
        <f t="shared" si="23"/>
        <v>0.012142165861677824</v>
      </c>
      <c r="W90" s="14">
        <f t="shared" si="23"/>
        <v>0.010455753936444793</v>
      </c>
      <c r="X90" s="14">
        <f t="shared" si="23"/>
        <v>0.009443906781304974</v>
      </c>
      <c r="Y90" s="14">
        <f t="shared" si="23"/>
        <v>0.008432059626165155</v>
      </c>
      <c r="Z90" s="14">
        <f t="shared" si="23"/>
        <v>0.00809477724111855</v>
      </c>
      <c r="AA90" s="14">
        <f t="shared" si="23"/>
        <v>0.007757494856071943</v>
      </c>
      <c r="AB90" s="14">
        <f t="shared" si="23"/>
        <v>0.007420212471025337</v>
      </c>
      <c r="AC90" s="14">
        <f t="shared" si="21"/>
        <v>0.19714155405974132</v>
      </c>
    </row>
    <row r="91" spans="1:29" ht="12.75">
      <c r="A91" s="27" t="str">
        <f t="shared" si="13"/>
        <v>Consumers Power, Inc - OR</v>
      </c>
      <c r="B91" s="190" t="s">
        <v>46</v>
      </c>
      <c r="C91" s="190" t="s">
        <v>22</v>
      </c>
      <c r="D91" s="208">
        <v>266066</v>
      </c>
      <c r="E91" s="208">
        <v>53290</v>
      </c>
      <c r="F91" s="208">
        <v>68892</v>
      </c>
      <c r="G91" s="208">
        <v>388248</v>
      </c>
      <c r="H91" s="13">
        <v>0.0024263333598216557</v>
      </c>
      <c r="I91" s="14">
        <f t="shared" si="25"/>
        <v>0.48526667196433115</v>
      </c>
      <c r="J91" s="14">
        <f t="shared" si="25"/>
        <v>0.5337933391607642</v>
      </c>
      <c r="K91" s="14">
        <f t="shared" si="25"/>
        <v>0.5823200063571974</v>
      </c>
      <c r="L91" s="14">
        <f t="shared" si="25"/>
        <v>0.6308466735536304</v>
      </c>
      <c r="M91" s="14">
        <f t="shared" si="25"/>
        <v>0.6793733407500636</v>
      </c>
      <c r="N91" s="14">
        <f t="shared" si="25"/>
        <v>0.7036366743482801</v>
      </c>
      <c r="O91" s="14">
        <f t="shared" si="25"/>
        <v>0.7764266751429298</v>
      </c>
      <c r="P91" s="14">
        <f t="shared" si="25"/>
        <v>0.8249533423393629</v>
      </c>
      <c r="Q91" s="14">
        <f t="shared" si="25"/>
        <v>0.8492166759375794</v>
      </c>
      <c r="R91" s="14">
        <f t="shared" si="22"/>
        <v>0.8734800095357961</v>
      </c>
      <c r="S91" s="14">
        <f t="shared" si="23"/>
        <v>0.8856116763349043</v>
      </c>
      <c r="T91" s="14">
        <f t="shared" si="23"/>
        <v>0.8856116763349043</v>
      </c>
      <c r="U91" s="14">
        <f t="shared" si="23"/>
        <v>0.8856116763349043</v>
      </c>
      <c r="V91" s="14">
        <f t="shared" si="23"/>
        <v>0.8734800095357961</v>
      </c>
      <c r="W91" s="14">
        <f t="shared" si="23"/>
        <v>0.7521633415447133</v>
      </c>
      <c r="X91" s="14">
        <f t="shared" si="23"/>
        <v>0.6793733407500636</v>
      </c>
      <c r="Y91" s="14">
        <f t="shared" si="23"/>
        <v>0.6065833399554139</v>
      </c>
      <c r="Z91" s="14">
        <f t="shared" si="23"/>
        <v>0.5823200063571974</v>
      </c>
      <c r="AA91" s="14">
        <f t="shared" si="23"/>
        <v>0.5580566727589809</v>
      </c>
      <c r="AB91" s="14">
        <f t="shared" si="23"/>
        <v>0.5337933391607642</v>
      </c>
      <c r="AC91" s="14">
        <f t="shared" si="21"/>
        <v>14.181918488157578</v>
      </c>
    </row>
    <row r="92" spans="1:29" ht="12.75">
      <c r="A92" s="27" t="str">
        <f t="shared" si="13"/>
        <v>Coos-Curry Electric Coop, Inc - OR</v>
      </c>
      <c r="B92" s="190" t="s">
        <v>43</v>
      </c>
      <c r="C92" s="190" t="s">
        <v>22</v>
      </c>
      <c r="D92" s="208">
        <v>197991</v>
      </c>
      <c r="E92" s="208">
        <v>94923</v>
      </c>
      <c r="F92" s="208">
        <v>49715</v>
      </c>
      <c r="G92" s="208">
        <v>342629</v>
      </c>
      <c r="H92" s="13">
        <v>0.002141240064964492</v>
      </c>
      <c r="I92" s="14">
        <f t="shared" si="25"/>
        <v>0.42824801299289844</v>
      </c>
      <c r="J92" s="14">
        <f t="shared" si="25"/>
        <v>0.4710728142921883</v>
      </c>
      <c r="K92" s="14">
        <f t="shared" si="25"/>
        <v>0.5138976155914781</v>
      </c>
      <c r="L92" s="14">
        <f t="shared" si="25"/>
        <v>0.556722416890768</v>
      </c>
      <c r="M92" s="14">
        <f t="shared" si="25"/>
        <v>0.5995472181900577</v>
      </c>
      <c r="N92" s="14">
        <f t="shared" si="25"/>
        <v>0.6209596188397027</v>
      </c>
      <c r="O92" s="14">
        <f t="shared" si="25"/>
        <v>0.6851968207886374</v>
      </c>
      <c r="P92" s="14">
        <f t="shared" si="25"/>
        <v>0.7280216220879273</v>
      </c>
      <c r="Q92" s="14">
        <f t="shared" si="25"/>
        <v>0.7494340227375722</v>
      </c>
      <c r="R92" s="14">
        <f t="shared" si="22"/>
        <v>0.7708464233872172</v>
      </c>
      <c r="S92" s="14">
        <f t="shared" si="23"/>
        <v>0.7815526237120396</v>
      </c>
      <c r="T92" s="14">
        <f t="shared" si="23"/>
        <v>0.7815526237120396</v>
      </c>
      <c r="U92" s="14">
        <f t="shared" si="23"/>
        <v>0.7815526237120396</v>
      </c>
      <c r="V92" s="14">
        <f t="shared" si="23"/>
        <v>0.7708464233872172</v>
      </c>
      <c r="W92" s="14">
        <f t="shared" si="23"/>
        <v>0.6637844201389925</v>
      </c>
      <c r="X92" s="14">
        <f t="shared" si="23"/>
        <v>0.5995472181900577</v>
      </c>
      <c r="Y92" s="14">
        <f aca="true" t="shared" si="26" ref="S92:AB118">$H92*Y$33</f>
        <v>0.5353100162411231</v>
      </c>
      <c r="Z92" s="14">
        <f t="shared" si="26"/>
        <v>0.5138976155914781</v>
      </c>
      <c r="AA92" s="14">
        <f t="shared" si="26"/>
        <v>0.49248521494183317</v>
      </c>
      <c r="AB92" s="14">
        <f t="shared" si="26"/>
        <v>0.4710728142921883</v>
      </c>
      <c r="AC92" s="14">
        <f t="shared" si="21"/>
        <v>12.515548179717456</v>
      </c>
    </row>
    <row r="93" spans="1:29" ht="12.75">
      <c r="A93" s="27" t="str">
        <f t="shared" si="13"/>
        <v>Douglas Electric Coop, Inc - OR</v>
      </c>
      <c r="B93" s="190" t="s">
        <v>48</v>
      </c>
      <c r="C93" s="190" t="s">
        <v>22</v>
      </c>
      <c r="D93" s="208">
        <v>120723</v>
      </c>
      <c r="E93" s="208">
        <v>19047</v>
      </c>
      <c r="F93" s="208">
        <v>11153</v>
      </c>
      <c r="G93" s="208">
        <v>150923</v>
      </c>
      <c r="H93" s="13">
        <v>0.0009431845358234009</v>
      </c>
      <c r="I93" s="14">
        <f aca="true" t="shared" si="27" ref="I93:Q102">$H93*I$33</f>
        <v>0.18863690716468018</v>
      </c>
      <c r="J93" s="14">
        <f t="shared" si="27"/>
        <v>0.2075005978811482</v>
      </c>
      <c r="K93" s="14">
        <f t="shared" si="27"/>
        <v>0.2263642885976162</v>
      </c>
      <c r="L93" s="14">
        <f t="shared" si="27"/>
        <v>0.24522797931408422</v>
      </c>
      <c r="M93" s="14">
        <f t="shared" si="27"/>
        <v>0.26409167003055223</v>
      </c>
      <c r="N93" s="14">
        <f t="shared" si="27"/>
        <v>0.2735235153887862</v>
      </c>
      <c r="O93" s="14">
        <f t="shared" si="27"/>
        <v>0.30181905146348825</v>
      </c>
      <c r="P93" s="14">
        <f t="shared" si="27"/>
        <v>0.3206827421799563</v>
      </c>
      <c r="Q93" s="14">
        <f t="shared" si="27"/>
        <v>0.3301145875381903</v>
      </c>
      <c r="R93" s="14">
        <f t="shared" si="22"/>
        <v>0.33954643289642433</v>
      </c>
      <c r="S93" s="14">
        <f t="shared" si="26"/>
        <v>0.3442623555755413</v>
      </c>
      <c r="T93" s="14">
        <f t="shared" si="26"/>
        <v>0.3442623555755413</v>
      </c>
      <c r="U93" s="14">
        <f t="shared" si="26"/>
        <v>0.3442623555755413</v>
      </c>
      <c r="V93" s="14">
        <f t="shared" si="26"/>
        <v>0.33954643289642433</v>
      </c>
      <c r="W93" s="14">
        <f t="shared" si="26"/>
        <v>0.29238720610525426</v>
      </c>
      <c r="X93" s="14">
        <f t="shared" si="26"/>
        <v>0.26409167003055223</v>
      </c>
      <c r="Y93" s="14">
        <f t="shared" si="26"/>
        <v>0.23579613395585022</v>
      </c>
      <c r="Z93" s="14">
        <f t="shared" si="26"/>
        <v>0.2263642885976162</v>
      </c>
      <c r="AA93" s="14">
        <f t="shared" si="26"/>
        <v>0.21693244323938218</v>
      </c>
      <c r="AB93" s="14">
        <f t="shared" si="26"/>
        <v>0.2075005978811482</v>
      </c>
      <c r="AC93" s="14">
        <f t="shared" si="21"/>
        <v>5.512913611887778</v>
      </c>
    </row>
    <row r="94" spans="1:29" ht="12.75">
      <c r="A94" s="27" t="str">
        <f t="shared" si="13"/>
        <v>East End Mutual Elec Co Ltd - ID</v>
      </c>
      <c r="B94" s="190" t="s">
        <v>50</v>
      </c>
      <c r="C94" s="190" t="s">
        <v>19</v>
      </c>
      <c r="D94" s="208">
        <v>12500</v>
      </c>
      <c r="E94" s="208">
        <v>0</v>
      </c>
      <c r="F94" s="208">
        <v>7400</v>
      </c>
      <c r="G94" s="208">
        <v>19900</v>
      </c>
      <c r="H94" s="13">
        <v>0.00012436389591305287</v>
      </c>
      <c r="I94" s="14">
        <f t="shared" si="27"/>
        <v>0.024872779182610574</v>
      </c>
      <c r="J94" s="14">
        <f t="shared" si="27"/>
        <v>0.02736005710087163</v>
      </c>
      <c r="K94" s="14">
        <f t="shared" si="27"/>
        <v>0.029847335019132688</v>
      </c>
      <c r="L94" s="14">
        <f t="shared" si="27"/>
        <v>0.032334612937393745</v>
      </c>
      <c r="M94" s="14">
        <f t="shared" si="27"/>
        <v>0.034821890855654805</v>
      </c>
      <c r="N94" s="14">
        <f t="shared" si="27"/>
        <v>0.03606552981478533</v>
      </c>
      <c r="O94" s="14">
        <f t="shared" si="27"/>
        <v>0.03979644669217692</v>
      </c>
      <c r="P94" s="14">
        <f t="shared" si="27"/>
        <v>0.04228372461043797</v>
      </c>
      <c r="Q94" s="14">
        <f t="shared" si="27"/>
        <v>0.0435273635695685</v>
      </c>
      <c r="R94" s="14">
        <f t="shared" si="22"/>
        <v>0.04477100252869903</v>
      </c>
      <c r="S94" s="14">
        <f t="shared" si="26"/>
        <v>0.0453928220082643</v>
      </c>
      <c r="T94" s="14">
        <f t="shared" si="26"/>
        <v>0.0453928220082643</v>
      </c>
      <c r="U94" s="14">
        <f t="shared" si="26"/>
        <v>0.0453928220082643</v>
      </c>
      <c r="V94" s="14">
        <f t="shared" si="26"/>
        <v>0.04477100252869903</v>
      </c>
      <c r="W94" s="14">
        <f t="shared" si="26"/>
        <v>0.03855280773304639</v>
      </c>
      <c r="X94" s="14">
        <f t="shared" si="26"/>
        <v>0.034821890855654805</v>
      </c>
      <c r="Y94" s="14">
        <f t="shared" si="26"/>
        <v>0.031090973978263218</v>
      </c>
      <c r="Z94" s="14">
        <f t="shared" si="26"/>
        <v>0.029847335019132688</v>
      </c>
      <c r="AA94" s="14">
        <f t="shared" si="26"/>
        <v>0.02860369606000216</v>
      </c>
      <c r="AB94" s="14">
        <f t="shared" si="26"/>
        <v>0.02736005710087163</v>
      </c>
      <c r="AC94" s="14">
        <f t="shared" si="21"/>
        <v>0.726906971611794</v>
      </c>
    </row>
    <row r="95" spans="1:29" ht="12.75">
      <c r="A95" s="27" t="str">
        <f t="shared" si="13"/>
        <v>Elmhurst Mutual Power &amp; Light Co - WA</v>
      </c>
      <c r="B95" s="190" t="s">
        <v>52</v>
      </c>
      <c r="C95" s="190" t="s">
        <v>14</v>
      </c>
      <c r="D95" s="208">
        <v>220016</v>
      </c>
      <c r="E95" s="208">
        <v>43197</v>
      </c>
      <c r="F95" s="208">
        <v>0</v>
      </c>
      <c r="G95" s="208">
        <v>263213</v>
      </c>
      <c r="H95" s="13">
        <v>0.0016449343786413258</v>
      </c>
      <c r="I95" s="14">
        <f t="shared" si="27"/>
        <v>0.3289868757282652</v>
      </c>
      <c r="J95" s="14">
        <f t="shared" si="27"/>
        <v>0.3618855633010917</v>
      </c>
      <c r="K95" s="14">
        <f t="shared" si="27"/>
        <v>0.39478425087391816</v>
      </c>
      <c r="L95" s="14">
        <f t="shared" si="27"/>
        <v>0.4276829384467447</v>
      </c>
      <c r="M95" s="14">
        <f t="shared" si="27"/>
        <v>0.4605816260195712</v>
      </c>
      <c r="N95" s="14">
        <f t="shared" si="27"/>
        <v>0.4770309698059845</v>
      </c>
      <c r="O95" s="14">
        <f t="shared" si="27"/>
        <v>0.5263790011652243</v>
      </c>
      <c r="P95" s="14">
        <f t="shared" si="27"/>
        <v>0.5592776887380507</v>
      </c>
      <c r="Q95" s="14">
        <f t="shared" si="27"/>
        <v>0.575727032524464</v>
      </c>
      <c r="R95" s="14">
        <f t="shared" si="22"/>
        <v>0.5921763763108773</v>
      </c>
      <c r="S95" s="14">
        <f t="shared" si="26"/>
        <v>0.6004010482040839</v>
      </c>
      <c r="T95" s="14">
        <f t="shared" si="26"/>
        <v>0.6004010482040839</v>
      </c>
      <c r="U95" s="14">
        <f t="shared" si="26"/>
        <v>0.6004010482040839</v>
      </c>
      <c r="V95" s="14">
        <f t="shared" si="26"/>
        <v>0.5921763763108773</v>
      </c>
      <c r="W95" s="14">
        <f t="shared" si="26"/>
        <v>0.509929657378811</v>
      </c>
      <c r="X95" s="14">
        <f t="shared" si="26"/>
        <v>0.4605816260195712</v>
      </c>
      <c r="Y95" s="14">
        <f t="shared" si="26"/>
        <v>0.41123359466033144</v>
      </c>
      <c r="Z95" s="14">
        <f t="shared" si="26"/>
        <v>0.39478425087391816</v>
      </c>
      <c r="AA95" s="14">
        <f t="shared" si="26"/>
        <v>0.37833490708750495</v>
      </c>
      <c r="AB95" s="14">
        <f t="shared" si="26"/>
        <v>0.3618855633010917</v>
      </c>
      <c r="AC95" s="14">
        <f t="shared" si="21"/>
        <v>9.614641443158549</v>
      </c>
    </row>
    <row r="96" spans="1:29" ht="12.75">
      <c r="A96" s="27" t="str">
        <f t="shared" si="13"/>
        <v>Emerald People's Utility Dist - OR</v>
      </c>
      <c r="B96" s="190" t="s">
        <v>146</v>
      </c>
      <c r="C96" s="190" t="s">
        <v>22</v>
      </c>
      <c r="D96" s="208">
        <v>269397</v>
      </c>
      <c r="E96" s="208">
        <v>93685</v>
      </c>
      <c r="F96" s="208">
        <v>87771</v>
      </c>
      <c r="G96" s="208">
        <v>450853</v>
      </c>
      <c r="H96" s="13">
        <v>0.0028175796765873176</v>
      </c>
      <c r="I96" s="14">
        <f t="shared" si="27"/>
        <v>0.5635159353174635</v>
      </c>
      <c r="J96" s="14">
        <f t="shared" si="27"/>
        <v>0.6198675288492099</v>
      </c>
      <c r="K96" s="14">
        <f t="shared" si="27"/>
        <v>0.6762191223809563</v>
      </c>
      <c r="L96" s="14">
        <f t="shared" si="27"/>
        <v>0.7325707159127026</v>
      </c>
      <c r="M96" s="14">
        <f t="shared" si="27"/>
        <v>0.788922309444449</v>
      </c>
      <c r="N96" s="14">
        <f t="shared" si="27"/>
        <v>0.8170981062103221</v>
      </c>
      <c r="O96" s="14">
        <f t="shared" si="27"/>
        <v>0.9016254965079417</v>
      </c>
      <c r="P96" s="14">
        <f t="shared" si="27"/>
        <v>0.957977090039688</v>
      </c>
      <c r="Q96" s="14">
        <f t="shared" si="27"/>
        <v>0.9861528868055611</v>
      </c>
      <c r="R96" s="14">
        <f t="shared" si="22"/>
        <v>1.0143286835714342</v>
      </c>
      <c r="S96" s="14">
        <f t="shared" si="26"/>
        <v>1.028416581954371</v>
      </c>
      <c r="T96" s="14">
        <f t="shared" si="26"/>
        <v>1.028416581954371</v>
      </c>
      <c r="U96" s="14">
        <f t="shared" si="26"/>
        <v>1.028416581954371</v>
      </c>
      <c r="V96" s="14">
        <f t="shared" si="26"/>
        <v>1.0143286835714342</v>
      </c>
      <c r="W96" s="14">
        <f t="shared" si="26"/>
        <v>0.8734496997420684</v>
      </c>
      <c r="X96" s="14">
        <f t="shared" si="26"/>
        <v>0.788922309444449</v>
      </c>
      <c r="Y96" s="14">
        <f t="shared" si="26"/>
        <v>0.7043949191468294</v>
      </c>
      <c r="Z96" s="14">
        <f t="shared" si="26"/>
        <v>0.6762191223809563</v>
      </c>
      <c r="AA96" s="14">
        <f t="shared" si="26"/>
        <v>0.648043325615083</v>
      </c>
      <c r="AB96" s="14">
        <f t="shared" si="26"/>
        <v>0.6198675288492099</v>
      </c>
      <c r="AC96" s="14">
        <f t="shared" si="21"/>
        <v>16.46875320965287</v>
      </c>
    </row>
    <row r="97" spans="1:29" ht="12.75">
      <c r="A97" s="27" t="str">
        <f aca="true" t="shared" si="28" ref="A97:A159">B97&amp;" - "&amp;C97</f>
        <v>Fall River Rural Elec Coop Inc - ID</v>
      </c>
      <c r="B97" s="190" t="s">
        <v>56</v>
      </c>
      <c r="C97" s="190" t="s">
        <v>19</v>
      </c>
      <c r="D97" s="208">
        <v>123756</v>
      </c>
      <c r="E97" s="208">
        <v>94190</v>
      </c>
      <c r="F97" s="208">
        <v>0</v>
      </c>
      <c r="G97" s="208">
        <v>217946</v>
      </c>
      <c r="H97" s="13">
        <v>0.0013620408873701619</v>
      </c>
      <c r="I97" s="14">
        <f t="shared" si="27"/>
        <v>0.27240817747403234</v>
      </c>
      <c r="J97" s="14">
        <f t="shared" si="27"/>
        <v>0.2996489952214356</v>
      </c>
      <c r="K97" s="14">
        <f t="shared" si="27"/>
        <v>0.32688981296883884</v>
      </c>
      <c r="L97" s="14">
        <f t="shared" si="27"/>
        <v>0.35413063071624207</v>
      </c>
      <c r="M97" s="14">
        <f t="shared" si="27"/>
        <v>0.38137144846364535</v>
      </c>
      <c r="N97" s="14">
        <f t="shared" si="27"/>
        <v>0.39499185733734693</v>
      </c>
      <c r="O97" s="14">
        <f t="shared" si="27"/>
        <v>0.4358530839584518</v>
      </c>
      <c r="P97" s="14">
        <f t="shared" si="27"/>
        <v>0.463093901705855</v>
      </c>
      <c r="Q97" s="14">
        <f t="shared" si="27"/>
        <v>0.47671431057955665</v>
      </c>
      <c r="R97" s="14">
        <f aca="true" t="shared" si="29" ref="R97:R160">$H97*R$33</f>
        <v>0.49033471945325824</v>
      </c>
      <c r="S97" s="14">
        <f t="shared" si="26"/>
        <v>0.49714492389010906</v>
      </c>
      <c r="T97" s="14">
        <f t="shared" si="26"/>
        <v>0.49714492389010906</v>
      </c>
      <c r="U97" s="14">
        <f t="shared" si="26"/>
        <v>0.49714492389010906</v>
      </c>
      <c r="V97" s="14">
        <f t="shared" si="26"/>
        <v>0.49033471945325824</v>
      </c>
      <c r="W97" s="14">
        <f t="shared" si="26"/>
        <v>0.42223267508475015</v>
      </c>
      <c r="X97" s="14">
        <f t="shared" si="26"/>
        <v>0.38137144846364535</v>
      </c>
      <c r="Y97" s="14">
        <f t="shared" si="26"/>
        <v>0.3405102218425405</v>
      </c>
      <c r="Z97" s="14">
        <f t="shared" si="26"/>
        <v>0.32688981296883884</v>
      </c>
      <c r="AA97" s="14">
        <f t="shared" si="26"/>
        <v>0.3132694040951372</v>
      </c>
      <c r="AB97" s="14">
        <f t="shared" si="26"/>
        <v>0.2996489952214356</v>
      </c>
      <c r="AC97" s="14">
        <f t="shared" si="21"/>
        <v>7.961128986678596</v>
      </c>
    </row>
    <row r="98" spans="1:29" ht="12.75">
      <c r="A98" s="27" t="str">
        <f t="shared" si="28"/>
        <v>Fall River Rural Elec Coop Inc - MT</v>
      </c>
      <c r="B98" s="190" t="s">
        <v>56</v>
      </c>
      <c r="C98" s="190" t="s">
        <v>57</v>
      </c>
      <c r="D98" s="208">
        <v>15244</v>
      </c>
      <c r="E98" s="208">
        <v>29712</v>
      </c>
      <c r="F98" s="208">
        <v>0</v>
      </c>
      <c r="G98" s="208">
        <v>44956</v>
      </c>
      <c r="H98" s="13">
        <v>0.0002809499148073972</v>
      </c>
      <c r="I98" s="14">
        <f t="shared" si="27"/>
        <v>0.056189982961479444</v>
      </c>
      <c r="J98" s="14">
        <f t="shared" si="27"/>
        <v>0.06180898125762739</v>
      </c>
      <c r="K98" s="14">
        <f t="shared" si="27"/>
        <v>0.06742797955377533</v>
      </c>
      <c r="L98" s="14">
        <f t="shared" si="27"/>
        <v>0.07304697784992327</v>
      </c>
      <c r="M98" s="14">
        <f t="shared" si="27"/>
        <v>0.07866597614607122</v>
      </c>
      <c r="N98" s="14">
        <f t="shared" si="27"/>
        <v>0.08147547529414519</v>
      </c>
      <c r="O98" s="14">
        <f t="shared" si="27"/>
        <v>0.08990397273836712</v>
      </c>
      <c r="P98" s="14">
        <f t="shared" si="27"/>
        <v>0.09552297103451506</v>
      </c>
      <c r="Q98" s="14">
        <f t="shared" si="27"/>
        <v>0.09833247018258903</v>
      </c>
      <c r="R98" s="14">
        <f t="shared" si="29"/>
        <v>0.101141969330663</v>
      </c>
      <c r="S98" s="14">
        <f t="shared" si="26"/>
        <v>0.10254671890469999</v>
      </c>
      <c r="T98" s="14">
        <f t="shared" si="26"/>
        <v>0.10254671890469999</v>
      </c>
      <c r="U98" s="14">
        <f t="shared" si="26"/>
        <v>0.10254671890469999</v>
      </c>
      <c r="V98" s="14">
        <f t="shared" si="26"/>
        <v>0.101141969330663</v>
      </c>
      <c r="W98" s="14">
        <f t="shared" si="26"/>
        <v>0.08709447359029314</v>
      </c>
      <c r="X98" s="14">
        <f t="shared" si="26"/>
        <v>0.07866597614607122</v>
      </c>
      <c r="Y98" s="14">
        <f t="shared" si="26"/>
        <v>0.0702374787018493</v>
      </c>
      <c r="Z98" s="14">
        <f t="shared" si="26"/>
        <v>0.06742797955377533</v>
      </c>
      <c r="AA98" s="14">
        <f t="shared" si="26"/>
        <v>0.06461848040570135</v>
      </c>
      <c r="AB98" s="14">
        <f t="shared" si="26"/>
        <v>0.06180898125762739</v>
      </c>
      <c r="AC98" s="14">
        <f aca="true" t="shared" si="30" ref="AC98:AC129">$H98*AC$33</f>
        <v>1.6421522520492366</v>
      </c>
    </row>
    <row r="99" spans="1:29" ht="12.75">
      <c r="A99" s="27" t="str">
        <f t="shared" si="28"/>
        <v>Fall River Rural Elec Coop Inc - WY</v>
      </c>
      <c r="B99" s="190" t="s">
        <v>56</v>
      </c>
      <c r="C99" s="190" t="s">
        <v>58</v>
      </c>
      <c r="D99" s="208">
        <v>4419</v>
      </c>
      <c r="E99" s="208">
        <v>4105</v>
      </c>
      <c r="F99" s="208">
        <v>0</v>
      </c>
      <c r="G99" s="208">
        <v>8524</v>
      </c>
      <c r="H99" s="13">
        <v>5.327024365642525E-05</v>
      </c>
      <c r="I99" s="14">
        <f t="shared" si="27"/>
        <v>0.010654048731285051</v>
      </c>
      <c r="J99" s="14">
        <f t="shared" si="27"/>
        <v>0.011719453604413555</v>
      </c>
      <c r="K99" s="14">
        <f t="shared" si="27"/>
        <v>0.012784858477542061</v>
      </c>
      <c r="L99" s="14">
        <f t="shared" si="27"/>
        <v>0.013850263350670565</v>
      </c>
      <c r="M99" s="14">
        <f t="shared" si="27"/>
        <v>0.014915668223799071</v>
      </c>
      <c r="N99" s="14">
        <f t="shared" si="27"/>
        <v>0.015448370660363324</v>
      </c>
      <c r="O99" s="14">
        <f t="shared" si="27"/>
        <v>0.01704647797005608</v>
      </c>
      <c r="P99" s="14">
        <f t="shared" si="27"/>
        <v>0.018111882843184587</v>
      </c>
      <c r="Q99" s="14">
        <f t="shared" si="27"/>
        <v>0.018644585279748837</v>
      </c>
      <c r="R99" s="14">
        <f t="shared" si="29"/>
        <v>0.01917728771631309</v>
      </c>
      <c r="S99" s="14">
        <f t="shared" si="26"/>
        <v>0.019443638934595216</v>
      </c>
      <c r="T99" s="14">
        <f t="shared" si="26"/>
        <v>0.019443638934595216</v>
      </c>
      <c r="U99" s="14">
        <f t="shared" si="26"/>
        <v>0.019443638934595216</v>
      </c>
      <c r="V99" s="14">
        <f t="shared" si="26"/>
        <v>0.01917728771631309</v>
      </c>
      <c r="W99" s="14">
        <f t="shared" si="26"/>
        <v>0.01651377553349183</v>
      </c>
      <c r="X99" s="14">
        <f t="shared" si="26"/>
        <v>0.014915668223799071</v>
      </c>
      <c r="Y99" s="14">
        <f t="shared" si="26"/>
        <v>0.013317560914106314</v>
      </c>
      <c r="Z99" s="14">
        <f t="shared" si="26"/>
        <v>0.012784858477542061</v>
      </c>
      <c r="AA99" s="14">
        <f t="shared" si="26"/>
        <v>0.012252156040977808</v>
      </c>
      <c r="AB99" s="14">
        <f t="shared" si="26"/>
        <v>0.011719453604413555</v>
      </c>
      <c r="AC99" s="14">
        <f t="shared" si="30"/>
        <v>0.31136457417180563</v>
      </c>
    </row>
    <row r="100" spans="1:29" ht="12.75">
      <c r="A100" s="27" t="str">
        <f t="shared" si="28"/>
        <v>Farmers Electric Company, Ltd - ID</v>
      </c>
      <c r="B100" s="190" t="s">
        <v>55</v>
      </c>
      <c r="C100" s="190" t="s">
        <v>19</v>
      </c>
      <c r="D100" s="208">
        <v>2118</v>
      </c>
      <c r="E100" s="208">
        <v>1685</v>
      </c>
      <c r="F100" s="208">
        <v>190</v>
      </c>
      <c r="G100" s="208">
        <v>3993</v>
      </c>
      <c r="H100" s="13">
        <v>2.4954021928684426E-05</v>
      </c>
      <c r="I100" s="14">
        <f t="shared" si="27"/>
        <v>0.004990804385736885</v>
      </c>
      <c r="J100" s="14">
        <f t="shared" si="27"/>
        <v>0.005489884824310573</v>
      </c>
      <c r="K100" s="14">
        <f t="shared" si="27"/>
        <v>0.005988965262884262</v>
      </c>
      <c r="L100" s="14">
        <f t="shared" si="27"/>
        <v>0.00648804570145795</v>
      </c>
      <c r="M100" s="14">
        <f t="shared" si="27"/>
        <v>0.006987126140031639</v>
      </c>
      <c r="N100" s="14">
        <f t="shared" si="27"/>
        <v>0.007236666359318483</v>
      </c>
      <c r="O100" s="14">
        <f t="shared" si="27"/>
        <v>0.007985287017179016</v>
      </c>
      <c r="P100" s="14">
        <f t="shared" si="27"/>
        <v>0.008484367455752704</v>
      </c>
      <c r="Q100" s="14">
        <f t="shared" si="27"/>
        <v>0.00873390767503955</v>
      </c>
      <c r="R100" s="14">
        <f t="shared" si="29"/>
        <v>0.008983447894326393</v>
      </c>
      <c r="S100" s="14">
        <f t="shared" si="26"/>
        <v>0.009108218003969815</v>
      </c>
      <c r="T100" s="14">
        <f t="shared" si="26"/>
        <v>0.009108218003969815</v>
      </c>
      <c r="U100" s="14">
        <f t="shared" si="26"/>
        <v>0.009108218003969815</v>
      </c>
      <c r="V100" s="14">
        <f t="shared" si="26"/>
        <v>0.008983447894326393</v>
      </c>
      <c r="W100" s="14">
        <f t="shared" si="26"/>
        <v>0.0077357467978921715</v>
      </c>
      <c r="X100" s="14">
        <f t="shared" si="26"/>
        <v>0.006987126140031639</v>
      </c>
      <c r="Y100" s="14">
        <f t="shared" si="26"/>
        <v>0.006238505482171106</v>
      </c>
      <c r="Z100" s="14">
        <f t="shared" si="26"/>
        <v>0.005988965262884262</v>
      </c>
      <c r="AA100" s="14">
        <f t="shared" si="26"/>
        <v>0.005739425043597418</v>
      </c>
      <c r="AB100" s="14">
        <f t="shared" si="26"/>
        <v>0.005489884824310573</v>
      </c>
      <c r="AC100" s="14">
        <f t="shared" si="30"/>
        <v>0.14585625817316047</v>
      </c>
    </row>
    <row r="101" spans="1:29" ht="12.75">
      <c r="A101" s="27" t="str">
        <f t="shared" si="28"/>
        <v>Flathead Electric Coop Inc - MT</v>
      </c>
      <c r="B101" s="190" t="s">
        <v>60</v>
      </c>
      <c r="C101" s="190" t="s">
        <v>57</v>
      </c>
      <c r="D101" s="208">
        <v>637944</v>
      </c>
      <c r="E101" s="208">
        <v>440096</v>
      </c>
      <c r="F101" s="208">
        <v>292581</v>
      </c>
      <c r="G101" s="208">
        <v>1370621</v>
      </c>
      <c r="H101" s="13">
        <v>0.008565616451268564</v>
      </c>
      <c r="I101" s="14">
        <f t="shared" si="27"/>
        <v>1.7131232902537128</v>
      </c>
      <c r="J101" s="14">
        <f t="shared" si="27"/>
        <v>1.884435619279084</v>
      </c>
      <c r="K101" s="14">
        <f t="shared" si="27"/>
        <v>2.055747948304455</v>
      </c>
      <c r="L101" s="14">
        <f t="shared" si="27"/>
        <v>2.2270602773298265</v>
      </c>
      <c r="M101" s="14">
        <f t="shared" si="27"/>
        <v>2.398372606355198</v>
      </c>
      <c r="N101" s="14">
        <f t="shared" si="27"/>
        <v>2.4840287708678837</v>
      </c>
      <c r="O101" s="14">
        <f t="shared" si="27"/>
        <v>2.7409972644059404</v>
      </c>
      <c r="P101" s="14">
        <f t="shared" si="27"/>
        <v>2.9123095934313117</v>
      </c>
      <c r="Q101" s="14">
        <f t="shared" si="27"/>
        <v>2.9979657579439976</v>
      </c>
      <c r="R101" s="14">
        <f t="shared" si="29"/>
        <v>3.083621922456683</v>
      </c>
      <c r="S101" s="14">
        <f t="shared" si="26"/>
        <v>3.1264500047130257</v>
      </c>
      <c r="T101" s="14">
        <f t="shared" si="26"/>
        <v>3.1264500047130257</v>
      </c>
      <c r="U101" s="14">
        <f t="shared" si="26"/>
        <v>3.1264500047130257</v>
      </c>
      <c r="V101" s="14">
        <f t="shared" si="26"/>
        <v>3.083621922456683</v>
      </c>
      <c r="W101" s="14">
        <f t="shared" si="26"/>
        <v>2.655341099893255</v>
      </c>
      <c r="X101" s="14">
        <f t="shared" si="26"/>
        <v>2.398372606355198</v>
      </c>
      <c r="Y101" s="14">
        <f t="shared" si="26"/>
        <v>2.141404112817141</v>
      </c>
      <c r="Z101" s="14">
        <f t="shared" si="26"/>
        <v>2.055747948304455</v>
      </c>
      <c r="AA101" s="14">
        <f t="shared" si="26"/>
        <v>1.9700917837917697</v>
      </c>
      <c r="AB101" s="14">
        <f t="shared" si="26"/>
        <v>1.884435619279084</v>
      </c>
      <c r="AC101" s="14">
        <f t="shared" si="30"/>
        <v>50.06602815766475</v>
      </c>
    </row>
    <row r="102" spans="1:29" ht="12.75">
      <c r="A102" s="27" t="str">
        <f t="shared" si="28"/>
        <v>Glacier Electric Coop, Inc - MT</v>
      </c>
      <c r="B102" s="190" t="s">
        <v>64</v>
      </c>
      <c r="C102" s="190" t="s">
        <v>57</v>
      </c>
      <c r="D102" s="208">
        <v>62907</v>
      </c>
      <c r="E102" s="208">
        <v>77159</v>
      </c>
      <c r="F102" s="208">
        <v>21546</v>
      </c>
      <c r="G102" s="208">
        <v>161612</v>
      </c>
      <c r="H102" s="13">
        <v>0.0010099848214221256</v>
      </c>
      <c r="I102" s="14">
        <f t="shared" si="27"/>
        <v>0.20199696428442512</v>
      </c>
      <c r="J102" s="14">
        <f t="shared" si="27"/>
        <v>0.22219666071286764</v>
      </c>
      <c r="K102" s="14">
        <f t="shared" si="27"/>
        <v>0.24239635714131016</v>
      </c>
      <c r="L102" s="14">
        <f t="shared" si="27"/>
        <v>0.2625960535697527</v>
      </c>
      <c r="M102" s="14">
        <f t="shared" si="27"/>
        <v>0.2827957499981952</v>
      </c>
      <c r="N102" s="14">
        <f t="shared" si="27"/>
        <v>0.29289559821241645</v>
      </c>
      <c r="O102" s="14">
        <f t="shared" si="27"/>
        <v>0.3231951428550802</v>
      </c>
      <c r="P102" s="14">
        <f t="shared" si="27"/>
        <v>0.3433948392835227</v>
      </c>
      <c r="Q102" s="14">
        <f t="shared" si="27"/>
        <v>0.353494687497744</v>
      </c>
      <c r="R102" s="14">
        <f t="shared" si="29"/>
        <v>0.3635945357119652</v>
      </c>
      <c r="S102" s="14">
        <f t="shared" si="26"/>
        <v>0.36864445981907584</v>
      </c>
      <c r="T102" s="14">
        <f t="shared" si="26"/>
        <v>0.36864445981907584</v>
      </c>
      <c r="U102" s="14">
        <f t="shared" si="26"/>
        <v>0.36864445981907584</v>
      </c>
      <c r="V102" s="14">
        <f t="shared" si="26"/>
        <v>0.3635945357119652</v>
      </c>
      <c r="W102" s="14">
        <f t="shared" si="26"/>
        <v>0.31309529464085895</v>
      </c>
      <c r="X102" s="14">
        <f t="shared" si="26"/>
        <v>0.2827957499981952</v>
      </c>
      <c r="Y102" s="14">
        <f t="shared" si="26"/>
        <v>0.2524962053555314</v>
      </c>
      <c r="Z102" s="14">
        <f t="shared" si="26"/>
        <v>0.24239635714131016</v>
      </c>
      <c r="AA102" s="14">
        <f t="shared" si="26"/>
        <v>0.2322965089270889</v>
      </c>
      <c r="AB102" s="14">
        <f t="shared" si="26"/>
        <v>0.22219666071286764</v>
      </c>
      <c r="AC102" s="14">
        <f t="shared" si="30"/>
        <v>5.903361281212324</v>
      </c>
    </row>
    <row r="103" spans="1:29" ht="12.75">
      <c r="A103" s="27" t="str">
        <f t="shared" si="28"/>
        <v>Harney Electric Coop, Inc - NV</v>
      </c>
      <c r="B103" s="190" t="s">
        <v>82</v>
      </c>
      <c r="C103" s="190" t="s">
        <v>83</v>
      </c>
      <c r="D103" s="208">
        <v>11644</v>
      </c>
      <c r="E103" s="208">
        <v>0</v>
      </c>
      <c r="F103" s="208">
        <v>103115</v>
      </c>
      <c r="G103" s="208">
        <v>114759</v>
      </c>
      <c r="H103" s="13">
        <v>0.0007171797151299514</v>
      </c>
      <c r="I103" s="14">
        <f aca="true" t="shared" si="31" ref="I103:Q112">$H103*I$33</f>
        <v>0.14343594302599028</v>
      </c>
      <c r="J103" s="14">
        <f t="shared" si="31"/>
        <v>0.15777953732858932</v>
      </c>
      <c r="K103" s="14">
        <f t="shared" si="31"/>
        <v>0.17212313163118834</v>
      </c>
      <c r="L103" s="14">
        <f t="shared" si="31"/>
        <v>0.18646672593378738</v>
      </c>
      <c r="M103" s="14">
        <f t="shared" si="31"/>
        <v>0.2008103202363864</v>
      </c>
      <c r="N103" s="14">
        <f t="shared" si="31"/>
        <v>0.2079821173876859</v>
      </c>
      <c r="O103" s="14">
        <f t="shared" si="31"/>
        <v>0.22949750884158446</v>
      </c>
      <c r="P103" s="14">
        <f t="shared" si="31"/>
        <v>0.24384110314418347</v>
      </c>
      <c r="Q103" s="14">
        <f t="shared" si="31"/>
        <v>0.251012900295483</v>
      </c>
      <c r="R103" s="14">
        <f t="shared" si="29"/>
        <v>0.2581846974467825</v>
      </c>
      <c r="S103" s="14">
        <f t="shared" si="26"/>
        <v>0.26177059602243224</v>
      </c>
      <c r="T103" s="14">
        <f t="shared" si="26"/>
        <v>0.26177059602243224</v>
      </c>
      <c r="U103" s="14">
        <f t="shared" si="26"/>
        <v>0.26177059602243224</v>
      </c>
      <c r="V103" s="14">
        <f t="shared" si="26"/>
        <v>0.2581846974467825</v>
      </c>
      <c r="W103" s="14">
        <f t="shared" si="26"/>
        <v>0.22232571169028495</v>
      </c>
      <c r="X103" s="14">
        <f t="shared" si="26"/>
        <v>0.2008103202363864</v>
      </c>
      <c r="Y103" s="14">
        <f t="shared" si="26"/>
        <v>0.17929492878248784</v>
      </c>
      <c r="Z103" s="14">
        <f t="shared" si="26"/>
        <v>0.17212313163118834</v>
      </c>
      <c r="AA103" s="14">
        <f t="shared" si="26"/>
        <v>0.16495133447988883</v>
      </c>
      <c r="AB103" s="14">
        <f t="shared" si="26"/>
        <v>0.15777953732858932</v>
      </c>
      <c r="AC103" s="14">
        <f t="shared" si="30"/>
        <v>4.191915434934566</v>
      </c>
    </row>
    <row r="104" spans="1:29" ht="12.75">
      <c r="A104" s="27" t="str">
        <f t="shared" si="28"/>
        <v>Harney Electric Coop, Inc - OR</v>
      </c>
      <c r="B104" s="190" t="s">
        <v>82</v>
      </c>
      <c r="C104" s="190" t="s">
        <v>22</v>
      </c>
      <c r="D104" s="208">
        <v>17229</v>
      </c>
      <c r="E104" s="208">
        <v>0</v>
      </c>
      <c r="F104" s="208">
        <v>54426</v>
      </c>
      <c r="G104" s="208">
        <v>71655</v>
      </c>
      <c r="H104" s="13">
        <v>0.0004478037669170755</v>
      </c>
      <c r="I104" s="14">
        <f t="shared" si="31"/>
        <v>0.0895607533834151</v>
      </c>
      <c r="J104" s="14">
        <f t="shared" si="31"/>
        <v>0.09851682872175661</v>
      </c>
      <c r="K104" s="14">
        <f t="shared" si="31"/>
        <v>0.10747290406009813</v>
      </c>
      <c r="L104" s="14">
        <f t="shared" si="31"/>
        <v>0.11642897939843963</v>
      </c>
      <c r="M104" s="14">
        <f t="shared" si="31"/>
        <v>0.12538505473678113</v>
      </c>
      <c r="N104" s="14">
        <f t="shared" si="31"/>
        <v>0.1298630924059519</v>
      </c>
      <c r="O104" s="14">
        <f t="shared" si="31"/>
        <v>0.14329720541346416</v>
      </c>
      <c r="P104" s="14">
        <f t="shared" si="31"/>
        <v>0.15225328075180566</v>
      </c>
      <c r="Q104" s="14">
        <f t="shared" si="31"/>
        <v>0.15673131842097643</v>
      </c>
      <c r="R104" s="14">
        <f t="shared" si="29"/>
        <v>0.1612093560901472</v>
      </c>
      <c r="S104" s="14">
        <f t="shared" si="26"/>
        <v>0.16344837492473255</v>
      </c>
      <c r="T104" s="14">
        <f t="shared" si="26"/>
        <v>0.16344837492473255</v>
      </c>
      <c r="U104" s="14">
        <f t="shared" si="26"/>
        <v>0.16344837492473255</v>
      </c>
      <c r="V104" s="14">
        <f t="shared" si="26"/>
        <v>0.1612093560901472</v>
      </c>
      <c r="W104" s="14">
        <f t="shared" si="26"/>
        <v>0.1388191677442934</v>
      </c>
      <c r="X104" s="14">
        <f t="shared" si="26"/>
        <v>0.12538505473678113</v>
      </c>
      <c r="Y104" s="14">
        <f t="shared" si="26"/>
        <v>0.11195094172926888</v>
      </c>
      <c r="Z104" s="14">
        <f t="shared" si="26"/>
        <v>0.10747290406009813</v>
      </c>
      <c r="AA104" s="14">
        <f t="shared" si="26"/>
        <v>0.10299486639092736</v>
      </c>
      <c r="AB104" s="14">
        <f t="shared" si="26"/>
        <v>0.09851682872175661</v>
      </c>
      <c r="AC104" s="14">
        <f t="shared" si="30"/>
        <v>2.6174130176303065</v>
      </c>
    </row>
    <row r="105" spans="1:29" ht="12.75">
      <c r="A105" s="27" t="str">
        <f t="shared" si="28"/>
        <v>Hood River Electric Coop - OR</v>
      </c>
      <c r="B105" s="190" t="s">
        <v>69</v>
      </c>
      <c r="C105" s="190" t="s">
        <v>22</v>
      </c>
      <c r="D105" s="208">
        <v>51812</v>
      </c>
      <c r="E105" s="208">
        <v>5670</v>
      </c>
      <c r="F105" s="208">
        <v>47324</v>
      </c>
      <c r="G105" s="208">
        <v>104806</v>
      </c>
      <c r="H105" s="13">
        <v>0.000654979018847408</v>
      </c>
      <c r="I105" s="14">
        <f t="shared" si="31"/>
        <v>0.1309958037694816</v>
      </c>
      <c r="J105" s="14">
        <f t="shared" si="31"/>
        <v>0.14409538414642975</v>
      </c>
      <c r="K105" s="14">
        <f t="shared" si="31"/>
        <v>0.15719496452337792</v>
      </c>
      <c r="L105" s="14">
        <f t="shared" si="31"/>
        <v>0.17029454490032608</v>
      </c>
      <c r="M105" s="14">
        <f t="shared" si="31"/>
        <v>0.18339412527727422</v>
      </c>
      <c r="N105" s="14">
        <f t="shared" si="31"/>
        <v>0.18994391546574832</v>
      </c>
      <c r="O105" s="14">
        <f t="shared" si="31"/>
        <v>0.20959328603117056</v>
      </c>
      <c r="P105" s="14">
        <f t="shared" si="31"/>
        <v>0.22269286640811872</v>
      </c>
      <c r="Q105" s="14">
        <f t="shared" si="31"/>
        <v>0.2292426565965928</v>
      </c>
      <c r="R105" s="14">
        <f t="shared" si="29"/>
        <v>0.2357924467850669</v>
      </c>
      <c r="S105" s="14">
        <f t="shared" si="26"/>
        <v>0.23906734187930392</v>
      </c>
      <c r="T105" s="14">
        <f t="shared" si="26"/>
        <v>0.23906734187930392</v>
      </c>
      <c r="U105" s="14">
        <f t="shared" si="26"/>
        <v>0.23906734187930392</v>
      </c>
      <c r="V105" s="14">
        <f t="shared" si="26"/>
        <v>0.2357924467850669</v>
      </c>
      <c r="W105" s="14">
        <f t="shared" si="26"/>
        <v>0.2030434958426965</v>
      </c>
      <c r="X105" s="14">
        <f t="shared" si="26"/>
        <v>0.18339412527727422</v>
      </c>
      <c r="Y105" s="14">
        <f t="shared" si="26"/>
        <v>0.163744754711852</v>
      </c>
      <c r="Z105" s="14">
        <f t="shared" si="26"/>
        <v>0.15719496452337792</v>
      </c>
      <c r="AA105" s="14">
        <f t="shared" si="26"/>
        <v>0.15064517433490385</v>
      </c>
      <c r="AB105" s="14">
        <f t="shared" si="26"/>
        <v>0.14409538414642975</v>
      </c>
      <c r="AC105" s="14">
        <f t="shared" si="30"/>
        <v>3.8283523651630995</v>
      </c>
    </row>
    <row r="106" spans="1:29" ht="12.75">
      <c r="A106" s="27" t="str">
        <f t="shared" si="28"/>
        <v>Idaho Cnty L&amp;P Coop Assn, Inc - ID</v>
      </c>
      <c r="B106" s="190" t="s">
        <v>70</v>
      </c>
      <c r="C106" s="190" t="s">
        <v>19</v>
      </c>
      <c r="D106" s="208">
        <v>37460</v>
      </c>
      <c r="E106" s="208">
        <v>8674</v>
      </c>
      <c r="F106" s="208">
        <v>321</v>
      </c>
      <c r="G106" s="208">
        <v>46455</v>
      </c>
      <c r="H106" s="13">
        <v>0.0002903178283739131</v>
      </c>
      <c r="I106" s="14">
        <f t="shared" si="31"/>
        <v>0.058063565674782616</v>
      </c>
      <c r="J106" s="14">
        <f t="shared" si="31"/>
        <v>0.06386992224226087</v>
      </c>
      <c r="K106" s="14">
        <f t="shared" si="31"/>
        <v>0.06967627880973915</v>
      </c>
      <c r="L106" s="14">
        <f t="shared" si="31"/>
        <v>0.0754826353772174</v>
      </c>
      <c r="M106" s="14">
        <f t="shared" si="31"/>
        <v>0.08128899194469566</v>
      </c>
      <c r="N106" s="14">
        <f t="shared" si="31"/>
        <v>0.0841921702284348</v>
      </c>
      <c r="O106" s="14">
        <f t="shared" si="31"/>
        <v>0.09290170507965219</v>
      </c>
      <c r="P106" s="14">
        <f t="shared" si="31"/>
        <v>0.09870806164713045</v>
      </c>
      <c r="Q106" s="14">
        <f t="shared" si="31"/>
        <v>0.10161123993086958</v>
      </c>
      <c r="R106" s="14">
        <f t="shared" si="29"/>
        <v>0.10451441821460872</v>
      </c>
      <c r="S106" s="14">
        <f t="shared" si="26"/>
        <v>0.10596600735647828</v>
      </c>
      <c r="T106" s="14">
        <f t="shared" si="26"/>
        <v>0.10596600735647828</v>
      </c>
      <c r="U106" s="14">
        <f t="shared" si="26"/>
        <v>0.10596600735647828</v>
      </c>
      <c r="V106" s="14">
        <f t="shared" si="26"/>
        <v>0.10451441821460872</v>
      </c>
      <c r="W106" s="14">
        <f t="shared" si="26"/>
        <v>0.08999852679591305</v>
      </c>
      <c r="X106" s="14">
        <f t="shared" si="26"/>
        <v>0.08128899194469566</v>
      </c>
      <c r="Y106" s="14">
        <f t="shared" si="26"/>
        <v>0.07257945709347827</v>
      </c>
      <c r="Z106" s="14">
        <f t="shared" si="26"/>
        <v>0.06967627880973915</v>
      </c>
      <c r="AA106" s="14">
        <f t="shared" si="26"/>
        <v>0.06677310052600001</v>
      </c>
      <c r="AB106" s="14">
        <f t="shared" si="26"/>
        <v>0.06386992224226087</v>
      </c>
      <c r="AC106" s="14">
        <f t="shared" si="30"/>
        <v>1.696907706845522</v>
      </c>
    </row>
    <row r="107" spans="1:29" ht="12.75">
      <c r="A107" s="27" t="str">
        <f t="shared" si="28"/>
        <v>Idaho Power Co - ID</v>
      </c>
      <c r="B107" s="190" t="s">
        <v>72</v>
      </c>
      <c r="C107" s="190" t="s">
        <v>19</v>
      </c>
      <c r="D107" s="208">
        <v>5027204</v>
      </c>
      <c r="E107" s="208">
        <v>3787149</v>
      </c>
      <c r="F107" s="208">
        <v>5034014</v>
      </c>
      <c r="G107" s="208">
        <v>13848367</v>
      </c>
      <c r="H107" s="13">
        <v>0.08654456643988724</v>
      </c>
      <c r="I107" s="14">
        <f t="shared" si="31"/>
        <v>17.308913287977447</v>
      </c>
      <c r="J107" s="14">
        <f t="shared" si="31"/>
        <v>19.039804616775193</v>
      </c>
      <c r="K107" s="14">
        <f t="shared" si="31"/>
        <v>20.77069594557294</v>
      </c>
      <c r="L107" s="14">
        <f t="shared" si="31"/>
        <v>22.50158727437068</v>
      </c>
      <c r="M107" s="14">
        <f t="shared" si="31"/>
        <v>24.232478603168428</v>
      </c>
      <c r="N107" s="14">
        <f t="shared" si="31"/>
        <v>25.0979242675673</v>
      </c>
      <c r="O107" s="14">
        <f t="shared" si="31"/>
        <v>27.694261260763916</v>
      </c>
      <c r="P107" s="14">
        <f t="shared" si="31"/>
        <v>29.425152589561662</v>
      </c>
      <c r="Q107" s="14">
        <f t="shared" si="31"/>
        <v>30.290598253960535</v>
      </c>
      <c r="R107" s="14">
        <f t="shared" si="29"/>
        <v>31.15604391835941</v>
      </c>
      <c r="S107" s="14">
        <f t="shared" si="26"/>
        <v>31.588766750558843</v>
      </c>
      <c r="T107" s="14">
        <f t="shared" si="26"/>
        <v>31.588766750558843</v>
      </c>
      <c r="U107" s="14">
        <f t="shared" si="26"/>
        <v>31.588766750558843</v>
      </c>
      <c r="V107" s="14">
        <f t="shared" si="26"/>
        <v>31.15604391835941</v>
      </c>
      <c r="W107" s="14">
        <f t="shared" si="26"/>
        <v>26.828815596365043</v>
      </c>
      <c r="X107" s="14">
        <f t="shared" si="26"/>
        <v>24.232478603168428</v>
      </c>
      <c r="Y107" s="14">
        <f t="shared" si="26"/>
        <v>21.636141609971812</v>
      </c>
      <c r="Z107" s="14">
        <f t="shared" si="26"/>
        <v>20.77069594557294</v>
      </c>
      <c r="AA107" s="14">
        <f t="shared" si="26"/>
        <v>19.905250281174066</v>
      </c>
      <c r="AB107" s="14">
        <f t="shared" si="26"/>
        <v>19.039804616775193</v>
      </c>
      <c r="AC107" s="14">
        <f t="shared" si="30"/>
        <v>505.8529908411409</v>
      </c>
    </row>
    <row r="108" spans="1:29" ht="12.75">
      <c r="A108" s="27" t="str">
        <f t="shared" si="28"/>
        <v>Idaho Power Co - OR</v>
      </c>
      <c r="B108" s="190" t="s">
        <v>72</v>
      </c>
      <c r="C108" s="190" t="s">
        <v>22</v>
      </c>
      <c r="D108" s="208">
        <v>199962</v>
      </c>
      <c r="E108" s="208">
        <v>150172</v>
      </c>
      <c r="F108" s="208">
        <v>343324</v>
      </c>
      <c r="G108" s="208">
        <v>693458</v>
      </c>
      <c r="H108" s="13">
        <v>0.004333725554375568</v>
      </c>
      <c r="I108" s="14">
        <f t="shared" si="31"/>
        <v>0.8667451108751136</v>
      </c>
      <c r="J108" s="14">
        <f t="shared" si="31"/>
        <v>0.953419621962625</v>
      </c>
      <c r="K108" s="14">
        <f t="shared" si="31"/>
        <v>1.0400941330501363</v>
      </c>
      <c r="L108" s="14">
        <f t="shared" si="31"/>
        <v>1.1267686441376477</v>
      </c>
      <c r="M108" s="14">
        <f t="shared" si="31"/>
        <v>1.213443155225159</v>
      </c>
      <c r="N108" s="14">
        <f t="shared" si="31"/>
        <v>1.2567804107689147</v>
      </c>
      <c r="O108" s="14">
        <f t="shared" si="31"/>
        <v>1.386792177400182</v>
      </c>
      <c r="P108" s="14">
        <f t="shared" si="31"/>
        <v>1.4734666884876932</v>
      </c>
      <c r="Q108" s="14">
        <f t="shared" si="31"/>
        <v>1.516803944031449</v>
      </c>
      <c r="R108" s="14">
        <f t="shared" si="29"/>
        <v>1.5601411995752046</v>
      </c>
      <c r="S108" s="14">
        <f t="shared" si="26"/>
        <v>1.5818098273470824</v>
      </c>
      <c r="T108" s="14">
        <f t="shared" si="26"/>
        <v>1.5818098273470824</v>
      </c>
      <c r="U108" s="14">
        <f t="shared" si="26"/>
        <v>1.5818098273470824</v>
      </c>
      <c r="V108" s="14">
        <f t="shared" si="26"/>
        <v>1.5601411995752046</v>
      </c>
      <c r="W108" s="14">
        <f t="shared" si="26"/>
        <v>1.343454921856426</v>
      </c>
      <c r="X108" s="14">
        <f t="shared" si="26"/>
        <v>1.213443155225159</v>
      </c>
      <c r="Y108" s="14">
        <f t="shared" si="26"/>
        <v>1.083431388593892</v>
      </c>
      <c r="Z108" s="14">
        <f t="shared" si="26"/>
        <v>1.0400941330501363</v>
      </c>
      <c r="AA108" s="14">
        <f t="shared" si="26"/>
        <v>0.9967568775063806</v>
      </c>
      <c r="AB108" s="14">
        <f t="shared" si="26"/>
        <v>0.953419621962625</v>
      </c>
      <c r="AC108" s="14">
        <f t="shared" si="30"/>
        <v>25.330625865325196</v>
      </c>
    </row>
    <row r="109" spans="1:29" ht="12.75">
      <c r="A109" s="27" t="str">
        <f t="shared" si="28"/>
        <v>Inland Power &amp; Light Company - WA</v>
      </c>
      <c r="B109" s="190" t="s">
        <v>68</v>
      </c>
      <c r="C109" s="190" t="s">
        <v>14</v>
      </c>
      <c r="D109" s="208">
        <v>580461</v>
      </c>
      <c r="E109" s="208">
        <v>94948</v>
      </c>
      <c r="F109" s="208">
        <v>104137</v>
      </c>
      <c r="G109" s="208">
        <v>779546</v>
      </c>
      <c r="H109" s="13">
        <v>0.004871727517760638</v>
      </c>
      <c r="I109" s="14">
        <f t="shared" si="31"/>
        <v>0.9743455035521277</v>
      </c>
      <c r="J109" s="14">
        <f t="shared" si="31"/>
        <v>1.0717800539073405</v>
      </c>
      <c r="K109" s="14">
        <f t="shared" si="31"/>
        <v>1.1692146042625533</v>
      </c>
      <c r="L109" s="14">
        <f t="shared" si="31"/>
        <v>1.266649154617766</v>
      </c>
      <c r="M109" s="14">
        <f t="shared" si="31"/>
        <v>1.3640837049729788</v>
      </c>
      <c r="N109" s="14">
        <f t="shared" si="31"/>
        <v>1.4128009801505852</v>
      </c>
      <c r="O109" s="14">
        <f t="shared" si="31"/>
        <v>1.5589528056834043</v>
      </c>
      <c r="P109" s="14">
        <f t="shared" si="31"/>
        <v>1.656387356038617</v>
      </c>
      <c r="Q109" s="14">
        <f t="shared" si="31"/>
        <v>1.7051046312162235</v>
      </c>
      <c r="R109" s="14">
        <f t="shared" si="29"/>
        <v>1.7538219063938298</v>
      </c>
      <c r="S109" s="14">
        <f t="shared" si="26"/>
        <v>1.778180543982633</v>
      </c>
      <c r="T109" s="14">
        <f t="shared" si="26"/>
        <v>1.778180543982633</v>
      </c>
      <c r="U109" s="14">
        <f t="shared" si="26"/>
        <v>1.778180543982633</v>
      </c>
      <c r="V109" s="14">
        <f t="shared" si="26"/>
        <v>1.7538219063938298</v>
      </c>
      <c r="W109" s="14">
        <f t="shared" si="26"/>
        <v>1.510235530505798</v>
      </c>
      <c r="X109" s="14">
        <f t="shared" si="26"/>
        <v>1.3640837049729788</v>
      </c>
      <c r="Y109" s="14">
        <f t="shared" si="26"/>
        <v>1.2179318794401597</v>
      </c>
      <c r="Z109" s="14">
        <f t="shared" si="26"/>
        <v>1.1692146042625533</v>
      </c>
      <c r="AA109" s="14">
        <f t="shared" si="26"/>
        <v>1.120497329084947</v>
      </c>
      <c r="AB109" s="14">
        <f t="shared" si="26"/>
        <v>1.0717800539073405</v>
      </c>
      <c r="AC109" s="14">
        <f t="shared" si="30"/>
        <v>28.475247341310933</v>
      </c>
    </row>
    <row r="110" spans="1:29" ht="12.75">
      <c r="A110" s="27" t="str">
        <f t="shared" si="28"/>
        <v>Inland Power &amp; Light Company - ID</v>
      </c>
      <c r="B110" s="190" t="s">
        <v>68</v>
      </c>
      <c r="C110" s="190" t="s">
        <v>19</v>
      </c>
      <c r="D110" s="208">
        <v>23263</v>
      </c>
      <c r="E110" s="208">
        <v>3735</v>
      </c>
      <c r="F110" s="208">
        <v>22</v>
      </c>
      <c r="G110" s="208">
        <v>27020</v>
      </c>
      <c r="H110" s="13">
        <v>0.00016885992299350193</v>
      </c>
      <c r="I110" s="14">
        <f t="shared" si="31"/>
        <v>0.033771984598700386</v>
      </c>
      <c r="J110" s="14">
        <f t="shared" si="31"/>
        <v>0.03714918305857042</v>
      </c>
      <c r="K110" s="14">
        <f t="shared" si="31"/>
        <v>0.040526381518440464</v>
      </c>
      <c r="L110" s="14">
        <f t="shared" si="31"/>
        <v>0.0439035799783105</v>
      </c>
      <c r="M110" s="14">
        <f t="shared" si="31"/>
        <v>0.04728077843818054</v>
      </c>
      <c r="N110" s="14">
        <f t="shared" si="31"/>
        <v>0.04896937766811556</v>
      </c>
      <c r="O110" s="14">
        <f t="shared" si="31"/>
        <v>0.054035175357920615</v>
      </c>
      <c r="P110" s="14">
        <f t="shared" si="31"/>
        <v>0.05741237381779066</v>
      </c>
      <c r="Q110" s="14">
        <f t="shared" si="31"/>
        <v>0.05910097304772568</v>
      </c>
      <c r="R110" s="14">
        <f t="shared" si="29"/>
        <v>0.06078957227766069</v>
      </c>
      <c r="S110" s="14">
        <f t="shared" si="26"/>
        <v>0.06163387189262821</v>
      </c>
      <c r="T110" s="14">
        <f t="shared" si="26"/>
        <v>0.06163387189262821</v>
      </c>
      <c r="U110" s="14">
        <f t="shared" si="26"/>
        <v>0.06163387189262821</v>
      </c>
      <c r="V110" s="14">
        <f t="shared" si="26"/>
        <v>0.06078957227766069</v>
      </c>
      <c r="W110" s="14">
        <f t="shared" si="26"/>
        <v>0.0523465761279856</v>
      </c>
      <c r="X110" s="14">
        <f t="shared" si="26"/>
        <v>0.04728077843818054</v>
      </c>
      <c r="Y110" s="14">
        <f t="shared" si="26"/>
        <v>0.042214980748375486</v>
      </c>
      <c r="Z110" s="14">
        <f t="shared" si="26"/>
        <v>0.040526381518440464</v>
      </c>
      <c r="AA110" s="14">
        <f t="shared" si="26"/>
        <v>0.03883778228850544</v>
      </c>
      <c r="AB110" s="14">
        <f t="shared" si="26"/>
        <v>0.03714918305857042</v>
      </c>
      <c r="AC110" s="14">
        <f t="shared" si="30"/>
        <v>0.9869862498970188</v>
      </c>
    </row>
    <row r="111" spans="1:29" ht="12.75">
      <c r="A111" s="27" t="str">
        <f t="shared" si="28"/>
        <v>Kootenai Electric Coop Inc - ID</v>
      </c>
      <c r="B111" s="190" t="s">
        <v>75</v>
      </c>
      <c r="C111" s="190" t="s">
        <v>19</v>
      </c>
      <c r="D111" s="208">
        <v>274601</v>
      </c>
      <c r="E111" s="208">
        <v>102892</v>
      </c>
      <c r="F111" s="208">
        <v>26056</v>
      </c>
      <c r="G111" s="208">
        <v>403549</v>
      </c>
      <c r="H111" s="13">
        <v>0.0025219560719505815</v>
      </c>
      <c r="I111" s="14">
        <f t="shared" si="31"/>
        <v>0.5043912143901162</v>
      </c>
      <c r="J111" s="14">
        <f t="shared" si="31"/>
        <v>0.5548303358291279</v>
      </c>
      <c r="K111" s="14">
        <f t="shared" si="31"/>
        <v>0.6052694572681395</v>
      </c>
      <c r="L111" s="14">
        <f t="shared" si="31"/>
        <v>0.6557085787071512</v>
      </c>
      <c r="M111" s="14">
        <f t="shared" si="31"/>
        <v>0.7061477001461628</v>
      </c>
      <c r="N111" s="14">
        <f t="shared" si="31"/>
        <v>0.7313672608656686</v>
      </c>
      <c r="O111" s="14">
        <f t="shared" si="31"/>
        <v>0.8070259430241861</v>
      </c>
      <c r="P111" s="14">
        <f t="shared" si="31"/>
        <v>0.8574650644631977</v>
      </c>
      <c r="Q111" s="14">
        <f t="shared" si="31"/>
        <v>0.8826846251827035</v>
      </c>
      <c r="R111" s="14">
        <f t="shared" si="29"/>
        <v>0.9079041859022093</v>
      </c>
      <c r="S111" s="14">
        <f t="shared" si="26"/>
        <v>0.9205139662619622</v>
      </c>
      <c r="T111" s="14">
        <f t="shared" si="26"/>
        <v>0.9205139662619622</v>
      </c>
      <c r="U111" s="14">
        <f t="shared" si="26"/>
        <v>0.9205139662619622</v>
      </c>
      <c r="V111" s="14">
        <f t="shared" si="26"/>
        <v>0.9079041859022093</v>
      </c>
      <c r="W111" s="14">
        <f t="shared" si="26"/>
        <v>0.7818063823046802</v>
      </c>
      <c r="X111" s="14">
        <f t="shared" si="26"/>
        <v>0.7061477001461628</v>
      </c>
      <c r="Y111" s="14">
        <f t="shared" si="26"/>
        <v>0.6304890179876453</v>
      </c>
      <c r="Z111" s="14">
        <f t="shared" si="26"/>
        <v>0.6052694572681395</v>
      </c>
      <c r="AA111" s="14">
        <f t="shared" si="26"/>
        <v>0.5800498965486337</v>
      </c>
      <c r="AB111" s="14">
        <f t="shared" si="26"/>
        <v>0.5548303358291279</v>
      </c>
      <c r="AC111" s="14">
        <f t="shared" si="30"/>
        <v>14.740833240551149</v>
      </c>
    </row>
    <row r="112" spans="1:29" ht="12.75">
      <c r="A112" s="27" t="str">
        <f t="shared" si="28"/>
        <v>Kootenai Electric Coop Inc - WA</v>
      </c>
      <c r="B112" s="190" t="s">
        <v>75</v>
      </c>
      <c r="C112" s="190" t="s">
        <v>14</v>
      </c>
      <c r="D112" s="208">
        <v>1652</v>
      </c>
      <c r="E112" s="208">
        <v>32</v>
      </c>
      <c r="F112" s="208">
        <v>1</v>
      </c>
      <c r="G112" s="208">
        <v>1685</v>
      </c>
      <c r="H112" s="13">
        <v>1.0530309779572566E-05</v>
      </c>
      <c r="I112" s="14">
        <f t="shared" si="31"/>
        <v>0.002106061955914513</v>
      </c>
      <c r="J112" s="14">
        <f t="shared" si="31"/>
        <v>0.0023166681515059645</v>
      </c>
      <c r="K112" s="14">
        <f t="shared" si="31"/>
        <v>0.002527274347097416</v>
      </c>
      <c r="L112" s="14">
        <f t="shared" si="31"/>
        <v>0.002737880542688867</v>
      </c>
      <c r="M112" s="14">
        <f t="shared" si="31"/>
        <v>0.0029484867382803186</v>
      </c>
      <c r="N112" s="14">
        <f t="shared" si="31"/>
        <v>0.0030537898360760442</v>
      </c>
      <c r="O112" s="14">
        <f t="shared" si="31"/>
        <v>0.0033696991294632213</v>
      </c>
      <c r="P112" s="14">
        <f t="shared" si="31"/>
        <v>0.0035803053250546726</v>
      </c>
      <c r="Q112" s="14">
        <f t="shared" si="31"/>
        <v>0.0036856084228503983</v>
      </c>
      <c r="R112" s="14">
        <f t="shared" si="29"/>
        <v>0.003790911520646124</v>
      </c>
      <c r="S112" s="14">
        <f t="shared" si="26"/>
        <v>0.003843563069543987</v>
      </c>
      <c r="T112" s="14">
        <f t="shared" si="26"/>
        <v>0.003843563069543987</v>
      </c>
      <c r="U112" s="14">
        <f t="shared" si="26"/>
        <v>0.003843563069543987</v>
      </c>
      <c r="V112" s="14">
        <f t="shared" si="26"/>
        <v>0.003790911520646124</v>
      </c>
      <c r="W112" s="14">
        <f t="shared" si="26"/>
        <v>0.0032643960316674956</v>
      </c>
      <c r="X112" s="14">
        <f t="shared" si="26"/>
        <v>0.0029484867382803186</v>
      </c>
      <c r="Y112" s="14">
        <f t="shared" si="26"/>
        <v>0.0026325774448931415</v>
      </c>
      <c r="Z112" s="14">
        <f t="shared" si="26"/>
        <v>0.002527274347097416</v>
      </c>
      <c r="AA112" s="14">
        <f t="shared" si="26"/>
        <v>0.00242197124930169</v>
      </c>
      <c r="AB112" s="14">
        <f t="shared" si="26"/>
        <v>0.0023166681515059645</v>
      </c>
      <c r="AC112" s="14">
        <f t="shared" si="30"/>
        <v>0.06154966066160165</v>
      </c>
    </row>
    <row r="113" spans="1:29" ht="12.75">
      <c r="A113" s="27" t="str">
        <f t="shared" si="28"/>
        <v>Lakeview Light &amp; Power - WA</v>
      </c>
      <c r="B113" s="190" t="s">
        <v>76</v>
      </c>
      <c r="C113" s="190" t="s">
        <v>14</v>
      </c>
      <c r="D113" s="208">
        <v>144054</v>
      </c>
      <c r="E113" s="208">
        <v>131198</v>
      </c>
      <c r="F113" s="208">
        <v>0</v>
      </c>
      <c r="G113" s="208">
        <v>275252</v>
      </c>
      <c r="H113" s="13">
        <v>0.00172017141094772</v>
      </c>
      <c r="I113" s="14">
        <f aca="true" t="shared" si="32" ref="I113:Q122">$H113*I$33</f>
        <v>0.344034282189544</v>
      </c>
      <c r="J113" s="14">
        <f t="shared" si="32"/>
        <v>0.3784377104084984</v>
      </c>
      <c r="K113" s="14">
        <f t="shared" si="32"/>
        <v>0.4128411386274528</v>
      </c>
      <c r="L113" s="14">
        <f t="shared" si="32"/>
        <v>0.44724456684640723</v>
      </c>
      <c r="M113" s="14">
        <f t="shared" si="32"/>
        <v>0.4816479950653616</v>
      </c>
      <c r="N113" s="14">
        <f t="shared" si="32"/>
        <v>0.4988497091748388</v>
      </c>
      <c r="O113" s="14">
        <f t="shared" si="32"/>
        <v>0.5504548515032704</v>
      </c>
      <c r="P113" s="14">
        <f t="shared" si="32"/>
        <v>0.5848582797222248</v>
      </c>
      <c r="Q113" s="14">
        <f t="shared" si="32"/>
        <v>0.6020599938317021</v>
      </c>
      <c r="R113" s="14">
        <f t="shared" si="29"/>
        <v>0.6192617079411792</v>
      </c>
      <c r="S113" s="14">
        <f t="shared" si="26"/>
        <v>0.6278625649959179</v>
      </c>
      <c r="T113" s="14">
        <f t="shared" si="26"/>
        <v>0.6278625649959179</v>
      </c>
      <c r="U113" s="14">
        <f t="shared" si="26"/>
        <v>0.6278625649959179</v>
      </c>
      <c r="V113" s="14">
        <f t="shared" si="26"/>
        <v>0.6192617079411792</v>
      </c>
      <c r="W113" s="14">
        <f t="shared" si="26"/>
        <v>0.5332531373937932</v>
      </c>
      <c r="X113" s="14">
        <f t="shared" si="26"/>
        <v>0.4816479950653616</v>
      </c>
      <c r="Y113" s="14">
        <f t="shared" si="26"/>
        <v>0.43004285273693</v>
      </c>
      <c r="Z113" s="14">
        <f t="shared" si="26"/>
        <v>0.4128411386274528</v>
      </c>
      <c r="AA113" s="14">
        <f t="shared" si="26"/>
        <v>0.3956394245179756</v>
      </c>
      <c r="AB113" s="14">
        <f t="shared" si="26"/>
        <v>0.3784377104084984</v>
      </c>
      <c r="AC113" s="14">
        <f t="shared" si="30"/>
        <v>10.054401896989424</v>
      </c>
    </row>
    <row r="114" spans="1:29" ht="12.75">
      <c r="A114" s="27" t="str">
        <f t="shared" si="28"/>
        <v>Lane Electric Coop Inc - OR</v>
      </c>
      <c r="B114" s="190" t="s">
        <v>77</v>
      </c>
      <c r="C114" s="190" t="s">
        <v>22</v>
      </c>
      <c r="D114" s="208">
        <v>199002</v>
      </c>
      <c r="E114" s="208">
        <v>36302</v>
      </c>
      <c r="F114" s="208">
        <v>112</v>
      </c>
      <c r="G114" s="208">
        <v>235416</v>
      </c>
      <c r="H114" s="13">
        <v>0.0014712186392094096</v>
      </c>
      <c r="I114" s="14">
        <f t="shared" si="32"/>
        <v>0.2942437278418819</v>
      </c>
      <c r="J114" s="14">
        <f t="shared" si="32"/>
        <v>0.3236681006260701</v>
      </c>
      <c r="K114" s="14">
        <f t="shared" si="32"/>
        <v>0.3530924734102583</v>
      </c>
      <c r="L114" s="14">
        <f t="shared" si="32"/>
        <v>0.3825168461944465</v>
      </c>
      <c r="M114" s="14">
        <f t="shared" si="32"/>
        <v>0.41194121897863467</v>
      </c>
      <c r="N114" s="14">
        <f t="shared" si="32"/>
        <v>0.42665340537072877</v>
      </c>
      <c r="O114" s="14">
        <f t="shared" si="32"/>
        <v>0.47078996454701105</v>
      </c>
      <c r="P114" s="14">
        <f t="shared" si="32"/>
        <v>0.5002143373311992</v>
      </c>
      <c r="Q114" s="14">
        <f t="shared" si="32"/>
        <v>0.5149265237232934</v>
      </c>
      <c r="R114" s="14">
        <f t="shared" si="29"/>
        <v>0.5296387101153874</v>
      </c>
      <c r="S114" s="14">
        <f t="shared" si="26"/>
        <v>0.5369948033114346</v>
      </c>
      <c r="T114" s="14">
        <f t="shared" si="26"/>
        <v>0.5369948033114346</v>
      </c>
      <c r="U114" s="14">
        <f t="shared" si="26"/>
        <v>0.5369948033114346</v>
      </c>
      <c r="V114" s="14">
        <f t="shared" si="26"/>
        <v>0.5296387101153874</v>
      </c>
      <c r="W114" s="14">
        <f t="shared" si="26"/>
        <v>0.45607777815491696</v>
      </c>
      <c r="X114" s="14">
        <f t="shared" si="26"/>
        <v>0.41194121897863467</v>
      </c>
      <c r="Y114" s="14">
        <f t="shared" si="26"/>
        <v>0.3678046598023524</v>
      </c>
      <c r="Z114" s="14">
        <f t="shared" si="26"/>
        <v>0.3530924734102583</v>
      </c>
      <c r="AA114" s="14">
        <f t="shared" si="26"/>
        <v>0.3383802870181642</v>
      </c>
      <c r="AB114" s="14">
        <f t="shared" si="26"/>
        <v>0.3236681006260701</v>
      </c>
      <c r="AC114" s="14">
        <f t="shared" si="30"/>
        <v>8.599272946179</v>
      </c>
    </row>
    <row r="115" spans="1:29" ht="12.75">
      <c r="A115" s="27" t="str">
        <f t="shared" si="28"/>
        <v>Lincoln Electric Coop, Inc - MT</v>
      </c>
      <c r="B115" s="190" t="s">
        <v>79</v>
      </c>
      <c r="C115" s="190" t="s">
        <v>57</v>
      </c>
      <c r="D115" s="208">
        <v>67751</v>
      </c>
      <c r="E115" s="208">
        <v>26416</v>
      </c>
      <c r="F115" s="208">
        <v>19944</v>
      </c>
      <c r="G115" s="208">
        <v>114111</v>
      </c>
      <c r="H115" s="13">
        <v>0.0007131300767102702</v>
      </c>
      <c r="I115" s="14">
        <f t="shared" si="32"/>
        <v>0.14262601534205402</v>
      </c>
      <c r="J115" s="14">
        <f t="shared" si="32"/>
        <v>0.15688861687625943</v>
      </c>
      <c r="K115" s="14">
        <f t="shared" si="32"/>
        <v>0.17115121841046485</v>
      </c>
      <c r="L115" s="14">
        <f t="shared" si="32"/>
        <v>0.18541381994467024</v>
      </c>
      <c r="M115" s="14">
        <f t="shared" si="32"/>
        <v>0.19967642147887565</v>
      </c>
      <c r="N115" s="14">
        <f t="shared" si="32"/>
        <v>0.20680772224597835</v>
      </c>
      <c r="O115" s="14">
        <f t="shared" si="32"/>
        <v>0.22820162454728646</v>
      </c>
      <c r="P115" s="14">
        <f t="shared" si="32"/>
        <v>0.24246422608149185</v>
      </c>
      <c r="Q115" s="14">
        <f t="shared" si="32"/>
        <v>0.24959552684859457</v>
      </c>
      <c r="R115" s="14">
        <f t="shared" si="29"/>
        <v>0.25672682761569726</v>
      </c>
      <c r="S115" s="14">
        <f t="shared" si="26"/>
        <v>0.2602924779992486</v>
      </c>
      <c r="T115" s="14">
        <f t="shared" si="26"/>
        <v>0.2602924779992486</v>
      </c>
      <c r="U115" s="14">
        <f t="shared" si="26"/>
        <v>0.2602924779992486</v>
      </c>
      <c r="V115" s="14">
        <f t="shared" si="26"/>
        <v>0.25672682761569726</v>
      </c>
      <c r="W115" s="14">
        <f t="shared" si="26"/>
        <v>0.22107032378018374</v>
      </c>
      <c r="X115" s="14">
        <f t="shared" si="26"/>
        <v>0.19967642147887565</v>
      </c>
      <c r="Y115" s="14">
        <f t="shared" si="26"/>
        <v>0.17828251917756754</v>
      </c>
      <c r="Z115" s="14">
        <f t="shared" si="26"/>
        <v>0.17115121841046485</v>
      </c>
      <c r="AA115" s="14">
        <f t="shared" si="26"/>
        <v>0.16401991764336213</v>
      </c>
      <c r="AB115" s="14">
        <f t="shared" si="26"/>
        <v>0.15688861687625943</v>
      </c>
      <c r="AC115" s="14">
        <f t="shared" si="30"/>
        <v>4.168245298371529</v>
      </c>
    </row>
    <row r="116" spans="1:29" ht="12.75">
      <c r="A116" s="27" t="str">
        <f t="shared" si="28"/>
        <v>Lost River Electric Coop Inc - ID</v>
      </c>
      <c r="B116" s="190" t="s">
        <v>80</v>
      </c>
      <c r="C116" s="190" t="s">
        <v>19</v>
      </c>
      <c r="D116" s="208">
        <v>25990</v>
      </c>
      <c r="E116" s="208">
        <v>4058</v>
      </c>
      <c r="F116" s="208">
        <v>46949</v>
      </c>
      <c r="G116" s="208">
        <v>76997</v>
      </c>
      <c r="H116" s="13">
        <v>0.0004811882861114237</v>
      </c>
      <c r="I116" s="14">
        <f t="shared" si="32"/>
        <v>0.09623765722228474</v>
      </c>
      <c r="J116" s="14">
        <f t="shared" si="32"/>
        <v>0.10586142294451321</v>
      </c>
      <c r="K116" s="14">
        <f t="shared" si="32"/>
        <v>0.11548518866674168</v>
      </c>
      <c r="L116" s="14">
        <f t="shared" si="32"/>
        <v>0.12510895438897016</v>
      </c>
      <c r="M116" s="14">
        <f t="shared" si="32"/>
        <v>0.13473272011119863</v>
      </c>
      <c r="N116" s="14">
        <f t="shared" si="32"/>
        <v>0.13954460297231286</v>
      </c>
      <c r="O116" s="14">
        <f t="shared" si="32"/>
        <v>0.1539802515556556</v>
      </c>
      <c r="P116" s="14">
        <f t="shared" si="32"/>
        <v>0.16360401727788404</v>
      </c>
      <c r="Q116" s="14">
        <f t="shared" si="32"/>
        <v>0.1684159001389983</v>
      </c>
      <c r="R116" s="14">
        <f t="shared" si="29"/>
        <v>0.17322778300011252</v>
      </c>
      <c r="S116" s="14">
        <f t="shared" si="26"/>
        <v>0.17563372443066966</v>
      </c>
      <c r="T116" s="14">
        <f t="shared" si="26"/>
        <v>0.17563372443066966</v>
      </c>
      <c r="U116" s="14">
        <f t="shared" si="26"/>
        <v>0.17563372443066966</v>
      </c>
      <c r="V116" s="14">
        <f t="shared" si="26"/>
        <v>0.17322778300011252</v>
      </c>
      <c r="W116" s="14">
        <f t="shared" si="26"/>
        <v>0.14916836869454134</v>
      </c>
      <c r="X116" s="14">
        <f t="shared" si="26"/>
        <v>0.13473272011119863</v>
      </c>
      <c r="Y116" s="14">
        <f t="shared" si="26"/>
        <v>0.12029707152785592</v>
      </c>
      <c r="Z116" s="14">
        <f t="shared" si="26"/>
        <v>0.11548518866674168</v>
      </c>
      <c r="AA116" s="14">
        <f t="shared" si="26"/>
        <v>0.11067330580562745</v>
      </c>
      <c r="AB116" s="14">
        <f t="shared" si="26"/>
        <v>0.10586142294451321</v>
      </c>
      <c r="AC116" s="14">
        <f t="shared" si="30"/>
        <v>2.8125455323212716</v>
      </c>
    </row>
    <row r="117" spans="1:29" ht="12.75">
      <c r="A117" s="27" t="str">
        <f t="shared" si="28"/>
        <v>Lower Valley Energy Inc - WY</v>
      </c>
      <c r="B117" s="190" t="s">
        <v>81</v>
      </c>
      <c r="C117" s="190" t="s">
        <v>58</v>
      </c>
      <c r="D117" s="208">
        <v>352678</v>
      </c>
      <c r="E117" s="208">
        <v>222024</v>
      </c>
      <c r="F117" s="208">
        <v>33631</v>
      </c>
      <c r="G117" s="208">
        <v>608333</v>
      </c>
      <c r="H117" s="13">
        <v>0.0038017418036419694</v>
      </c>
      <c r="I117" s="14">
        <f t="shared" si="32"/>
        <v>0.7603483607283938</v>
      </c>
      <c r="J117" s="14">
        <f t="shared" si="32"/>
        <v>0.8363831968012333</v>
      </c>
      <c r="K117" s="14">
        <f t="shared" si="32"/>
        <v>0.9124180328740726</v>
      </c>
      <c r="L117" s="14">
        <f t="shared" si="32"/>
        <v>0.988452868946912</v>
      </c>
      <c r="M117" s="14">
        <f t="shared" si="32"/>
        <v>1.0644877050197514</v>
      </c>
      <c r="N117" s="14">
        <f t="shared" si="32"/>
        <v>1.102505123056171</v>
      </c>
      <c r="O117" s="14">
        <f t="shared" si="32"/>
        <v>1.21655737716543</v>
      </c>
      <c r="P117" s="14">
        <f t="shared" si="32"/>
        <v>1.2925922132382697</v>
      </c>
      <c r="Q117" s="14">
        <f t="shared" si="32"/>
        <v>1.3306096312746893</v>
      </c>
      <c r="R117" s="14">
        <f t="shared" si="29"/>
        <v>1.368627049311109</v>
      </c>
      <c r="S117" s="14">
        <f t="shared" si="26"/>
        <v>1.3876357583293188</v>
      </c>
      <c r="T117" s="14">
        <f t="shared" si="26"/>
        <v>1.3876357583293188</v>
      </c>
      <c r="U117" s="14">
        <f t="shared" si="26"/>
        <v>1.3876357583293188</v>
      </c>
      <c r="V117" s="14">
        <f t="shared" si="26"/>
        <v>1.368627049311109</v>
      </c>
      <c r="W117" s="14">
        <f t="shared" si="26"/>
        <v>1.1785399591290104</v>
      </c>
      <c r="X117" s="14">
        <f t="shared" si="26"/>
        <v>1.0644877050197514</v>
      </c>
      <c r="Y117" s="14">
        <f t="shared" si="26"/>
        <v>0.9504354509104923</v>
      </c>
      <c r="Z117" s="14">
        <f t="shared" si="26"/>
        <v>0.9124180328740726</v>
      </c>
      <c r="AA117" s="14">
        <f t="shared" si="26"/>
        <v>0.874400614837653</v>
      </c>
      <c r="AB117" s="14">
        <f t="shared" si="26"/>
        <v>0.8363831968012333</v>
      </c>
      <c r="AC117" s="14">
        <f t="shared" si="30"/>
        <v>22.22118084228731</v>
      </c>
    </row>
    <row r="118" spans="1:29" ht="12.75">
      <c r="A118" s="27" t="str">
        <f t="shared" si="28"/>
        <v>Lower Valley Energy Inc - ID</v>
      </c>
      <c r="B118" s="190" t="s">
        <v>81</v>
      </c>
      <c r="C118" s="190" t="s">
        <v>19</v>
      </c>
      <c r="D118" s="208">
        <v>12730</v>
      </c>
      <c r="E118" s="208">
        <v>3736</v>
      </c>
      <c r="F118" s="208">
        <v>44206</v>
      </c>
      <c r="G118" s="208">
        <v>60672</v>
      </c>
      <c r="H118" s="13">
        <v>0.0003791661453686806</v>
      </c>
      <c r="I118" s="14">
        <f t="shared" si="32"/>
        <v>0.07583322907373612</v>
      </c>
      <c r="J118" s="14">
        <f t="shared" si="32"/>
        <v>0.08341655198110973</v>
      </c>
      <c r="K118" s="14">
        <f t="shared" si="32"/>
        <v>0.09099987488848334</v>
      </c>
      <c r="L118" s="14">
        <f t="shared" si="32"/>
        <v>0.09858319779585695</v>
      </c>
      <c r="M118" s="14">
        <f t="shared" si="32"/>
        <v>0.10616652070323057</v>
      </c>
      <c r="N118" s="14">
        <f t="shared" si="32"/>
        <v>0.10995818215691737</v>
      </c>
      <c r="O118" s="14">
        <f t="shared" si="32"/>
        <v>0.12133316651797779</v>
      </c>
      <c r="P118" s="14">
        <f t="shared" si="32"/>
        <v>0.1289164894253514</v>
      </c>
      <c r="Q118" s="14">
        <f t="shared" si="32"/>
        <v>0.1327081508790382</v>
      </c>
      <c r="R118" s="14">
        <f t="shared" si="29"/>
        <v>0.136499812332725</v>
      </c>
      <c r="S118" s="14">
        <f t="shared" si="26"/>
        <v>0.13839564305956842</v>
      </c>
      <c r="T118" s="14">
        <f aca="true" t="shared" si="33" ref="S118:AB143">$H118*T$33</f>
        <v>0.13839564305956842</v>
      </c>
      <c r="U118" s="14">
        <f t="shared" si="33"/>
        <v>0.13839564305956842</v>
      </c>
      <c r="V118" s="14">
        <f t="shared" si="33"/>
        <v>0.136499812332725</v>
      </c>
      <c r="W118" s="14">
        <f t="shared" si="33"/>
        <v>0.11754150506429098</v>
      </c>
      <c r="X118" s="14">
        <f t="shared" si="33"/>
        <v>0.10616652070323057</v>
      </c>
      <c r="Y118" s="14">
        <f t="shared" si="33"/>
        <v>0.09479153634217015</v>
      </c>
      <c r="Z118" s="14">
        <f t="shared" si="33"/>
        <v>0.09099987488848334</v>
      </c>
      <c r="AA118" s="14">
        <f t="shared" si="33"/>
        <v>0.08720821343479654</v>
      </c>
      <c r="AB118" s="14">
        <f t="shared" si="33"/>
        <v>0.08341655198110973</v>
      </c>
      <c r="AC118" s="14">
        <f t="shared" si="30"/>
        <v>2.216226119679938</v>
      </c>
    </row>
    <row r="119" spans="1:29" ht="12.75">
      <c r="A119" s="27" t="str">
        <f t="shared" si="28"/>
        <v>Midstate Electric Coop, Inc - OR</v>
      </c>
      <c r="B119" s="190" t="s">
        <v>86</v>
      </c>
      <c r="C119" s="190" t="s">
        <v>22</v>
      </c>
      <c r="D119" s="208">
        <v>235718</v>
      </c>
      <c r="E119" s="208">
        <v>110881</v>
      </c>
      <c r="F119" s="208">
        <v>30282</v>
      </c>
      <c r="G119" s="208">
        <v>376881</v>
      </c>
      <c r="H119" s="13">
        <v>0.002355295952543079</v>
      </c>
      <c r="I119" s="14">
        <f t="shared" si="32"/>
        <v>0.4710591905086158</v>
      </c>
      <c r="J119" s="14">
        <f t="shared" si="32"/>
        <v>0.5181651095594774</v>
      </c>
      <c r="K119" s="14">
        <f t="shared" si="32"/>
        <v>0.565271028610339</v>
      </c>
      <c r="L119" s="14">
        <f t="shared" si="32"/>
        <v>0.6123769476612005</v>
      </c>
      <c r="M119" s="14">
        <f t="shared" si="32"/>
        <v>0.6594828667120621</v>
      </c>
      <c r="N119" s="14">
        <f t="shared" si="32"/>
        <v>0.6830358262374929</v>
      </c>
      <c r="O119" s="14">
        <f t="shared" si="32"/>
        <v>0.7536947048137853</v>
      </c>
      <c r="P119" s="14">
        <f t="shared" si="32"/>
        <v>0.8008006238646469</v>
      </c>
      <c r="Q119" s="14">
        <f t="shared" si="32"/>
        <v>0.8243535833900777</v>
      </c>
      <c r="R119" s="14">
        <f t="shared" si="29"/>
        <v>0.8479065429155085</v>
      </c>
      <c r="S119" s="14">
        <f t="shared" si="33"/>
        <v>0.8596830226782238</v>
      </c>
      <c r="T119" s="14">
        <f t="shared" si="33"/>
        <v>0.8596830226782238</v>
      </c>
      <c r="U119" s="14">
        <f t="shared" si="33"/>
        <v>0.8596830226782238</v>
      </c>
      <c r="V119" s="14">
        <f t="shared" si="33"/>
        <v>0.8479065429155085</v>
      </c>
      <c r="W119" s="14">
        <f t="shared" si="33"/>
        <v>0.7301417452883545</v>
      </c>
      <c r="X119" s="14">
        <f t="shared" si="33"/>
        <v>0.6594828667120621</v>
      </c>
      <c r="Y119" s="14">
        <f t="shared" si="33"/>
        <v>0.5888239881357697</v>
      </c>
      <c r="Z119" s="14">
        <f t="shared" si="33"/>
        <v>0.565271028610339</v>
      </c>
      <c r="AA119" s="14">
        <f t="shared" si="33"/>
        <v>0.5417180690849082</v>
      </c>
      <c r="AB119" s="14">
        <f t="shared" si="33"/>
        <v>0.5181651095594774</v>
      </c>
      <c r="AC119" s="14">
        <f t="shared" si="30"/>
        <v>13.766704842614297</v>
      </c>
    </row>
    <row r="120" spans="1:29" ht="12.75">
      <c r="A120" s="27" t="str">
        <f t="shared" si="28"/>
        <v>Mission Valley Power - MT</v>
      </c>
      <c r="B120" s="190" t="s">
        <v>134</v>
      </c>
      <c r="C120" s="190" t="s">
        <v>57</v>
      </c>
      <c r="D120" s="208">
        <v>209096</v>
      </c>
      <c r="E120" s="208">
        <v>116747</v>
      </c>
      <c r="F120" s="208">
        <v>15485</v>
      </c>
      <c r="G120" s="208">
        <v>341328</v>
      </c>
      <c r="H120" s="13">
        <v>0.0021331095409151007</v>
      </c>
      <c r="I120" s="14">
        <f t="shared" si="32"/>
        <v>0.42662190818302015</v>
      </c>
      <c r="J120" s="14">
        <f t="shared" si="32"/>
        <v>0.4692840990013222</v>
      </c>
      <c r="K120" s="14">
        <f t="shared" si="32"/>
        <v>0.5119462898196242</v>
      </c>
      <c r="L120" s="14">
        <f t="shared" si="32"/>
        <v>0.5546084806379262</v>
      </c>
      <c r="M120" s="14">
        <f t="shared" si="32"/>
        <v>0.5972706714562281</v>
      </c>
      <c r="N120" s="14">
        <f t="shared" si="32"/>
        <v>0.6186017668653792</v>
      </c>
      <c r="O120" s="14">
        <f t="shared" si="32"/>
        <v>0.6825950530928322</v>
      </c>
      <c r="P120" s="14">
        <f t="shared" si="32"/>
        <v>0.7252572439111342</v>
      </c>
      <c r="Q120" s="14">
        <f t="shared" si="32"/>
        <v>0.7465883393202852</v>
      </c>
      <c r="R120" s="14">
        <f t="shared" si="29"/>
        <v>0.7679194347294362</v>
      </c>
      <c r="S120" s="14">
        <f t="shared" si="33"/>
        <v>0.7785849824340118</v>
      </c>
      <c r="T120" s="14">
        <f t="shared" si="33"/>
        <v>0.7785849824340118</v>
      </c>
      <c r="U120" s="14">
        <f t="shared" si="33"/>
        <v>0.7785849824340118</v>
      </c>
      <c r="V120" s="14">
        <f t="shared" si="33"/>
        <v>0.7679194347294362</v>
      </c>
      <c r="W120" s="14">
        <f t="shared" si="33"/>
        <v>0.6612639576836812</v>
      </c>
      <c r="X120" s="14">
        <f t="shared" si="33"/>
        <v>0.5972706714562281</v>
      </c>
      <c r="Y120" s="14">
        <f t="shared" si="33"/>
        <v>0.5332773852287752</v>
      </c>
      <c r="Z120" s="14">
        <f t="shared" si="33"/>
        <v>0.5119462898196242</v>
      </c>
      <c r="AA120" s="14">
        <f t="shared" si="33"/>
        <v>0.49061519441047313</v>
      </c>
      <c r="AB120" s="14">
        <f t="shared" si="33"/>
        <v>0.4692840990013222</v>
      </c>
      <c r="AC120" s="14">
        <f t="shared" si="30"/>
        <v>12.468025266648764</v>
      </c>
    </row>
    <row r="121" spans="1:29" ht="12.75">
      <c r="A121" s="27" t="str">
        <f t="shared" si="28"/>
        <v>Missoula Electric Coop, Inc - MT</v>
      </c>
      <c r="B121" s="190" t="s">
        <v>90</v>
      </c>
      <c r="C121" s="190" t="s">
        <v>57</v>
      </c>
      <c r="D121" s="208">
        <v>143961</v>
      </c>
      <c r="E121" s="208">
        <v>44766</v>
      </c>
      <c r="F121" s="208">
        <v>13211</v>
      </c>
      <c r="G121" s="208">
        <v>201938</v>
      </c>
      <c r="H121" s="13">
        <v>0.0012619998197432195</v>
      </c>
      <c r="I121" s="14">
        <f t="shared" si="32"/>
        <v>0.2523999639486439</v>
      </c>
      <c r="J121" s="14">
        <f t="shared" si="32"/>
        <v>0.2776399603435083</v>
      </c>
      <c r="K121" s="14">
        <f t="shared" si="32"/>
        <v>0.30287995673837265</v>
      </c>
      <c r="L121" s="14">
        <f t="shared" si="32"/>
        <v>0.32811995313323705</v>
      </c>
      <c r="M121" s="14">
        <f t="shared" si="32"/>
        <v>0.35335994952810146</v>
      </c>
      <c r="N121" s="14">
        <f t="shared" si="32"/>
        <v>0.36597994772553366</v>
      </c>
      <c r="O121" s="14">
        <f t="shared" si="32"/>
        <v>0.4038399423178302</v>
      </c>
      <c r="P121" s="14">
        <f t="shared" si="32"/>
        <v>0.4290799387126946</v>
      </c>
      <c r="Q121" s="14">
        <f t="shared" si="32"/>
        <v>0.4416999369101268</v>
      </c>
      <c r="R121" s="14">
        <f t="shared" si="29"/>
        <v>0.454319935107559</v>
      </c>
      <c r="S121" s="14">
        <f t="shared" si="33"/>
        <v>0.4606299342062751</v>
      </c>
      <c r="T121" s="14">
        <f t="shared" si="33"/>
        <v>0.4606299342062751</v>
      </c>
      <c r="U121" s="14">
        <f t="shared" si="33"/>
        <v>0.4606299342062751</v>
      </c>
      <c r="V121" s="14">
        <f t="shared" si="33"/>
        <v>0.454319935107559</v>
      </c>
      <c r="W121" s="14">
        <f t="shared" si="33"/>
        <v>0.391219944120398</v>
      </c>
      <c r="X121" s="14">
        <f t="shared" si="33"/>
        <v>0.35335994952810146</v>
      </c>
      <c r="Y121" s="14">
        <f t="shared" si="33"/>
        <v>0.31549995493580485</v>
      </c>
      <c r="Z121" s="14">
        <f t="shared" si="33"/>
        <v>0.30287995673837265</v>
      </c>
      <c r="AA121" s="14">
        <f t="shared" si="33"/>
        <v>0.2902599585409405</v>
      </c>
      <c r="AB121" s="14">
        <f t="shared" si="33"/>
        <v>0.2776399603435083</v>
      </c>
      <c r="AC121" s="14">
        <f t="shared" si="30"/>
        <v>7.376388946399118</v>
      </c>
    </row>
    <row r="122" spans="1:29" ht="12.75">
      <c r="A122" s="27" t="str">
        <f t="shared" si="28"/>
        <v>Missoula Electric Coop, Inc - ID</v>
      </c>
      <c r="B122" s="190" t="s">
        <v>90</v>
      </c>
      <c r="C122" s="190" t="s">
        <v>19</v>
      </c>
      <c r="D122" s="208">
        <v>491</v>
      </c>
      <c r="E122" s="208">
        <v>905</v>
      </c>
      <c r="F122" s="208">
        <v>0</v>
      </c>
      <c r="G122" s="208">
        <v>1396</v>
      </c>
      <c r="H122" s="13">
        <v>8.724221039930744E-06</v>
      </c>
      <c r="I122" s="14">
        <f t="shared" si="32"/>
        <v>0.0017448442079861487</v>
      </c>
      <c r="J122" s="14">
        <f t="shared" si="32"/>
        <v>0.0019193286287847635</v>
      </c>
      <c r="K122" s="14">
        <f t="shared" si="32"/>
        <v>0.0020938130495833786</v>
      </c>
      <c r="L122" s="14">
        <f t="shared" si="32"/>
        <v>0.002268297470381993</v>
      </c>
      <c r="M122" s="14">
        <f t="shared" si="32"/>
        <v>0.0024427818911806082</v>
      </c>
      <c r="N122" s="14">
        <f t="shared" si="32"/>
        <v>0.0025300241015799156</v>
      </c>
      <c r="O122" s="14">
        <f t="shared" si="32"/>
        <v>0.002791750732777838</v>
      </c>
      <c r="P122" s="14">
        <f t="shared" si="32"/>
        <v>0.002966235153576453</v>
      </c>
      <c r="Q122" s="14">
        <f t="shared" si="32"/>
        <v>0.0030534773639757603</v>
      </c>
      <c r="R122" s="14">
        <f t="shared" si="29"/>
        <v>0.0031407195743750676</v>
      </c>
      <c r="S122" s="14">
        <f t="shared" si="33"/>
        <v>0.0031843406795747215</v>
      </c>
      <c r="T122" s="14">
        <f t="shared" si="33"/>
        <v>0.0031843406795747215</v>
      </c>
      <c r="U122" s="14">
        <f t="shared" si="33"/>
        <v>0.0031843406795747215</v>
      </c>
      <c r="V122" s="14">
        <f t="shared" si="33"/>
        <v>0.0031407195743750676</v>
      </c>
      <c r="W122" s="14">
        <f t="shared" si="33"/>
        <v>0.0027045085223785306</v>
      </c>
      <c r="X122" s="14">
        <f t="shared" si="33"/>
        <v>0.0024427818911806082</v>
      </c>
      <c r="Y122" s="14">
        <f t="shared" si="33"/>
        <v>0.002181055259982686</v>
      </c>
      <c r="Z122" s="14">
        <f t="shared" si="33"/>
        <v>0.0020938130495833786</v>
      </c>
      <c r="AA122" s="14">
        <f t="shared" si="33"/>
        <v>0.002006570839184071</v>
      </c>
      <c r="AB122" s="14">
        <f t="shared" si="33"/>
        <v>0.0019193286287847635</v>
      </c>
      <c r="AC122" s="14">
        <f t="shared" si="30"/>
        <v>0.0509930719783952</v>
      </c>
    </row>
    <row r="123" spans="1:29" ht="12.75">
      <c r="A123" s="27" t="str">
        <f t="shared" si="28"/>
        <v>Modern Electric Water Company - WA</v>
      </c>
      <c r="B123" s="190" t="s">
        <v>91</v>
      </c>
      <c r="C123" s="190" t="s">
        <v>14</v>
      </c>
      <c r="D123" s="208">
        <v>96048</v>
      </c>
      <c r="E123" s="208">
        <v>117955</v>
      </c>
      <c r="F123" s="208">
        <v>0</v>
      </c>
      <c r="G123" s="208">
        <v>214003</v>
      </c>
      <c r="H123" s="13">
        <v>0.0013373993375417614</v>
      </c>
      <c r="I123" s="14">
        <f aca="true" t="shared" si="34" ref="I123:Q131">$H123*I$33</f>
        <v>0.2674798675083523</v>
      </c>
      <c r="J123" s="14">
        <f t="shared" si="34"/>
        <v>0.2942278542591875</v>
      </c>
      <c r="K123" s="14">
        <f t="shared" si="34"/>
        <v>0.32097584101002274</v>
      </c>
      <c r="L123" s="14">
        <f t="shared" si="34"/>
        <v>0.347723827760858</v>
      </c>
      <c r="M123" s="14">
        <f t="shared" si="34"/>
        <v>0.3744718145116932</v>
      </c>
      <c r="N123" s="14">
        <f t="shared" si="34"/>
        <v>0.3878458078871108</v>
      </c>
      <c r="O123" s="14">
        <f t="shared" si="34"/>
        <v>0.42796778801336366</v>
      </c>
      <c r="P123" s="14">
        <f t="shared" si="34"/>
        <v>0.4547157747641989</v>
      </c>
      <c r="Q123" s="14">
        <f t="shared" si="34"/>
        <v>0.4680897681396165</v>
      </c>
      <c r="R123" s="14">
        <f t="shared" si="29"/>
        <v>0.4814637615150341</v>
      </c>
      <c r="S123" s="14">
        <f t="shared" si="33"/>
        <v>0.4881507582027429</v>
      </c>
      <c r="T123" s="14">
        <f t="shared" si="33"/>
        <v>0.4881507582027429</v>
      </c>
      <c r="U123" s="14">
        <f t="shared" si="33"/>
        <v>0.4881507582027429</v>
      </c>
      <c r="V123" s="14">
        <f t="shared" si="33"/>
        <v>0.4814637615150341</v>
      </c>
      <c r="W123" s="14">
        <f t="shared" si="33"/>
        <v>0.41459379463794604</v>
      </c>
      <c r="X123" s="14">
        <f t="shared" si="33"/>
        <v>0.3744718145116932</v>
      </c>
      <c r="Y123" s="14">
        <f t="shared" si="33"/>
        <v>0.33434983438544036</v>
      </c>
      <c r="Z123" s="14">
        <f t="shared" si="33"/>
        <v>0.32097584101002274</v>
      </c>
      <c r="AA123" s="14">
        <f t="shared" si="33"/>
        <v>0.30760184763460513</v>
      </c>
      <c r="AB123" s="14">
        <f t="shared" si="33"/>
        <v>0.2942278542591875</v>
      </c>
      <c r="AC123" s="14">
        <f t="shared" si="30"/>
        <v>7.817099127931596</v>
      </c>
    </row>
    <row r="124" spans="1:29" ht="12.75">
      <c r="A124" s="27" t="str">
        <f t="shared" si="28"/>
        <v>Nespelem Valley Elec Coop, Inc - WA</v>
      </c>
      <c r="B124" s="190" t="s">
        <v>94</v>
      </c>
      <c r="C124" s="190" t="s">
        <v>14</v>
      </c>
      <c r="D124" s="208">
        <v>18057</v>
      </c>
      <c r="E124" s="208">
        <v>16698</v>
      </c>
      <c r="F124" s="208">
        <v>11618</v>
      </c>
      <c r="G124" s="208">
        <v>46373</v>
      </c>
      <c r="H124" s="13">
        <v>0.0002898053741294473</v>
      </c>
      <c r="I124" s="14">
        <f t="shared" si="34"/>
        <v>0.057961074825889455</v>
      </c>
      <c r="J124" s="14">
        <f t="shared" si="34"/>
        <v>0.0637571823084784</v>
      </c>
      <c r="K124" s="14">
        <f t="shared" si="34"/>
        <v>0.06955328979106734</v>
      </c>
      <c r="L124" s="14">
        <f t="shared" si="34"/>
        <v>0.07534939727365629</v>
      </c>
      <c r="M124" s="14">
        <f t="shared" si="34"/>
        <v>0.08114550475624524</v>
      </c>
      <c r="N124" s="14">
        <f t="shared" si="34"/>
        <v>0.08404355849753971</v>
      </c>
      <c r="O124" s="14">
        <f t="shared" si="34"/>
        <v>0.09273771972142313</v>
      </c>
      <c r="P124" s="14">
        <f t="shared" si="34"/>
        <v>0.09853382720401208</v>
      </c>
      <c r="Q124" s="14">
        <f t="shared" si="34"/>
        <v>0.10143188094530654</v>
      </c>
      <c r="R124" s="14">
        <f t="shared" si="29"/>
        <v>0.10432993468660103</v>
      </c>
      <c r="S124" s="14">
        <f t="shared" si="33"/>
        <v>0.10577896155724825</v>
      </c>
      <c r="T124" s="14">
        <f t="shared" si="33"/>
        <v>0.10577896155724825</v>
      </c>
      <c r="U124" s="14">
        <f t="shared" si="33"/>
        <v>0.10577896155724825</v>
      </c>
      <c r="V124" s="14">
        <f t="shared" si="33"/>
        <v>0.10432993468660103</v>
      </c>
      <c r="W124" s="14">
        <f t="shared" si="33"/>
        <v>0.08983966598012866</v>
      </c>
      <c r="X124" s="14">
        <f t="shared" si="33"/>
        <v>0.08114550475624524</v>
      </c>
      <c r="Y124" s="14">
        <f t="shared" si="33"/>
        <v>0.07245134353236182</v>
      </c>
      <c r="Z124" s="14">
        <f t="shared" si="33"/>
        <v>0.06955328979106734</v>
      </c>
      <c r="AA124" s="14">
        <f t="shared" si="33"/>
        <v>0.06665523604977287</v>
      </c>
      <c r="AB124" s="14">
        <f t="shared" si="33"/>
        <v>0.0637571823084784</v>
      </c>
      <c r="AC124" s="14">
        <f t="shared" si="30"/>
        <v>1.6939124117866193</v>
      </c>
    </row>
    <row r="125" spans="1:29" ht="12.75">
      <c r="A125" s="27" t="str">
        <f t="shared" si="28"/>
        <v>Northern Lights, Inc - ID</v>
      </c>
      <c r="B125" s="190" t="s">
        <v>95</v>
      </c>
      <c r="C125" s="190" t="s">
        <v>19</v>
      </c>
      <c r="D125" s="208">
        <v>161796</v>
      </c>
      <c r="E125" s="208">
        <v>33591</v>
      </c>
      <c r="F125" s="208">
        <v>27811</v>
      </c>
      <c r="G125" s="208">
        <v>223198</v>
      </c>
      <c r="H125" s="13">
        <v>0.0013948629567839986</v>
      </c>
      <c r="I125" s="14">
        <f t="shared" si="34"/>
        <v>0.2789725913567997</v>
      </c>
      <c r="J125" s="14">
        <f t="shared" si="34"/>
        <v>0.30686985049247967</v>
      </c>
      <c r="K125" s="14">
        <f t="shared" si="34"/>
        <v>0.33476710962815964</v>
      </c>
      <c r="L125" s="14">
        <f t="shared" si="34"/>
        <v>0.3626643687638396</v>
      </c>
      <c r="M125" s="14">
        <f t="shared" si="34"/>
        <v>0.3905616278995196</v>
      </c>
      <c r="N125" s="14">
        <f t="shared" si="34"/>
        <v>0.4045102574673596</v>
      </c>
      <c r="O125" s="14">
        <f t="shared" si="34"/>
        <v>0.44635614617087954</v>
      </c>
      <c r="P125" s="14">
        <f t="shared" si="34"/>
        <v>0.4742534053065595</v>
      </c>
      <c r="Q125" s="14">
        <f t="shared" si="34"/>
        <v>0.4882020348743995</v>
      </c>
      <c r="R125" s="14">
        <f t="shared" si="29"/>
        <v>0.5021506644422394</v>
      </c>
      <c r="S125" s="14">
        <f t="shared" si="33"/>
        <v>0.5091249792261595</v>
      </c>
      <c r="T125" s="14">
        <f t="shared" si="33"/>
        <v>0.5091249792261595</v>
      </c>
      <c r="U125" s="14">
        <f t="shared" si="33"/>
        <v>0.5091249792261595</v>
      </c>
      <c r="V125" s="14">
        <f t="shared" si="33"/>
        <v>0.5021506644422394</v>
      </c>
      <c r="W125" s="14">
        <f t="shared" si="33"/>
        <v>0.43240751660303955</v>
      </c>
      <c r="X125" s="14">
        <f t="shared" si="33"/>
        <v>0.3905616278995196</v>
      </c>
      <c r="Y125" s="14">
        <f t="shared" si="33"/>
        <v>0.34871573919599963</v>
      </c>
      <c r="Z125" s="14">
        <f t="shared" si="33"/>
        <v>0.33476710962815964</v>
      </c>
      <c r="AA125" s="14">
        <f t="shared" si="33"/>
        <v>0.32081848006031966</v>
      </c>
      <c r="AB125" s="14">
        <f t="shared" si="33"/>
        <v>0.30686985049247967</v>
      </c>
      <c r="AC125" s="14">
        <f t="shared" si="30"/>
        <v>8.152973982402472</v>
      </c>
    </row>
    <row r="126" spans="1:29" ht="12.75">
      <c r="A126" s="27" t="str">
        <f t="shared" si="28"/>
        <v>Northern Lights, Inc - MT</v>
      </c>
      <c r="B126" s="190" t="s">
        <v>95</v>
      </c>
      <c r="C126" s="190" t="s">
        <v>57</v>
      </c>
      <c r="D126" s="208">
        <v>38705</v>
      </c>
      <c r="E126" s="208">
        <v>8753</v>
      </c>
      <c r="F126" s="208">
        <v>43484</v>
      </c>
      <c r="G126" s="208">
        <v>90942</v>
      </c>
      <c r="H126" s="13">
        <v>0.0005683367548806459</v>
      </c>
      <c r="I126" s="14">
        <f t="shared" si="34"/>
        <v>0.11366735097612918</v>
      </c>
      <c r="J126" s="14">
        <f t="shared" si="34"/>
        <v>0.12503408607374208</v>
      </c>
      <c r="K126" s="14">
        <f t="shared" si="34"/>
        <v>0.136400821171355</v>
      </c>
      <c r="L126" s="14">
        <f t="shared" si="34"/>
        <v>0.14776755626896793</v>
      </c>
      <c r="M126" s="14">
        <f t="shared" si="34"/>
        <v>0.15913429136658083</v>
      </c>
      <c r="N126" s="14">
        <f t="shared" si="34"/>
        <v>0.1648176589153873</v>
      </c>
      <c r="O126" s="14">
        <f t="shared" si="34"/>
        <v>0.18186776156180667</v>
      </c>
      <c r="P126" s="14">
        <f t="shared" si="34"/>
        <v>0.19323449665941958</v>
      </c>
      <c r="Q126" s="14">
        <f t="shared" si="34"/>
        <v>0.19891786420822605</v>
      </c>
      <c r="R126" s="14">
        <f t="shared" si="29"/>
        <v>0.20460123175703251</v>
      </c>
      <c r="S126" s="14">
        <f t="shared" si="33"/>
        <v>0.20744291553143573</v>
      </c>
      <c r="T126" s="14">
        <f t="shared" si="33"/>
        <v>0.20744291553143573</v>
      </c>
      <c r="U126" s="14">
        <f t="shared" si="33"/>
        <v>0.20744291553143573</v>
      </c>
      <c r="V126" s="14">
        <f t="shared" si="33"/>
        <v>0.20460123175703251</v>
      </c>
      <c r="W126" s="14">
        <f t="shared" si="33"/>
        <v>0.1761843940130002</v>
      </c>
      <c r="X126" s="14">
        <f t="shared" si="33"/>
        <v>0.15913429136658083</v>
      </c>
      <c r="Y126" s="14">
        <f t="shared" si="33"/>
        <v>0.14208418872016146</v>
      </c>
      <c r="Z126" s="14">
        <f t="shared" si="33"/>
        <v>0.136400821171355</v>
      </c>
      <c r="AA126" s="14">
        <f t="shared" si="33"/>
        <v>0.13071745362254855</v>
      </c>
      <c r="AB126" s="14">
        <f t="shared" si="33"/>
        <v>0.12503408607374208</v>
      </c>
      <c r="AC126" s="14">
        <f t="shared" si="30"/>
        <v>3.321928332277375</v>
      </c>
    </row>
    <row r="127" spans="1:29" ht="12.75">
      <c r="A127" s="27" t="str">
        <f t="shared" si="28"/>
        <v>Northern Lights, Inc - WA</v>
      </c>
      <c r="B127" s="190" t="s">
        <v>95</v>
      </c>
      <c r="C127" s="190" t="s">
        <v>14</v>
      </c>
      <c r="D127" s="208">
        <v>121</v>
      </c>
      <c r="E127" s="208">
        <v>0</v>
      </c>
      <c r="F127" s="208">
        <v>0</v>
      </c>
      <c r="G127" s="208">
        <v>121</v>
      </c>
      <c r="H127" s="13">
        <v>7.561824826874069E-07</v>
      </c>
      <c r="I127" s="14">
        <f t="shared" si="34"/>
        <v>0.00015123649653748137</v>
      </c>
      <c r="J127" s="14">
        <f t="shared" si="34"/>
        <v>0.0001663601461912295</v>
      </c>
      <c r="K127" s="14">
        <f t="shared" si="34"/>
        <v>0.00018148379584497764</v>
      </c>
      <c r="L127" s="14">
        <f t="shared" si="34"/>
        <v>0.00019660744549872578</v>
      </c>
      <c r="M127" s="14">
        <f t="shared" si="34"/>
        <v>0.00021173109515247392</v>
      </c>
      <c r="N127" s="14">
        <f t="shared" si="34"/>
        <v>0.000219292919979348</v>
      </c>
      <c r="O127" s="14">
        <f t="shared" si="34"/>
        <v>0.0002419783944599702</v>
      </c>
      <c r="P127" s="14">
        <f t="shared" si="34"/>
        <v>0.0002571020441137183</v>
      </c>
      <c r="Q127" s="14">
        <f t="shared" si="34"/>
        <v>0.0002646638689405924</v>
      </c>
      <c r="R127" s="14">
        <f t="shared" si="29"/>
        <v>0.00027222569376746645</v>
      </c>
      <c r="S127" s="14">
        <f t="shared" si="33"/>
        <v>0.0002760066061809035</v>
      </c>
      <c r="T127" s="14">
        <f t="shared" si="33"/>
        <v>0.0002760066061809035</v>
      </c>
      <c r="U127" s="14">
        <f t="shared" si="33"/>
        <v>0.0002760066061809035</v>
      </c>
      <c r="V127" s="14">
        <f t="shared" si="33"/>
        <v>0.00027222569376746645</v>
      </c>
      <c r="W127" s="14">
        <f t="shared" si="33"/>
        <v>0.00023441656963309613</v>
      </c>
      <c r="X127" s="14">
        <f t="shared" si="33"/>
        <v>0.00021173109515247392</v>
      </c>
      <c r="Y127" s="14">
        <f t="shared" si="33"/>
        <v>0.0001890456206718517</v>
      </c>
      <c r="Z127" s="14">
        <f t="shared" si="33"/>
        <v>0.00018148379584497764</v>
      </c>
      <c r="AA127" s="14">
        <f t="shared" si="33"/>
        <v>0.00017392197101810357</v>
      </c>
      <c r="AB127" s="14">
        <f t="shared" si="33"/>
        <v>0.0001663601461912295</v>
      </c>
      <c r="AC127" s="14">
        <f t="shared" si="30"/>
        <v>0.004419886611307893</v>
      </c>
    </row>
    <row r="128" spans="1:29" ht="12.75">
      <c r="A128" s="27" t="str">
        <f t="shared" si="28"/>
        <v>Northern Wasco County PUD - OR</v>
      </c>
      <c r="B128" s="190" t="s">
        <v>96</v>
      </c>
      <c r="C128" s="190" t="s">
        <v>22</v>
      </c>
      <c r="D128" s="208">
        <v>137505</v>
      </c>
      <c r="E128" s="208">
        <v>19593</v>
      </c>
      <c r="F128" s="208">
        <v>375366</v>
      </c>
      <c r="G128" s="208">
        <v>532464</v>
      </c>
      <c r="H128" s="13">
        <v>0.0033276028881129537</v>
      </c>
      <c r="I128" s="14">
        <f t="shared" si="34"/>
        <v>0.6655205776225908</v>
      </c>
      <c r="J128" s="14">
        <f t="shared" si="34"/>
        <v>0.7320726353848498</v>
      </c>
      <c r="K128" s="14">
        <f t="shared" si="34"/>
        <v>0.7986246931471088</v>
      </c>
      <c r="L128" s="14">
        <f t="shared" si="34"/>
        <v>0.865176750909368</v>
      </c>
      <c r="M128" s="14">
        <f t="shared" si="34"/>
        <v>0.931728808671627</v>
      </c>
      <c r="N128" s="14">
        <f t="shared" si="34"/>
        <v>0.9650048375527566</v>
      </c>
      <c r="O128" s="14">
        <f t="shared" si="34"/>
        <v>1.0648329241961452</v>
      </c>
      <c r="P128" s="14">
        <f t="shared" si="34"/>
        <v>1.1313849819584043</v>
      </c>
      <c r="Q128" s="14">
        <f t="shared" si="34"/>
        <v>1.1646610108395339</v>
      </c>
      <c r="R128" s="14">
        <f t="shared" si="29"/>
        <v>1.1979370397206632</v>
      </c>
      <c r="S128" s="14">
        <f t="shared" si="33"/>
        <v>1.2145750541612281</v>
      </c>
      <c r="T128" s="14">
        <f t="shared" si="33"/>
        <v>1.2145750541612281</v>
      </c>
      <c r="U128" s="14">
        <f t="shared" si="33"/>
        <v>1.2145750541612281</v>
      </c>
      <c r="V128" s="14">
        <f t="shared" si="33"/>
        <v>1.1979370397206632</v>
      </c>
      <c r="W128" s="14">
        <f t="shared" si="33"/>
        <v>1.0315568953150156</v>
      </c>
      <c r="X128" s="14">
        <f t="shared" si="33"/>
        <v>0.931728808671627</v>
      </c>
      <c r="Y128" s="14">
        <f t="shared" si="33"/>
        <v>0.8319007220282384</v>
      </c>
      <c r="Z128" s="14">
        <f t="shared" si="33"/>
        <v>0.7986246931471088</v>
      </c>
      <c r="AA128" s="14">
        <f t="shared" si="33"/>
        <v>0.7653486642659794</v>
      </c>
      <c r="AB128" s="14">
        <f t="shared" si="33"/>
        <v>0.7320726353848498</v>
      </c>
      <c r="AC128" s="14">
        <f t="shared" si="30"/>
        <v>19.449838881020213</v>
      </c>
    </row>
    <row r="129" spans="1:29" ht="12.75">
      <c r="A129" s="27" t="str">
        <f t="shared" si="28"/>
        <v>NorthWestern Energy LLC - MT</v>
      </c>
      <c r="B129" s="190" t="s">
        <v>93</v>
      </c>
      <c r="C129" s="190" t="s">
        <v>57</v>
      </c>
      <c r="D129" s="208">
        <v>567407.728</v>
      </c>
      <c r="E129" s="208">
        <v>2242510.594</v>
      </c>
      <c r="F129" s="208">
        <v>14817.608</v>
      </c>
      <c r="G129" s="208">
        <v>2824735.93</v>
      </c>
      <c r="H129" s="13">
        <v>0.01765302337589852</v>
      </c>
      <c r="I129" s="14">
        <f t="shared" si="34"/>
        <v>3.530604675179704</v>
      </c>
      <c r="J129" s="14">
        <f t="shared" si="34"/>
        <v>3.8836651426976747</v>
      </c>
      <c r="K129" s="14">
        <f t="shared" si="34"/>
        <v>4.236725610215645</v>
      </c>
      <c r="L129" s="14">
        <f t="shared" si="34"/>
        <v>4.589786077733615</v>
      </c>
      <c r="M129" s="14">
        <f t="shared" si="34"/>
        <v>4.9428465452515855</v>
      </c>
      <c r="N129" s="14">
        <f t="shared" si="34"/>
        <v>5.119376779010571</v>
      </c>
      <c r="O129" s="14">
        <f t="shared" si="34"/>
        <v>5.648967480287527</v>
      </c>
      <c r="P129" s="14">
        <f t="shared" si="34"/>
        <v>6.002027947805497</v>
      </c>
      <c r="Q129" s="14">
        <f t="shared" si="34"/>
        <v>6.178558181564482</v>
      </c>
      <c r="R129" s="14">
        <f t="shared" si="29"/>
        <v>6.3550884153234675</v>
      </c>
      <c r="S129" s="14">
        <f t="shared" si="33"/>
        <v>6.44335353220296</v>
      </c>
      <c r="T129" s="14">
        <f t="shared" si="33"/>
        <v>6.44335353220296</v>
      </c>
      <c r="U129" s="14">
        <f t="shared" si="33"/>
        <v>6.44335353220296</v>
      </c>
      <c r="V129" s="14">
        <f t="shared" si="33"/>
        <v>6.3550884153234675</v>
      </c>
      <c r="W129" s="14">
        <f t="shared" si="33"/>
        <v>5.472437246528542</v>
      </c>
      <c r="X129" s="14">
        <f t="shared" si="33"/>
        <v>4.9428465452515855</v>
      </c>
      <c r="Y129" s="14">
        <f t="shared" si="33"/>
        <v>4.41325584397463</v>
      </c>
      <c r="Z129" s="14">
        <f t="shared" si="33"/>
        <v>4.236725610215645</v>
      </c>
      <c r="AA129" s="14">
        <f t="shared" si="33"/>
        <v>4.06019537645666</v>
      </c>
      <c r="AB129" s="14">
        <f t="shared" si="33"/>
        <v>3.8836651426976747</v>
      </c>
      <c r="AC129" s="14">
        <f t="shared" si="30"/>
        <v>103.18192163212686</v>
      </c>
    </row>
    <row r="130" spans="1:29" ht="12.75">
      <c r="A130" s="27" t="str">
        <f t="shared" si="28"/>
        <v>Ohop Mutual Light Company, Inc - WA</v>
      </c>
      <c r="B130" s="190" t="s">
        <v>97</v>
      </c>
      <c r="C130" s="190" t="s">
        <v>14</v>
      </c>
      <c r="D130" s="208">
        <v>74023</v>
      </c>
      <c r="E130" s="208">
        <v>3625</v>
      </c>
      <c r="F130" s="208">
        <v>29</v>
      </c>
      <c r="G130" s="208">
        <v>77677</v>
      </c>
      <c r="H130" s="13">
        <v>0.0004854379066752868</v>
      </c>
      <c r="I130" s="14">
        <f t="shared" si="34"/>
        <v>0.09708758133505736</v>
      </c>
      <c r="J130" s="14">
        <f t="shared" si="34"/>
        <v>0.1067963394685631</v>
      </c>
      <c r="K130" s="14">
        <f t="shared" si="34"/>
        <v>0.11650509760206883</v>
      </c>
      <c r="L130" s="14">
        <f t="shared" si="34"/>
        <v>0.12621385573557456</v>
      </c>
      <c r="M130" s="14">
        <f t="shared" si="34"/>
        <v>0.1359226138690803</v>
      </c>
      <c r="N130" s="14">
        <f t="shared" si="34"/>
        <v>0.14077699293583318</v>
      </c>
      <c r="O130" s="14">
        <f t="shared" si="34"/>
        <v>0.15534013013609177</v>
      </c>
      <c r="P130" s="14">
        <f t="shared" si="34"/>
        <v>0.16504888826959752</v>
      </c>
      <c r="Q130" s="14">
        <f t="shared" si="34"/>
        <v>0.1699032673363504</v>
      </c>
      <c r="R130" s="14">
        <f t="shared" si="29"/>
        <v>0.17475764640310323</v>
      </c>
      <c r="S130" s="14">
        <f t="shared" si="33"/>
        <v>0.17718483593647968</v>
      </c>
      <c r="T130" s="14">
        <f t="shared" si="33"/>
        <v>0.17718483593647968</v>
      </c>
      <c r="U130" s="14">
        <f t="shared" si="33"/>
        <v>0.17718483593647968</v>
      </c>
      <c r="V130" s="14">
        <f t="shared" si="33"/>
        <v>0.17475764640310323</v>
      </c>
      <c r="W130" s="14">
        <f t="shared" si="33"/>
        <v>0.1504857510693389</v>
      </c>
      <c r="X130" s="14">
        <f t="shared" si="33"/>
        <v>0.1359226138690803</v>
      </c>
      <c r="Y130" s="14">
        <f t="shared" si="33"/>
        <v>0.1213594766688217</v>
      </c>
      <c r="Z130" s="14">
        <f t="shared" si="33"/>
        <v>0.11650509760206883</v>
      </c>
      <c r="AA130" s="14">
        <f t="shared" si="33"/>
        <v>0.11165071853531597</v>
      </c>
      <c r="AB130" s="14">
        <f t="shared" si="33"/>
        <v>0.1067963394685631</v>
      </c>
      <c r="AC130" s="14">
        <f aca="true" t="shared" si="35" ref="AC130:AC162">$H130*AC$33</f>
        <v>2.8373845645170515</v>
      </c>
    </row>
    <row r="131" spans="1:29" ht="12.75">
      <c r="A131" s="27" t="str">
        <f t="shared" si="28"/>
        <v>Okanogan County Elec Coop, Inc - WA</v>
      </c>
      <c r="B131" s="190" t="s">
        <v>99</v>
      </c>
      <c r="C131" s="190" t="s">
        <v>14</v>
      </c>
      <c r="D131" s="213">
        <v>36976</v>
      </c>
      <c r="E131" s="213">
        <v>18896</v>
      </c>
      <c r="F131" s="213">
        <v>0</v>
      </c>
      <c r="G131" s="208">
        <v>55872</v>
      </c>
      <c r="H131" s="13">
        <v>0.0003491688237414115</v>
      </c>
      <c r="I131" s="14">
        <f t="shared" si="34"/>
        <v>0.0698337647482823</v>
      </c>
      <c r="J131" s="14">
        <f t="shared" si="34"/>
        <v>0.07681714122311054</v>
      </c>
      <c r="K131" s="14">
        <f t="shared" si="34"/>
        <v>0.08380051769793877</v>
      </c>
      <c r="L131" s="14">
        <f t="shared" si="34"/>
        <v>0.090783894172767</v>
      </c>
      <c r="M131" s="14">
        <f t="shared" si="34"/>
        <v>0.09776727064759523</v>
      </c>
      <c r="N131" s="14">
        <f t="shared" si="34"/>
        <v>0.10125895888500934</v>
      </c>
      <c r="O131" s="14">
        <f t="shared" si="34"/>
        <v>0.11173402359725168</v>
      </c>
      <c r="P131" s="14">
        <f t="shared" si="34"/>
        <v>0.11871740007207991</v>
      </c>
      <c r="Q131" s="14">
        <f t="shared" si="34"/>
        <v>0.12220908830949404</v>
      </c>
      <c r="R131" s="14">
        <f t="shared" si="29"/>
        <v>0.12570077654690814</v>
      </c>
      <c r="S131" s="14">
        <f t="shared" si="33"/>
        <v>0.1274466206656152</v>
      </c>
      <c r="T131" s="14">
        <f t="shared" si="33"/>
        <v>0.1274466206656152</v>
      </c>
      <c r="U131" s="14">
        <f t="shared" si="33"/>
        <v>0.1274466206656152</v>
      </c>
      <c r="V131" s="14">
        <f t="shared" si="33"/>
        <v>0.12570077654690814</v>
      </c>
      <c r="W131" s="14">
        <f t="shared" si="33"/>
        <v>0.10824233535983757</v>
      </c>
      <c r="X131" s="14">
        <f t="shared" si="33"/>
        <v>0.09776727064759523</v>
      </c>
      <c r="Y131" s="14">
        <f t="shared" si="33"/>
        <v>0.08729220593535288</v>
      </c>
      <c r="Z131" s="14">
        <f t="shared" si="33"/>
        <v>0.08380051769793877</v>
      </c>
      <c r="AA131" s="14">
        <f t="shared" si="33"/>
        <v>0.08030882946052464</v>
      </c>
      <c r="AB131" s="14">
        <f t="shared" si="33"/>
        <v>0.07681714122311054</v>
      </c>
      <c r="AC131" s="14">
        <f t="shared" si="35"/>
        <v>2.0408917747685504</v>
      </c>
    </row>
    <row r="132" spans="1:29" ht="12.75">
      <c r="A132" s="27" t="str">
        <f t="shared" si="28"/>
        <v>Orcas Power &amp; Light Coop - WA</v>
      </c>
      <c r="B132" s="190" t="s">
        <v>101</v>
      </c>
      <c r="C132" s="190" t="s">
        <v>14</v>
      </c>
      <c r="D132" s="208">
        <v>140128</v>
      </c>
      <c r="E132" s="208">
        <v>59444</v>
      </c>
      <c r="F132" s="208">
        <v>0</v>
      </c>
      <c r="G132" s="208">
        <v>199572</v>
      </c>
      <c r="H132" s="13">
        <v>0.0012472136399577782</v>
      </c>
      <c r="I132" s="14">
        <f aca="true" t="shared" si="36" ref="I132:Q142">$H132*I$33</f>
        <v>0.24944272799155565</v>
      </c>
      <c r="J132" s="14">
        <f t="shared" si="36"/>
        <v>0.2743870007907112</v>
      </c>
      <c r="K132" s="14">
        <f t="shared" si="36"/>
        <v>0.2993312735898668</v>
      </c>
      <c r="L132" s="14">
        <f t="shared" si="36"/>
        <v>0.32427554638902234</v>
      </c>
      <c r="M132" s="14">
        <f t="shared" si="36"/>
        <v>0.3492198191881779</v>
      </c>
      <c r="N132" s="14">
        <f t="shared" si="36"/>
        <v>0.3616919555877557</v>
      </c>
      <c r="O132" s="14">
        <f t="shared" si="36"/>
        <v>0.39910836478648903</v>
      </c>
      <c r="P132" s="14">
        <f t="shared" si="36"/>
        <v>0.4240526375856446</v>
      </c>
      <c r="Q132" s="14">
        <f t="shared" si="36"/>
        <v>0.4365247739852224</v>
      </c>
      <c r="R132" s="14">
        <f t="shared" si="29"/>
        <v>0.44899691038480016</v>
      </c>
      <c r="S132" s="14">
        <f t="shared" si="33"/>
        <v>0.45523297858458905</v>
      </c>
      <c r="T132" s="14">
        <f t="shared" si="33"/>
        <v>0.45523297858458905</v>
      </c>
      <c r="U132" s="14">
        <f t="shared" si="33"/>
        <v>0.45523297858458905</v>
      </c>
      <c r="V132" s="14">
        <f t="shared" si="33"/>
        <v>0.44899691038480016</v>
      </c>
      <c r="W132" s="14">
        <f t="shared" si="33"/>
        <v>0.38663622838691125</v>
      </c>
      <c r="X132" s="14">
        <f t="shared" si="33"/>
        <v>0.3492198191881779</v>
      </c>
      <c r="Y132" s="14">
        <f t="shared" si="33"/>
        <v>0.31180340998944456</v>
      </c>
      <c r="Z132" s="14">
        <f t="shared" si="33"/>
        <v>0.2993312735898668</v>
      </c>
      <c r="AA132" s="14">
        <f t="shared" si="33"/>
        <v>0.286859137190289</v>
      </c>
      <c r="AB132" s="14">
        <f t="shared" si="33"/>
        <v>0.2743870007907112</v>
      </c>
      <c r="AC132" s="14">
        <f t="shared" si="35"/>
        <v>7.289963725553214</v>
      </c>
    </row>
    <row r="133" spans="1:29" ht="12.75">
      <c r="A133" s="27" t="str">
        <f t="shared" si="28"/>
        <v>Oregon Trail El Cons Coop, Inc - OR</v>
      </c>
      <c r="B133" s="190" t="s">
        <v>100</v>
      </c>
      <c r="C133" s="190" t="s">
        <v>22</v>
      </c>
      <c r="D133" s="208">
        <v>267227</v>
      </c>
      <c r="E133" s="208">
        <v>254756</v>
      </c>
      <c r="F133" s="208">
        <v>161765</v>
      </c>
      <c r="G133" s="208">
        <v>683748</v>
      </c>
      <c r="H133" s="13">
        <v>0.004273043472500406</v>
      </c>
      <c r="I133" s="14">
        <f t="shared" si="36"/>
        <v>0.8546086945000811</v>
      </c>
      <c r="J133" s="14">
        <f t="shared" si="36"/>
        <v>0.9400695639500892</v>
      </c>
      <c r="K133" s="14">
        <f t="shared" si="36"/>
        <v>1.0255304334000974</v>
      </c>
      <c r="L133" s="14">
        <f t="shared" si="36"/>
        <v>1.1109913028501055</v>
      </c>
      <c r="M133" s="14">
        <f t="shared" si="36"/>
        <v>1.1964521723001136</v>
      </c>
      <c r="N133" s="14">
        <f t="shared" si="36"/>
        <v>1.2391826070251177</v>
      </c>
      <c r="O133" s="14">
        <f t="shared" si="36"/>
        <v>1.3673739112001297</v>
      </c>
      <c r="P133" s="14">
        <f t="shared" si="36"/>
        <v>1.452834780650138</v>
      </c>
      <c r="Q133" s="14">
        <f t="shared" si="36"/>
        <v>1.495565215375142</v>
      </c>
      <c r="R133" s="14">
        <f t="shared" si="29"/>
        <v>1.5382956501001461</v>
      </c>
      <c r="S133" s="14">
        <f t="shared" si="33"/>
        <v>1.5596608674626482</v>
      </c>
      <c r="T133" s="14">
        <f t="shared" si="33"/>
        <v>1.5596608674626482</v>
      </c>
      <c r="U133" s="14">
        <f t="shared" si="33"/>
        <v>1.5596608674626482</v>
      </c>
      <c r="V133" s="14">
        <f t="shared" si="33"/>
        <v>1.5382956501001461</v>
      </c>
      <c r="W133" s="14">
        <f t="shared" si="33"/>
        <v>1.3246434764751258</v>
      </c>
      <c r="X133" s="14">
        <f t="shared" si="33"/>
        <v>1.1964521723001136</v>
      </c>
      <c r="Y133" s="14">
        <f t="shared" si="33"/>
        <v>1.0682608681251013</v>
      </c>
      <c r="Z133" s="14">
        <f t="shared" si="33"/>
        <v>1.0255304334000974</v>
      </c>
      <c r="AA133" s="14">
        <f t="shared" si="33"/>
        <v>0.9827999986750934</v>
      </c>
      <c r="AB133" s="14">
        <f t="shared" si="33"/>
        <v>0.9400695639500892</v>
      </c>
      <c r="AC133" s="14">
        <f t="shared" si="35"/>
        <v>24.975939096764872</v>
      </c>
    </row>
    <row r="134" spans="1:29" ht="12.75">
      <c r="A134" s="279" t="str">
        <f t="shared" si="28"/>
        <v>PacifiCorp - OR</v>
      </c>
      <c r="B134" s="279" t="s">
        <v>103</v>
      </c>
      <c r="C134" s="279" t="s">
        <v>22</v>
      </c>
      <c r="D134" s="280">
        <v>5643854</v>
      </c>
      <c r="E134" s="280">
        <v>4967332</v>
      </c>
      <c r="F134" s="280">
        <v>3453086</v>
      </c>
      <c r="G134" s="280">
        <v>14064272</v>
      </c>
      <c r="H134" s="281">
        <v>0.08789385221612381</v>
      </c>
      <c r="I134" s="14">
        <f t="shared" si="36"/>
        <v>17.578770443224762</v>
      </c>
      <c r="J134" s="14">
        <f t="shared" si="36"/>
        <v>19.33664748754724</v>
      </c>
      <c r="K134" s="14">
        <f t="shared" si="36"/>
        <v>21.094524531869713</v>
      </c>
      <c r="L134" s="14">
        <f t="shared" si="36"/>
        <v>22.85240157619219</v>
      </c>
      <c r="M134" s="14">
        <f t="shared" si="36"/>
        <v>24.610278620514666</v>
      </c>
      <c r="N134" s="14">
        <f t="shared" si="36"/>
        <v>25.489217142675905</v>
      </c>
      <c r="O134" s="14">
        <f t="shared" si="36"/>
        <v>28.126032709159617</v>
      </c>
      <c r="P134" s="14">
        <f t="shared" si="36"/>
        <v>29.883909753482094</v>
      </c>
      <c r="Q134" s="14">
        <f t="shared" si="36"/>
        <v>30.762848275643332</v>
      </c>
      <c r="R134" s="14">
        <f t="shared" si="29"/>
        <v>31.64178679780457</v>
      </c>
      <c r="S134" s="14">
        <f t="shared" si="33"/>
        <v>32.08125605888519</v>
      </c>
      <c r="T134" s="14">
        <f t="shared" si="33"/>
        <v>32.08125605888519</v>
      </c>
      <c r="U134" s="14">
        <f t="shared" si="33"/>
        <v>32.08125605888519</v>
      </c>
      <c r="V134" s="14">
        <f t="shared" si="33"/>
        <v>31.64178679780457</v>
      </c>
      <c r="W134" s="14">
        <f t="shared" si="33"/>
        <v>27.247094186998382</v>
      </c>
      <c r="X134" s="14">
        <f t="shared" si="33"/>
        <v>24.610278620514666</v>
      </c>
      <c r="Y134" s="14">
        <f t="shared" si="33"/>
        <v>21.97346305403095</v>
      </c>
      <c r="Z134" s="14">
        <f t="shared" si="33"/>
        <v>21.094524531869713</v>
      </c>
      <c r="AA134" s="14">
        <f t="shared" si="33"/>
        <v>20.215586009708474</v>
      </c>
      <c r="AB134" s="14">
        <f t="shared" si="33"/>
        <v>19.33664748754724</v>
      </c>
      <c r="AC134" s="14">
        <f t="shared" si="35"/>
        <v>513.7395662032436</v>
      </c>
    </row>
    <row r="135" spans="1:29" ht="12.75">
      <c r="A135" s="27" t="str">
        <f t="shared" si="28"/>
        <v>PacifiCorp - WA</v>
      </c>
      <c r="B135" s="190" t="s">
        <v>103</v>
      </c>
      <c r="C135" s="190" t="s">
        <v>14</v>
      </c>
      <c r="D135" s="208">
        <v>1626726</v>
      </c>
      <c r="E135" s="208">
        <v>1428656</v>
      </c>
      <c r="F135" s="208">
        <v>1022989</v>
      </c>
      <c r="G135" s="208">
        <v>4078371</v>
      </c>
      <c r="H135" s="13">
        <v>0.025487543042151423</v>
      </c>
      <c r="I135" s="14">
        <f t="shared" si="36"/>
        <v>5.097508608430284</v>
      </c>
      <c r="J135" s="14">
        <f t="shared" si="36"/>
        <v>5.607259469273313</v>
      </c>
      <c r="K135" s="14">
        <f t="shared" si="36"/>
        <v>6.117010330116342</v>
      </c>
      <c r="L135" s="14">
        <f t="shared" si="36"/>
        <v>6.62676119095937</v>
      </c>
      <c r="M135" s="14">
        <f t="shared" si="36"/>
        <v>7.136512051802399</v>
      </c>
      <c r="N135" s="14">
        <f t="shared" si="36"/>
        <v>7.391387482223912</v>
      </c>
      <c r="O135" s="14">
        <f t="shared" si="36"/>
        <v>8.156013773488455</v>
      </c>
      <c r="P135" s="14">
        <f t="shared" si="36"/>
        <v>8.665764634331484</v>
      </c>
      <c r="Q135" s="14">
        <f t="shared" si="36"/>
        <v>8.920640064752998</v>
      </c>
      <c r="R135" s="14">
        <f t="shared" si="29"/>
        <v>9.175515495174512</v>
      </c>
      <c r="S135" s="14">
        <f t="shared" si="33"/>
        <v>9.302953210385269</v>
      </c>
      <c r="T135" s="14">
        <f t="shared" si="33"/>
        <v>9.302953210385269</v>
      </c>
      <c r="U135" s="14">
        <f t="shared" si="33"/>
        <v>9.302953210385269</v>
      </c>
      <c r="V135" s="14">
        <f t="shared" si="33"/>
        <v>9.175515495174512</v>
      </c>
      <c r="W135" s="14">
        <f t="shared" si="33"/>
        <v>7.901138343066941</v>
      </c>
      <c r="X135" s="14">
        <f t="shared" si="33"/>
        <v>7.136512051802399</v>
      </c>
      <c r="Y135" s="14">
        <f t="shared" si="33"/>
        <v>6.371885760537856</v>
      </c>
      <c r="Z135" s="14">
        <f t="shared" si="33"/>
        <v>6.117010330116342</v>
      </c>
      <c r="AA135" s="14">
        <f t="shared" si="33"/>
        <v>5.862134899694827</v>
      </c>
      <c r="AB135" s="14">
        <f t="shared" si="33"/>
        <v>5.607259469273313</v>
      </c>
      <c r="AC135" s="14">
        <f t="shared" si="35"/>
        <v>148.97468908137506</v>
      </c>
    </row>
    <row r="136" spans="1:29" ht="12.75">
      <c r="A136" s="27" t="str">
        <f t="shared" si="28"/>
        <v>PacifiCorp - ID</v>
      </c>
      <c r="B136" s="190" t="s">
        <v>103</v>
      </c>
      <c r="C136" s="190" t="s">
        <v>19</v>
      </c>
      <c r="D136" s="208">
        <v>710521</v>
      </c>
      <c r="E136" s="208">
        <v>400328</v>
      </c>
      <c r="F136" s="208">
        <v>2364424</v>
      </c>
      <c r="G136" s="208">
        <v>3475273</v>
      </c>
      <c r="H136" s="13">
        <v>0.021718517067409192</v>
      </c>
      <c r="I136" s="14">
        <f t="shared" si="36"/>
        <v>4.343703413481839</v>
      </c>
      <c r="J136" s="14">
        <f t="shared" si="36"/>
        <v>4.7780737548300225</v>
      </c>
      <c r="K136" s="14">
        <f t="shared" si="36"/>
        <v>5.212444096178206</v>
      </c>
      <c r="L136" s="14">
        <f t="shared" si="36"/>
        <v>5.64681443752639</v>
      </c>
      <c r="M136" s="14">
        <f t="shared" si="36"/>
        <v>6.081184778874574</v>
      </c>
      <c r="N136" s="14">
        <f t="shared" si="36"/>
        <v>6.298369949548666</v>
      </c>
      <c r="O136" s="14">
        <f t="shared" si="36"/>
        <v>6.949925461570942</v>
      </c>
      <c r="P136" s="14">
        <f t="shared" si="36"/>
        <v>7.384295802919126</v>
      </c>
      <c r="Q136" s="14">
        <f t="shared" si="36"/>
        <v>7.601480973593217</v>
      </c>
      <c r="R136" s="14">
        <f t="shared" si="29"/>
        <v>7.8186661442673095</v>
      </c>
      <c r="S136" s="14">
        <f t="shared" si="33"/>
        <v>7.927258729604355</v>
      </c>
      <c r="T136" s="14">
        <f t="shared" si="33"/>
        <v>7.927258729604355</v>
      </c>
      <c r="U136" s="14">
        <f t="shared" si="33"/>
        <v>7.927258729604355</v>
      </c>
      <c r="V136" s="14">
        <f t="shared" si="33"/>
        <v>7.8186661442673095</v>
      </c>
      <c r="W136" s="14">
        <f t="shared" si="33"/>
        <v>6.7327402908968494</v>
      </c>
      <c r="X136" s="14">
        <f t="shared" si="33"/>
        <v>6.081184778874574</v>
      </c>
      <c r="Y136" s="14">
        <f t="shared" si="33"/>
        <v>5.429629266852298</v>
      </c>
      <c r="Z136" s="14">
        <f t="shared" si="33"/>
        <v>5.212444096178206</v>
      </c>
      <c r="AA136" s="14">
        <f t="shared" si="33"/>
        <v>4.995258925504114</v>
      </c>
      <c r="AB136" s="14">
        <f t="shared" si="33"/>
        <v>4.7780737548300225</v>
      </c>
      <c r="AC136" s="14">
        <f t="shared" si="35"/>
        <v>126.94473225900673</v>
      </c>
    </row>
    <row r="137" spans="1:29" ht="12.75">
      <c r="A137" s="27" t="str">
        <f t="shared" si="28"/>
        <v>Parkland Light &amp; Water Company - WA</v>
      </c>
      <c r="B137" s="190" t="s">
        <v>105</v>
      </c>
      <c r="C137" s="190" t="s">
        <v>14</v>
      </c>
      <c r="D137" s="208">
        <v>56382</v>
      </c>
      <c r="E137" s="208">
        <v>60708</v>
      </c>
      <c r="F137" s="208">
        <v>0</v>
      </c>
      <c r="G137" s="208">
        <v>117090</v>
      </c>
      <c r="H137" s="13">
        <v>0.0007317471644451939</v>
      </c>
      <c r="I137" s="14">
        <f t="shared" si="36"/>
        <v>0.1463494328890388</v>
      </c>
      <c r="J137" s="14">
        <f t="shared" si="36"/>
        <v>0.16098437617794267</v>
      </c>
      <c r="K137" s="14">
        <f t="shared" si="36"/>
        <v>0.17561931946684656</v>
      </c>
      <c r="L137" s="14">
        <f t="shared" si="36"/>
        <v>0.19025426275575041</v>
      </c>
      <c r="M137" s="14">
        <f t="shared" si="36"/>
        <v>0.2048892060446543</v>
      </c>
      <c r="N137" s="14">
        <f t="shared" si="36"/>
        <v>0.21220667768910625</v>
      </c>
      <c r="O137" s="14">
        <f t="shared" si="36"/>
        <v>0.23415909262246207</v>
      </c>
      <c r="P137" s="14">
        <f t="shared" si="36"/>
        <v>0.24879403591136595</v>
      </c>
      <c r="Q137" s="14">
        <f t="shared" si="36"/>
        <v>0.25611150755581785</v>
      </c>
      <c r="R137" s="14">
        <f t="shared" si="29"/>
        <v>0.2634289792002698</v>
      </c>
      <c r="S137" s="14">
        <f t="shared" si="33"/>
        <v>0.2670877150224958</v>
      </c>
      <c r="T137" s="14">
        <f t="shared" si="33"/>
        <v>0.2670877150224958</v>
      </c>
      <c r="U137" s="14">
        <f t="shared" si="33"/>
        <v>0.2670877150224958</v>
      </c>
      <c r="V137" s="14">
        <f t="shared" si="33"/>
        <v>0.2634289792002698</v>
      </c>
      <c r="W137" s="14">
        <f t="shared" si="33"/>
        <v>0.2268416209780101</v>
      </c>
      <c r="X137" s="14">
        <f t="shared" si="33"/>
        <v>0.2048892060446543</v>
      </c>
      <c r="Y137" s="14">
        <f t="shared" si="33"/>
        <v>0.18293679111129849</v>
      </c>
      <c r="Z137" s="14">
        <f t="shared" si="33"/>
        <v>0.17561931946684656</v>
      </c>
      <c r="AA137" s="14">
        <f t="shared" si="33"/>
        <v>0.1683018478223946</v>
      </c>
      <c r="AB137" s="14">
        <f t="shared" si="33"/>
        <v>0.16098437617794267</v>
      </c>
      <c r="AC137" s="14">
        <f t="shared" si="35"/>
        <v>4.277062176182159</v>
      </c>
    </row>
    <row r="138" spans="1:29" ht="12.75">
      <c r="A138" s="27" t="str">
        <f t="shared" si="28"/>
        <v>Peninsula Light Company - WA</v>
      </c>
      <c r="B138" s="190" t="s">
        <v>108</v>
      </c>
      <c r="C138" s="190" t="s">
        <v>14</v>
      </c>
      <c r="D138" s="208">
        <v>413311</v>
      </c>
      <c r="E138" s="208">
        <v>129860</v>
      </c>
      <c r="F138" s="208">
        <v>7379</v>
      </c>
      <c r="G138" s="208">
        <v>550550</v>
      </c>
      <c r="H138" s="13">
        <v>0.0034406302962277013</v>
      </c>
      <c r="I138" s="14">
        <f t="shared" si="36"/>
        <v>0.6881260592455403</v>
      </c>
      <c r="J138" s="14">
        <f t="shared" si="36"/>
        <v>0.7569386651700943</v>
      </c>
      <c r="K138" s="14">
        <f t="shared" si="36"/>
        <v>0.8257512710946483</v>
      </c>
      <c r="L138" s="14">
        <f t="shared" si="36"/>
        <v>0.8945638770192024</v>
      </c>
      <c r="M138" s="14">
        <f t="shared" si="36"/>
        <v>0.9633764829437563</v>
      </c>
      <c r="N138" s="14">
        <f t="shared" si="36"/>
        <v>0.9977827859060334</v>
      </c>
      <c r="O138" s="14">
        <f t="shared" si="36"/>
        <v>1.1010016947928645</v>
      </c>
      <c r="P138" s="14">
        <f t="shared" si="36"/>
        <v>1.1698143007174184</v>
      </c>
      <c r="Q138" s="14">
        <f t="shared" si="36"/>
        <v>1.2042206036796954</v>
      </c>
      <c r="R138" s="14">
        <f t="shared" si="29"/>
        <v>1.2386269066419724</v>
      </c>
      <c r="S138" s="14">
        <f t="shared" si="33"/>
        <v>1.255830058123111</v>
      </c>
      <c r="T138" s="14">
        <f t="shared" si="33"/>
        <v>1.255830058123111</v>
      </c>
      <c r="U138" s="14">
        <f t="shared" si="33"/>
        <v>1.255830058123111</v>
      </c>
      <c r="V138" s="14">
        <f t="shared" si="33"/>
        <v>1.2386269066419724</v>
      </c>
      <c r="W138" s="14">
        <f t="shared" si="33"/>
        <v>1.0665953918305875</v>
      </c>
      <c r="X138" s="14">
        <f t="shared" si="33"/>
        <v>0.9633764829437563</v>
      </c>
      <c r="Y138" s="14">
        <f t="shared" si="33"/>
        <v>0.8601575740569253</v>
      </c>
      <c r="Z138" s="14">
        <f t="shared" si="33"/>
        <v>0.8257512710946483</v>
      </c>
      <c r="AA138" s="14">
        <f t="shared" si="33"/>
        <v>0.7913449681323713</v>
      </c>
      <c r="AB138" s="14">
        <f t="shared" si="33"/>
        <v>0.7569386651700943</v>
      </c>
      <c r="AC138" s="14">
        <f t="shared" si="35"/>
        <v>20.110484081450913</v>
      </c>
    </row>
    <row r="139" spans="1:29" ht="12.75">
      <c r="A139" s="279" t="str">
        <f t="shared" si="28"/>
        <v>Portland General Electric Company - OR</v>
      </c>
      <c r="B139" s="279" t="s">
        <v>110</v>
      </c>
      <c r="C139" s="279" t="s">
        <v>22</v>
      </c>
      <c r="D139" s="280">
        <v>7688285</v>
      </c>
      <c r="E139" s="280">
        <v>7199896</v>
      </c>
      <c r="F139" s="280">
        <v>2568165</v>
      </c>
      <c r="G139" s="280">
        <v>17456346</v>
      </c>
      <c r="H139" s="281">
        <v>0.10909242195810234</v>
      </c>
      <c r="I139" s="14">
        <f t="shared" si="36"/>
        <v>21.81848439162047</v>
      </c>
      <c r="J139" s="14">
        <f t="shared" si="36"/>
        <v>24.000332830782515</v>
      </c>
      <c r="K139" s="14">
        <f t="shared" si="36"/>
        <v>26.18218126994456</v>
      </c>
      <c r="L139" s="14">
        <f t="shared" si="36"/>
        <v>28.36402970910661</v>
      </c>
      <c r="M139" s="14">
        <f t="shared" si="36"/>
        <v>30.545878148268656</v>
      </c>
      <c r="N139" s="14">
        <f t="shared" si="36"/>
        <v>31.63680236784968</v>
      </c>
      <c r="O139" s="14">
        <f t="shared" si="36"/>
        <v>34.90957502659275</v>
      </c>
      <c r="P139" s="14">
        <f t="shared" si="36"/>
        <v>37.091423465754794</v>
      </c>
      <c r="Q139" s="14">
        <f t="shared" si="36"/>
        <v>38.18234768533582</v>
      </c>
      <c r="R139" s="14">
        <f t="shared" si="29"/>
        <v>39.27327190491685</v>
      </c>
      <c r="S139" s="14">
        <f t="shared" si="33"/>
        <v>39.81873401470735</v>
      </c>
      <c r="T139" s="14">
        <f t="shared" si="33"/>
        <v>39.81873401470735</v>
      </c>
      <c r="U139" s="14">
        <f t="shared" si="33"/>
        <v>39.81873401470735</v>
      </c>
      <c r="V139" s="14">
        <f t="shared" si="33"/>
        <v>39.27327190491685</v>
      </c>
      <c r="W139" s="14">
        <f t="shared" si="33"/>
        <v>33.81865080701173</v>
      </c>
      <c r="X139" s="14">
        <f t="shared" si="33"/>
        <v>30.545878148268656</v>
      </c>
      <c r="Y139" s="14">
        <f t="shared" si="33"/>
        <v>27.273105489525587</v>
      </c>
      <c r="Z139" s="14">
        <f t="shared" si="33"/>
        <v>26.18218126994456</v>
      </c>
      <c r="AA139" s="14">
        <f t="shared" si="33"/>
        <v>25.091257050363538</v>
      </c>
      <c r="AB139" s="14">
        <f t="shared" si="33"/>
        <v>24.000332830782515</v>
      </c>
      <c r="AC139" s="14">
        <f t="shared" si="35"/>
        <v>637.6452063451081</v>
      </c>
    </row>
    <row r="140" spans="1:29" ht="12.75">
      <c r="A140" s="27" t="str">
        <f t="shared" si="28"/>
        <v>PUD No 1 of Benton County - WA</v>
      </c>
      <c r="B140" s="190" t="s">
        <v>24</v>
      </c>
      <c r="C140" s="190" t="s">
        <v>14</v>
      </c>
      <c r="D140" s="208">
        <v>644392</v>
      </c>
      <c r="E140" s="208">
        <v>511577</v>
      </c>
      <c r="F140" s="208">
        <v>451296</v>
      </c>
      <c r="G140" s="208">
        <v>1607265</v>
      </c>
      <c r="H140" s="13">
        <v>0.01004450940526095</v>
      </c>
      <c r="I140" s="14">
        <f t="shared" si="36"/>
        <v>2.00890188105219</v>
      </c>
      <c r="J140" s="14">
        <f t="shared" si="36"/>
        <v>2.209792069157409</v>
      </c>
      <c r="K140" s="14">
        <f t="shared" si="36"/>
        <v>2.410682257262628</v>
      </c>
      <c r="L140" s="14">
        <f t="shared" si="36"/>
        <v>2.611572445367847</v>
      </c>
      <c r="M140" s="14">
        <f t="shared" si="36"/>
        <v>2.812462633473066</v>
      </c>
      <c r="N140" s="14">
        <f t="shared" si="36"/>
        <v>2.9129077275256754</v>
      </c>
      <c r="O140" s="14">
        <f t="shared" si="36"/>
        <v>3.214243009683504</v>
      </c>
      <c r="P140" s="14">
        <f t="shared" si="36"/>
        <v>3.415133197788723</v>
      </c>
      <c r="Q140" s="14">
        <f t="shared" si="36"/>
        <v>3.5155782918413325</v>
      </c>
      <c r="R140" s="14">
        <f t="shared" si="29"/>
        <v>3.616023385893942</v>
      </c>
      <c r="S140" s="14">
        <f t="shared" si="33"/>
        <v>3.666245932920247</v>
      </c>
      <c r="T140" s="14">
        <f t="shared" si="33"/>
        <v>3.666245932920247</v>
      </c>
      <c r="U140" s="14">
        <f t="shared" si="33"/>
        <v>3.666245932920247</v>
      </c>
      <c r="V140" s="14">
        <f t="shared" si="33"/>
        <v>3.616023385893942</v>
      </c>
      <c r="W140" s="14">
        <f t="shared" si="33"/>
        <v>3.1137979156308946</v>
      </c>
      <c r="X140" s="14">
        <f t="shared" si="33"/>
        <v>2.812462633473066</v>
      </c>
      <c r="Y140" s="14">
        <f t="shared" si="33"/>
        <v>2.5111273513152375</v>
      </c>
      <c r="Z140" s="14">
        <f t="shared" si="33"/>
        <v>2.410682257262628</v>
      </c>
      <c r="AA140" s="14">
        <f t="shared" si="33"/>
        <v>2.3102371632100183</v>
      </c>
      <c r="AB140" s="14">
        <f t="shared" si="33"/>
        <v>2.209792069157409</v>
      </c>
      <c r="AC140" s="14">
        <f t="shared" si="35"/>
        <v>58.71015747375025</v>
      </c>
    </row>
    <row r="141" spans="1:29" ht="12.75">
      <c r="A141" s="27" t="str">
        <f t="shared" si="28"/>
        <v>PUD No 1 of Chelan County - WA</v>
      </c>
      <c r="B141" s="190" t="s">
        <v>34</v>
      </c>
      <c r="C141" s="190" t="s">
        <v>14</v>
      </c>
      <c r="D141" s="208">
        <v>723008</v>
      </c>
      <c r="E141" s="208">
        <v>436681</v>
      </c>
      <c r="F141" s="208">
        <v>339058</v>
      </c>
      <c r="G141" s="208">
        <v>1498747</v>
      </c>
      <c r="H141" s="13">
        <v>0.009366332457688455</v>
      </c>
      <c r="I141" s="14">
        <f t="shared" si="36"/>
        <v>1.8732664915376909</v>
      </c>
      <c r="J141" s="14">
        <f t="shared" si="36"/>
        <v>2.06059314069146</v>
      </c>
      <c r="K141" s="14">
        <f t="shared" si="36"/>
        <v>2.247919789845229</v>
      </c>
      <c r="L141" s="14">
        <f t="shared" si="36"/>
        <v>2.4352464389989983</v>
      </c>
      <c r="M141" s="14">
        <f t="shared" si="36"/>
        <v>2.6225730881527674</v>
      </c>
      <c r="N141" s="14">
        <f t="shared" si="36"/>
        <v>2.7162364127296517</v>
      </c>
      <c r="O141" s="14">
        <f t="shared" si="36"/>
        <v>2.9972263864603055</v>
      </c>
      <c r="P141" s="14">
        <f t="shared" si="36"/>
        <v>3.1845530356140745</v>
      </c>
      <c r="Q141" s="14">
        <f t="shared" si="36"/>
        <v>3.2782163601909593</v>
      </c>
      <c r="R141" s="14">
        <f t="shared" si="29"/>
        <v>3.3718796847678436</v>
      </c>
      <c r="S141" s="14">
        <f t="shared" si="33"/>
        <v>3.418711347056286</v>
      </c>
      <c r="T141" s="14">
        <f t="shared" si="33"/>
        <v>3.418711347056286</v>
      </c>
      <c r="U141" s="14">
        <f t="shared" si="33"/>
        <v>3.418711347056286</v>
      </c>
      <c r="V141" s="14">
        <f t="shared" si="33"/>
        <v>3.3718796847678436</v>
      </c>
      <c r="W141" s="14">
        <f t="shared" si="33"/>
        <v>2.9035630618834207</v>
      </c>
      <c r="X141" s="14">
        <f t="shared" si="33"/>
        <v>2.6225730881527674</v>
      </c>
      <c r="Y141" s="14">
        <f t="shared" si="33"/>
        <v>2.3415831144221135</v>
      </c>
      <c r="Z141" s="14">
        <f t="shared" si="33"/>
        <v>2.247919789845229</v>
      </c>
      <c r="AA141" s="14">
        <f t="shared" si="33"/>
        <v>2.1542564652683445</v>
      </c>
      <c r="AB141" s="14">
        <f t="shared" si="33"/>
        <v>2.06059314069146</v>
      </c>
      <c r="AC141" s="14">
        <f t="shared" si="35"/>
        <v>54.746213215189016</v>
      </c>
    </row>
    <row r="142" spans="1:29" ht="12.75">
      <c r="A142" s="27" t="str">
        <f t="shared" si="28"/>
        <v>PUD No 1 of Clallam County - WA</v>
      </c>
      <c r="B142" s="190" t="s">
        <v>37</v>
      </c>
      <c r="C142" s="190" t="s">
        <v>14</v>
      </c>
      <c r="D142" s="208">
        <v>439218</v>
      </c>
      <c r="E142" s="208">
        <v>77792</v>
      </c>
      <c r="F142" s="208">
        <v>274921</v>
      </c>
      <c r="G142" s="208">
        <v>791931</v>
      </c>
      <c r="H142" s="13">
        <v>0.004949126857000999</v>
      </c>
      <c r="I142" s="14">
        <f t="shared" si="36"/>
        <v>0.9898253714001998</v>
      </c>
      <c r="J142" s="14">
        <f t="shared" si="36"/>
        <v>1.0888079085402198</v>
      </c>
      <c r="K142" s="14">
        <f t="shared" si="36"/>
        <v>1.1877904456802397</v>
      </c>
      <c r="L142" s="14">
        <f t="shared" si="36"/>
        <v>1.2867729828202596</v>
      </c>
      <c r="M142" s="14">
        <f t="shared" si="36"/>
        <v>1.3857555199602796</v>
      </c>
      <c r="N142" s="14">
        <f t="shared" si="36"/>
        <v>1.4352467885302895</v>
      </c>
      <c r="O142" s="14">
        <f t="shared" si="36"/>
        <v>1.5837205942403196</v>
      </c>
      <c r="P142" s="14">
        <f t="shared" si="36"/>
        <v>1.6827031313803396</v>
      </c>
      <c r="Q142" s="14">
        <f t="shared" si="36"/>
        <v>1.7321943999503495</v>
      </c>
      <c r="R142" s="14">
        <f t="shared" si="29"/>
        <v>1.7816856685203595</v>
      </c>
      <c r="S142" s="14">
        <f t="shared" si="33"/>
        <v>1.8064313028053645</v>
      </c>
      <c r="T142" s="14">
        <f t="shared" si="33"/>
        <v>1.8064313028053645</v>
      </c>
      <c r="U142" s="14">
        <f t="shared" si="33"/>
        <v>1.8064313028053645</v>
      </c>
      <c r="V142" s="14">
        <f t="shared" si="33"/>
        <v>1.7816856685203595</v>
      </c>
      <c r="W142" s="14">
        <f t="shared" si="33"/>
        <v>1.5342293256703097</v>
      </c>
      <c r="X142" s="14">
        <f t="shared" si="33"/>
        <v>1.3857555199602796</v>
      </c>
      <c r="Y142" s="14">
        <f t="shared" si="33"/>
        <v>1.2372817142502497</v>
      </c>
      <c r="Z142" s="14">
        <f t="shared" si="33"/>
        <v>1.1877904456802397</v>
      </c>
      <c r="AA142" s="14">
        <f t="shared" si="33"/>
        <v>1.1382991771102298</v>
      </c>
      <c r="AB142" s="14">
        <f t="shared" si="33"/>
        <v>1.0888079085402198</v>
      </c>
      <c r="AC142" s="14">
        <f t="shared" si="35"/>
        <v>28.927646479170836</v>
      </c>
    </row>
    <row r="143" spans="1:29" ht="12.75">
      <c r="A143" s="27" t="str">
        <f t="shared" si="28"/>
        <v>PUD No 1 of Clark County - WA</v>
      </c>
      <c r="B143" s="190" t="s">
        <v>38</v>
      </c>
      <c r="C143" s="190" t="s">
        <v>14</v>
      </c>
      <c r="D143" s="208">
        <v>2340667</v>
      </c>
      <c r="E143" s="208">
        <v>1389246</v>
      </c>
      <c r="F143" s="208">
        <v>812532</v>
      </c>
      <c r="G143" s="208">
        <v>4542445</v>
      </c>
      <c r="H143" s="13">
        <v>0.02838774659149585</v>
      </c>
      <c r="I143" s="14">
        <f aca="true" t="shared" si="37" ref="I143:Q152">$H143*I$33</f>
        <v>5.67754931829917</v>
      </c>
      <c r="J143" s="14">
        <f t="shared" si="37"/>
        <v>6.245304250129087</v>
      </c>
      <c r="K143" s="14">
        <f t="shared" si="37"/>
        <v>6.813059181959004</v>
      </c>
      <c r="L143" s="14">
        <f t="shared" si="37"/>
        <v>7.380814113788921</v>
      </c>
      <c r="M143" s="14">
        <f t="shared" si="37"/>
        <v>7.9485690456188385</v>
      </c>
      <c r="N143" s="14">
        <f t="shared" si="37"/>
        <v>8.232446511533796</v>
      </c>
      <c r="O143" s="14">
        <f t="shared" si="37"/>
        <v>9.084078909278672</v>
      </c>
      <c r="P143" s="14">
        <f t="shared" si="37"/>
        <v>9.651833841108589</v>
      </c>
      <c r="Q143" s="14">
        <f t="shared" si="37"/>
        <v>9.935711307023547</v>
      </c>
      <c r="R143" s="14">
        <f t="shared" si="29"/>
        <v>10.219588772938506</v>
      </c>
      <c r="S143" s="14">
        <f t="shared" si="33"/>
        <v>10.361527505895985</v>
      </c>
      <c r="T143" s="14">
        <f t="shared" si="33"/>
        <v>10.361527505895985</v>
      </c>
      <c r="U143" s="14">
        <f t="shared" si="33"/>
        <v>10.361527505895985</v>
      </c>
      <c r="V143" s="14">
        <f t="shared" si="33"/>
        <v>10.219588772938506</v>
      </c>
      <c r="W143" s="14">
        <f t="shared" si="33"/>
        <v>8.800201443363713</v>
      </c>
      <c r="X143" s="14">
        <f t="shared" si="33"/>
        <v>7.9485690456188385</v>
      </c>
      <c r="Y143" s="14">
        <f aca="true" t="shared" si="38" ref="S143:AB169">$H143*Y$33</f>
        <v>7.096936647873963</v>
      </c>
      <c r="Z143" s="14">
        <f t="shared" si="38"/>
        <v>6.813059181959004</v>
      </c>
      <c r="AA143" s="14">
        <f t="shared" si="38"/>
        <v>6.529181716044046</v>
      </c>
      <c r="AB143" s="14">
        <f t="shared" si="38"/>
        <v>6.245304250129087</v>
      </c>
      <c r="AC143" s="14">
        <f t="shared" si="35"/>
        <v>165.92637882729323</v>
      </c>
    </row>
    <row r="144" spans="1:29" ht="12.75">
      <c r="A144" s="27" t="str">
        <f t="shared" si="28"/>
        <v>PUD No 1 of Cowlitz County - WA</v>
      </c>
      <c r="B144" s="190" t="s">
        <v>45</v>
      </c>
      <c r="C144" s="190" t="s">
        <v>14</v>
      </c>
      <c r="D144" s="208">
        <v>800480</v>
      </c>
      <c r="E144" s="208">
        <v>388968</v>
      </c>
      <c r="F144" s="208">
        <v>3706834</v>
      </c>
      <c r="G144" s="208">
        <v>4896282</v>
      </c>
      <c r="H144" s="13">
        <v>0.030599030402460016</v>
      </c>
      <c r="I144" s="14">
        <f t="shared" si="37"/>
        <v>6.119806080492003</v>
      </c>
      <c r="J144" s="14">
        <f t="shared" si="37"/>
        <v>6.731786688541203</v>
      </c>
      <c r="K144" s="14">
        <f t="shared" si="37"/>
        <v>7.3437672965904035</v>
      </c>
      <c r="L144" s="14">
        <f t="shared" si="37"/>
        <v>7.955747904639604</v>
      </c>
      <c r="M144" s="14">
        <f t="shared" si="37"/>
        <v>8.567728512688804</v>
      </c>
      <c r="N144" s="14">
        <f t="shared" si="37"/>
        <v>8.873718816713405</v>
      </c>
      <c r="O144" s="14">
        <f t="shared" si="37"/>
        <v>9.791689728787205</v>
      </c>
      <c r="P144" s="14">
        <f t="shared" si="37"/>
        <v>10.403670336836406</v>
      </c>
      <c r="Q144" s="14">
        <f t="shared" si="37"/>
        <v>10.709660640861006</v>
      </c>
      <c r="R144" s="14">
        <f t="shared" si="29"/>
        <v>11.015650944885605</v>
      </c>
      <c r="S144" s="14">
        <f t="shared" si="38"/>
        <v>11.168646096897906</v>
      </c>
      <c r="T144" s="14">
        <f t="shared" si="38"/>
        <v>11.168646096897906</v>
      </c>
      <c r="U144" s="14">
        <f t="shared" si="38"/>
        <v>11.168646096897906</v>
      </c>
      <c r="V144" s="14">
        <f t="shared" si="38"/>
        <v>11.015650944885605</v>
      </c>
      <c r="W144" s="14">
        <f t="shared" si="38"/>
        <v>9.485699424762604</v>
      </c>
      <c r="X144" s="14">
        <f t="shared" si="38"/>
        <v>8.567728512688804</v>
      </c>
      <c r="Y144" s="14">
        <f t="shared" si="38"/>
        <v>7.649757600615004</v>
      </c>
      <c r="Z144" s="14">
        <f t="shared" si="38"/>
        <v>7.3437672965904035</v>
      </c>
      <c r="AA144" s="14">
        <f t="shared" si="38"/>
        <v>7.037776992565804</v>
      </c>
      <c r="AB144" s="14">
        <f t="shared" si="38"/>
        <v>6.731786688541203</v>
      </c>
      <c r="AC144" s="14">
        <f t="shared" si="35"/>
        <v>178.85133270237878</v>
      </c>
    </row>
    <row r="145" spans="1:29" ht="12.75">
      <c r="A145" s="27" t="str">
        <f t="shared" si="28"/>
        <v>PUD No 1 of Douglas County - WA</v>
      </c>
      <c r="B145" s="190" t="s">
        <v>47</v>
      </c>
      <c r="C145" s="190" t="s">
        <v>14</v>
      </c>
      <c r="D145" s="208">
        <v>375803</v>
      </c>
      <c r="E145" s="208">
        <v>181335</v>
      </c>
      <c r="F145" s="208">
        <v>38730</v>
      </c>
      <c r="G145" s="208">
        <v>595868</v>
      </c>
      <c r="H145" s="13">
        <v>0.003723842509041155</v>
      </c>
      <c r="I145" s="14">
        <f t="shared" si="37"/>
        <v>0.744768501808231</v>
      </c>
      <c r="J145" s="14">
        <f t="shared" si="37"/>
        <v>0.8192453519890541</v>
      </c>
      <c r="K145" s="14">
        <f t="shared" si="37"/>
        <v>0.8937222021698772</v>
      </c>
      <c r="L145" s="14">
        <f t="shared" si="37"/>
        <v>0.9681990523507003</v>
      </c>
      <c r="M145" s="14">
        <f t="shared" si="37"/>
        <v>1.0426759025315233</v>
      </c>
      <c r="N145" s="14">
        <f t="shared" si="37"/>
        <v>1.079914327621935</v>
      </c>
      <c r="O145" s="14">
        <f t="shared" si="37"/>
        <v>1.1916296028931697</v>
      </c>
      <c r="P145" s="14">
        <f t="shared" si="37"/>
        <v>1.2661064530739927</v>
      </c>
      <c r="Q145" s="14">
        <f t="shared" si="37"/>
        <v>1.3033448781644041</v>
      </c>
      <c r="R145" s="14">
        <f t="shared" si="29"/>
        <v>1.3405833032548158</v>
      </c>
      <c r="S145" s="14">
        <f t="shared" si="38"/>
        <v>1.3592025158000216</v>
      </c>
      <c r="T145" s="14">
        <f t="shared" si="38"/>
        <v>1.3592025158000216</v>
      </c>
      <c r="U145" s="14">
        <f t="shared" si="38"/>
        <v>1.3592025158000216</v>
      </c>
      <c r="V145" s="14">
        <f t="shared" si="38"/>
        <v>1.3405833032548158</v>
      </c>
      <c r="W145" s="14">
        <f t="shared" si="38"/>
        <v>1.154391177802758</v>
      </c>
      <c r="X145" s="14">
        <f t="shared" si="38"/>
        <v>1.0426759025315233</v>
      </c>
      <c r="Y145" s="14">
        <f t="shared" si="38"/>
        <v>0.9309606272602887</v>
      </c>
      <c r="Z145" s="14">
        <f t="shared" si="38"/>
        <v>0.8937222021698772</v>
      </c>
      <c r="AA145" s="14">
        <f t="shared" si="38"/>
        <v>0.8564837770794657</v>
      </c>
      <c r="AB145" s="14">
        <f t="shared" si="38"/>
        <v>0.8192453519890541</v>
      </c>
      <c r="AC145" s="14">
        <f t="shared" si="35"/>
        <v>21.76585946534555</v>
      </c>
    </row>
    <row r="146" spans="1:29" ht="12.75">
      <c r="A146" s="27" t="str">
        <f t="shared" si="28"/>
        <v>PUD No 1 of Ferry County - WA</v>
      </c>
      <c r="B146" s="190" t="s">
        <v>59</v>
      </c>
      <c r="C146" s="190" t="s">
        <v>14</v>
      </c>
      <c r="D146" s="208">
        <v>34257</v>
      </c>
      <c r="E146" s="208">
        <v>8738</v>
      </c>
      <c r="F146" s="208">
        <v>21918</v>
      </c>
      <c r="G146" s="208">
        <v>64913</v>
      </c>
      <c r="H146" s="13">
        <v>0.0004056700289147739</v>
      </c>
      <c r="I146" s="14">
        <f t="shared" si="37"/>
        <v>0.08113400578295478</v>
      </c>
      <c r="J146" s="14">
        <f t="shared" si="37"/>
        <v>0.08924740636125025</v>
      </c>
      <c r="K146" s="14">
        <f t="shared" si="37"/>
        <v>0.09736080693954574</v>
      </c>
      <c r="L146" s="14">
        <f t="shared" si="37"/>
        <v>0.10547420751784121</v>
      </c>
      <c r="M146" s="14">
        <f t="shared" si="37"/>
        <v>0.11358760809613669</v>
      </c>
      <c r="N146" s="14">
        <f t="shared" si="37"/>
        <v>0.11764430838528443</v>
      </c>
      <c r="O146" s="14">
        <f t="shared" si="37"/>
        <v>0.12981440925272764</v>
      </c>
      <c r="P146" s="14">
        <f t="shared" si="37"/>
        <v>0.13792780983102312</v>
      </c>
      <c r="Q146" s="14">
        <f t="shared" si="37"/>
        <v>0.14198451012017085</v>
      </c>
      <c r="R146" s="14">
        <f t="shared" si="29"/>
        <v>0.1460412104093186</v>
      </c>
      <c r="S146" s="14">
        <f t="shared" si="38"/>
        <v>0.14806956055389248</v>
      </c>
      <c r="T146" s="14">
        <f t="shared" si="38"/>
        <v>0.14806956055389248</v>
      </c>
      <c r="U146" s="14">
        <f t="shared" si="38"/>
        <v>0.14806956055389248</v>
      </c>
      <c r="V146" s="14">
        <f t="shared" si="38"/>
        <v>0.1460412104093186</v>
      </c>
      <c r="W146" s="14">
        <f t="shared" si="38"/>
        <v>0.1257577089635799</v>
      </c>
      <c r="X146" s="14">
        <f t="shared" si="38"/>
        <v>0.11358760809613669</v>
      </c>
      <c r="Y146" s="14">
        <f t="shared" si="38"/>
        <v>0.10141750722869347</v>
      </c>
      <c r="Z146" s="14">
        <f t="shared" si="38"/>
        <v>0.09736080693954574</v>
      </c>
      <c r="AA146" s="14">
        <f t="shared" si="38"/>
        <v>0.093304106650398</v>
      </c>
      <c r="AB146" s="14">
        <f t="shared" si="38"/>
        <v>0.08924740636125025</v>
      </c>
      <c r="AC146" s="14">
        <f t="shared" si="35"/>
        <v>2.3711413190068535</v>
      </c>
    </row>
    <row r="147" spans="1:29" ht="12.75">
      <c r="A147" s="27" t="str">
        <f t="shared" si="28"/>
        <v>PUD No 1 of Franklin County - WA</v>
      </c>
      <c r="B147" s="190" t="s">
        <v>62</v>
      </c>
      <c r="C147" s="190" t="s">
        <v>14</v>
      </c>
      <c r="D147" s="208">
        <v>297235</v>
      </c>
      <c r="E147" s="208">
        <v>310722</v>
      </c>
      <c r="F147" s="208">
        <v>278348</v>
      </c>
      <c r="G147" s="208">
        <v>886305</v>
      </c>
      <c r="H147" s="13">
        <v>0.005538911696845141</v>
      </c>
      <c r="I147" s="14">
        <f t="shared" si="37"/>
        <v>1.1077823393690283</v>
      </c>
      <c r="J147" s="14">
        <f t="shared" si="37"/>
        <v>1.218560573305931</v>
      </c>
      <c r="K147" s="14">
        <f t="shared" si="37"/>
        <v>1.3293388072428338</v>
      </c>
      <c r="L147" s="14">
        <f t="shared" si="37"/>
        <v>1.4401170411797366</v>
      </c>
      <c r="M147" s="14">
        <f t="shared" si="37"/>
        <v>1.5508952751166396</v>
      </c>
      <c r="N147" s="14">
        <f t="shared" si="37"/>
        <v>1.6062843920850909</v>
      </c>
      <c r="O147" s="14">
        <f t="shared" si="37"/>
        <v>1.7724517429904452</v>
      </c>
      <c r="P147" s="14">
        <f t="shared" si="37"/>
        <v>1.883229976927348</v>
      </c>
      <c r="Q147" s="14">
        <f t="shared" si="37"/>
        <v>1.9386190938957995</v>
      </c>
      <c r="R147" s="14">
        <f t="shared" si="29"/>
        <v>1.9940082108642507</v>
      </c>
      <c r="S147" s="14">
        <f t="shared" si="38"/>
        <v>2.0217027693484764</v>
      </c>
      <c r="T147" s="14">
        <f t="shared" si="38"/>
        <v>2.0217027693484764</v>
      </c>
      <c r="U147" s="14">
        <f t="shared" si="38"/>
        <v>2.0217027693484764</v>
      </c>
      <c r="V147" s="14">
        <f t="shared" si="38"/>
        <v>1.9940082108642507</v>
      </c>
      <c r="W147" s="14">
        <f t="shared" si="38"/>
        <v>1.7170626260219937</v>
      </c>
      <c r="X147" s="14">
        <f t="shared" si="38"/>
        <v>1.5508952751166396</v>
      </c>
      <c r="Y147" s="14">
        <f t="shared" si="38"/>
        <v>1.3847279242112853</v>
      </c>
      <c r="Z147" s="14">
        <f t="shared" si="38"/>
        <v>1.3293388072428338</v>
      </c>
      <c r="AA147" s="14">
        <f t="shared" si="38"/>
        <v>1.2739496902743825</v>
      </c>
      <c r="AB147" s="14">
        <f t="shared" si="38"/>
        <v>1.218560573305931</v>
      </c>
      <c r="AC147" s="14">
        <f t="shared" si="35"/>
        <v>32.37493886805985</v>
      </c>
    </row>
    <row r="148" spans="1:29" ht="12.75">
      <c r="A148" s="27" t="str">
        <f t="shared" si="28"/>
        <v>PUD No 1 of Grays Harbor Cnty - WA</v>
      </c>
      <c r="B148" s="190" t="s">
        <v>65</v>
      </c>
      <c r="C148" s="190" t="s">
        <v>14</v>
      </c>
      <c r="D148" s="208">
        <v>506208</v>
      </c>
      <c r="E148" s="208">
        <v>264450</v>
      </c>
      <c r="F148" s="208">
        <v>211944</v>
      </c>
      <c r="G148" s="208">
        <v>982602</v>
      </c>
      <c r="H148" s="13">
        <v>0.006140714213666209</v>
      </c>
      <c r="I148" s="14">
        <f t="shared" si="37"/>
        <v>1.228142842733242</v>
      </c>
      <c r="J148" s="14">
        <f t="shared" si="37"/>
        <v>1.350957127006566</v>
      </c>
      <c r="K148" s="14">
        <f t="shared" si="37"/>
        <v>1.47377141127989</v>
      </c>
      <c r="L148" s="14">
        <f t="shared" si="37"/>
        <v>1.5965856955532143</v>
      </c>
      <c r="M148" s="14">
        <f t="shared" si="37"/>
        <v>1.7193999798265385</v>
      </c>
      <c r="N148" s="14">
        <f t="shared" si="37"/>
        <v>1.7808071219632007</v>
      </c>
      <c r="O148" s="14">
        <f t="shared" si="37"/>
        <v>1.9650285483731869</v>
      </c>
      <c r="P148" s="14">
        <f t="shared" si="37"/>
        <v>2.087842832646511</v>
      </c>
      <c r="Q148" s="14">
        <f t="shared" si="37"/>
        <v>2.149249974783173</v>
      </c>
      <c r="R148" s="14">
        <f t="shared" si="29"/>
        <v>2.2106571169198355</v>
      </c>
      <c r="S148" s="14">
        <f t="shared" si="38"/>
        <v>2.2413606879881662</v>
      </c>
      <c r="T148" s="14">
        <f t="shared" si="38"/>
        <v>2.2413606879881662</v>
      </c>
      <c r="U148" s="14">
        <f t="shared" si="38"/>
        <v>2.2413606879881662</v>
      </c>
      <c r="V148" s="14">
        <f t="shared" si="38"/>
        <v>2.2106571169198355</v>
      </c>
      <c r="W148" s="14">
        <f t="shared" si="38"/>
        <v>1.9036214062365249</v>
      </c>
      <c r="X148" s="14">
        <f t="shared" si="38"/>
        <v>1.7193999798265385</v>
      </c>
      <c r="Y148" s="14">
        <f t="shared" si="38"/>
        <v>1.5351785534165523</v>
      </c>
      <c r="Z148" s="14">
        <f t="shared" si="38"/>
        <v>1.47377141127989</v>
      </c>
      <c r="AA148" s="14">
        <f t="shared" si="38"/>
        <v>1.412364269143228</v>
      </c>
      <c r="AB148" s="14">
        <f t="shared" si="38"/>
        <v>1.350957127006566</v>
      </c>
      <c r="AC148" s="14">
        <f t="shared" si="35"/>
        <v>35.89247457887899</v>
      </c>
    </row>
    <row r="149" spans="1:29" ht="12.75">
      <c r="A149" s="27" t="str">
        <f t="shared" si="28"/>
        <v>PUD No 1 of Kittitas County - WA</v>
      </c>
      <c r="B149" s="190" t="s">
        <v>73</v>
      </c>
      <c r="C149" s="190" t="s">
        <v>14</v>
      </c>
      <c r="D149" s="208">
        <v>52636</v>
      </c>
      <c r="E149" s="208">
        <v>13010</v>
      </c>
      <c r="F149" s="208">
        <v>7120</v>
      </c>
      <c r="G149" s="208">
        <v>72766</v>
      </c>
      <c r="H149" s="13">
        <v>0.0004547468969853872</v>
      </c>
      <c r="I149" s="14">
        <f t="shared" si="37"/>
        <v>0.09094937939707744</v>
      </c>
      <c r="J149" s="14">
        <f t="shared" si="37"/>
        <v>0.10004431733678518</v>
      </c>
      <c r="K149" s="14">
        <f t="shared" si="37"/>
        <v>0.10913925527649293</v>
      </c>
      <c r="L149" s="14">
        <f t="shared" si="37"/>
        <v>0.11823419321620067</v>
      </c>
      <c r="M149" s="14">
        <f t="shared" si="37"/>
        <v>0.1273291311559084</v>
      </c>
      <c r="N149" s="14">
        <f t="shared" si="37"/>
        <v>0.13187660012576227</v>
      </c>
      <c r="O149" s="14">
        <f t="shared" si="37"/>
        <v>0.1455190070353239</v>
      </c>
      <c r="P149" s="14">
        <f t="shared" si="37"/>
        <v>0.15461394497503164</v>
      </c>
      <c r="Q149" s="14">
        <f t="shared" si="37"/>
        <v>0.1591614139448855</v>
      </c>
      <c r="R149" s="14">
        <f t="shared" si="29"/>
        <v>0.1637088829147394</v>
      </c>
      <c r="S149" s="14">
        <f t="shared" si="38"/>
        <v>0.16598261739966633</v>
      </c>
      <c r="T149" s="14">
        <f t="shared" si="38"/>
        <v>0.16598261739966633</v>
      </c>
      <c r="U149" s="14">
        <f t="shared" si="38"/>
        <v>0.16598261739966633</v>
      </c>
      <c r="V149" s="14">
        <f t="shared" si="38"/>
        <v>0.1637088829147394</v>
      </c>
      <c r="W149" s="14">
        <f t="shared" si="38"/>
        <v>0.14097153806547003</v>
      </c>
      <c r="X149" s="14">
        <f t="shared" si="38"/>
        <v>0.1273291311559084</v>
      </c>
      <c r="Y149" s="14">
        <f t="shared" si="38"/>
        <v>0.1136867242463468</v>
      </c>
      <c r="Z149" s="14">
        <f t="shared" si="38"/>
        <v>0.10913925527649293</v>
      </c>
      <c r="AA149" s="14">
        <f t="shared" si="38"/>
        <v>0.10459178630663905</v>
      </c>
      <c r="AB149" s="14">
        <f t="shared" si="38"/>
        <v>0.10004431733678518</v>
      </c>
      <c r="AC149" s="14">
        <f t="shared" si="35"/>
        <v>2.657995612879588</v>
      </c>
    </row>
    <row r="150" spans="1:29" ht="12.75">
      <c r="A150" s="27" t="str">
        <f t="shared" si="28"/>
        <v>PUD No 1 of Klickitat County - WA</v>
      </c>
      <c r="B150" s="209" t="s">
        <v>74</v>
      </c>
      <c r="C150" s="190" t="s">
        <v>14</v>
      </c>
      <c r="D150" s="208">
        <v>133626</v>
      </c>
      <c r="E150" s="208">
        <v>111922</v>
      </c>
      <c r="F150" s="208">
        <v>54393</v>
      </c>
      <c r="G150" s="208">
        <v>299941</v>
      </c>
      <c r="H150" s="13">
        <v>0.0018744638846259793</v>
      </c>
      <c r="I150" s="14">
        <f t="shared" si="37"/>
        <v>0.37489277692519585</v>
      </c>
      <c r="J150" s="14">
        <f t="shared" si="37"/>
        <v>0.41238205461771543</v>
      </c>
      <c r="K150" s="14">
        <f t="shared" si="37"/>
        <v>0.449871332310235</v>
      </c>
      <c r="L150" s="14">
        <f t="shared" si="37"/>
        <v>0.4873606100027546</v>
      </c>
      <c r="M150" s="14">
        <f t="shared" si="37"/>
        <v>0.5248498876952742</v>
      </c>
      <c r="N150" s="14">
        <f t="shared" si="37"/>
        <v>0.543594526541534</v>
      </c>
      <c r="O150" s="14">
        <f t="shared" si="37"/>
        <v>0.5998284430803134</v>
      </c>
      <c r="P150" s="14">
        <f t="shared" si="37"/>
        <v>0.637317720772833</v>
      </c>
      <c r="Q150" s="14">
        <f t="shared" si="37"/>
        <v>0.6560623596190928</v>
      </c>
      <c r="R150" s="14">
        <f t="shared" si="29"/>
        <v>0.6748069984653525</v>
      </c>
      <c r="S150" s="14">
        <f t="shared" si="38"/>
        <v>0.6841793178884824</v>
      </c>
      <c r="T150" s="14">
        <f t="shared" si="38"/>
        <v>0.6841793178884824</v>
      </c>
      <c r="U150" s="14">
        <f t="shared" si="38"/>
        <v>0.6841793178884824</v>
      </c>
      <c r="V150" s="14">
        <f t="shared" si="38"/>
        <v>0.6748069984653525</v>
      </c>
      <c r="W150" s="14">
        <f t="shared" si="38"/>
        <v>0.5810838042340536</v>
      </c>
      <c r="X150" s="14">
        <f t="shared" si="38"/>
        <v>0.5248498876952742</v>
      </c>
      <c r="Y150" s="14">
        <f t="shared" si="38"/>
        <v>0.46861597115649484</v>
      </c>
      <c r="Z150" s="14">
        <f t="shared" si="38"/>
        <v>0.449871332310235</v>
      </c>
      <c r="AA150" s="14">
        <f t="shared" si="38"/>
        <v>0.43112669346397525</v>
      </c>
      <c r="AB150" s="14">
        <f t="shared" si="38"/>
        <v>0.41238205461771543</v>
      </c>
      <c r="AC150" s="14">
        <f t="shared" si="35"/>
        <v>10.956241405638849</v>
      </c>
    </row>
    <row r="151" spans="1:29" ht="12.75">
      <c r="A151" s="27" t="str">
        <f t="shared" si="28"/>
        <v>PUD No 1 of Lewis County - WA</v>
      </c>
      <c r="B151" s="209" t="s">
        <v>78</v>
      </c>
      <c r="C151" s="190" t="s">
        <v>14</v>
      </c>
      <c r="D151" s="208">
        <v>442621</v>
      </c>
      <c r="E151" s="208">
        <v>218834</v>
      </c>
      <c r="F151" s="208">
        <v>267751</v>
      </c>
      <c r="G151" s="208">
        <v>929206</v>
      </c>
      <c r="H151" s="13">
        <v>0.005807019008330864</v>
      </c>
      <c r="I151" s="14">
        <f t="shared" si="37"/>
        <v>1.1614038016661727</v>
      </c>
      <c r="J151" s="14">
        <f t="shared" si="37"/>
        <v>1.27754418183279</v>
      </c>
      <c r="K151" s="14">
        <f t="shared" si="37"/>
        <v>1.3936845619994074</v>
      </c>
      <c r="L151" s="14">
        <f t="shared" si="37"/>
        <v>1.5098249421660246</v>
      </c>
      <c r="M151" s="14">
        <f t="shared" si="37"/>
        <v>1.6259653223326418</v>
      </c>
      <c r="N151" s="14">
        <f t="shared" si="37"/>
        <v>1.6840355124159505</v>
      </c>
      <c r="O151" s="14">
        <f t="shared" si="37"/>
        <v>1.8582460826658764</v>
      </c>
      <c r="P151" s="14">
        <f t="shared" si="37"/>
        <v>1.9743864628324936</v>
      </c>
      <c r="Q151" s="14">
        <f t="shared" si="37"/>
        <v>2.032456652915802</v>
      </c>
      <c r="R151" s="14">
        <f t="shared" si="29"/>
        <v>2.090526842999111</v>
      </c>
      <c r="S151" s="14">
        <f t="shared" si="38"/>
        <v>2.119561938040765</v>
      </c>
      <c r="T151" s="14">
        <f t="shared" si="38"/>
        <v>2.119561938040765</v>
      </c>
      <c r="U151" s="14">
        <f t="shared" si="38"/>
        <v>2.119561938040765</v>
      </c>
      <c r="V151" s="14">
        <f t="shared" si="38"/>
        <v>2.090526842999111</v>
      </c>
      <c r="W151" s="14">
        <f t="shared" si="38"/>
        <v>1.8001758925825677</v>
      </c>
      <c r="X151" s="14">
        <f t="shared" si="38"/>
        <v>1.6259653223326418</v>
      </c>
      <c r="Y151" s="14">
        <f t="shared" si="38"/>
        <v>1.4517547520827159</v>
      </c>
      <c r="Z151" s="14">
        <f t="shared" si="38"/>
        <v>1.3936845619994074</v>
      </c>
      <c r="AA151" s="14">
        <f t="shared" si="38"/>
        <v>1.3356143719160987</v>
      </c>
      <c r="AB151" s="14">
        <f t="shared" si="38"/>
        <v>1.27754418183279</v>
      </c>
      <c r="AC151" s="14">
        <f t="shared" si="35"/>
        <v>33.9420261036939</v>
      </c>
    </row>
    <row r="152" spans="1:29" ht="12.75">
      <c r="A152" s="27" t="str">
        <f t="shared" si="28"/>
        <v>PUD No 1 of Mason County - WA</v>
      </c>
      <c r="B152" s="190" t="s">
        <v>141</v>
      </c>
      <c r="C152" s="190" t="s">
        <v>14</v>
      </c>
      <c r="D152" s="208">
        <v>53428</v>
      </c>
      <c r="E152" s="208">
        <v>16003</v>
      </c>
      <c r="F152" s="208">
        <v>0</v>
      </c>
      <c r="G152" s="208">
        <v>69431</v>
      </c>
      <c r="H152" s="13">
        <v>0.0004339050078964409</v>
      </c>
      <c r="I152" s="14">
        <f t="shared" si="37"/>
        <v>0.08678100157928817</v>
      </c>
      <c r="J152" s="14">
        <f t="shared" si="37"/>
        <v>0.095459101737217</v>
      </c>
      <c r="K152" s="14">
        <f t="shared" si="37"/>
        <v>0.10413720189514582</v>
      </c>
      <c r="L152" s="14">
        <f t="shared" si="37"/>
        <v>0.11281530205307463</v>
      </c>
      <c r="M152" s="14">
        <f t="shared" si="37"/>
        <v>0.12149340221100345</v>
      </c>
      <c r="N152" s="14">
        <f t="shared" si="37"/>
        <v>0.12583245228996787</v>
      </c>
      <c r="O152" s="14">
        <f t="shared" si="37"/>
        <v>0.13884960252686107</v>
      </c>
      <c r="P152" s="14">
        <f t="shared" si="37"/>
        <v>0.1475277026847899</v>
      </c>
      <c r="Q152" s="14">
        <f t="shared" si="37"/>
        <v>0.1518667527637543</v>
      </c>
      <c r="R152" s="14">
        <f t="shared" si="29"/>
        <v>0.1562058028427187</v>
      </c>
      <c r="S152" s="14">
        <f t="shared" si="38"/>
        <v>0.15837532788220093</v>
      </c>
      <c r="T152" s="14">
        <f t="shared" si="38"/>
        <v>0.15837532788220093</v>
      </c>
      <c r="U152" s="14">
        <f t="shared" si="38"/>
        <v>0.15837532788220093</v>
      </c>
      <c r="V152" s="14">
        <f t="shared" si="38"/>
        <v>0.1562058028427187</v>
      </c>
      <c r="W152" s="14">
        <f t="shared" si="38"/>
        <v>0.13451055244789667</v>
      </c>
      <c r="X152" s="14">
        <f t="shared" si="38"/>
        <v>0.12149340221100345</v>
      </c>
      <c r="Y152" s="14">
        <f t="shared" si="38"/>
        <v>0.10847625197411022</v>
      </c>
      <c r="Z152" s="14">
        <f t="shared" si="38"/>
        <v>0.10413720189514582</v>
      </c>
      <c r="AA152" s="14">
        <f t="shared" si="38"/>
        <v>0.0997981518161814</v>
      </c>
      <c r="AB152" s="14">
        <f t="shared" si="38"/>
        <v>0.095459101737217</v>
      </c>
      <c r="AC152" s="14">
        <f t="shared" si="35"/>
        <v>2.536174771154697</v>
      </c>
    </row>
    <row r="153" spans="1:29" ht="12.75">
      <c r="A153" s="27" t="str">
        <f t="shared" si="28"/>
        <v>PUD No 1 of Okanogan County - WA</v>
      </c>
      <c r="B153" s="209" t="s">
        <v>98</v>
      </c>
      <c r="C153" s="190" t="s">
        <v>14</v>
      </c>
      <c r="D153" s="208">
        <v>290554</v>
      </c>
      <c r="E153" s="208">
        <v>272310</v>
      </c>
      <c r="F153" s="208">
        <v>58954</v>
      </c>
      <c r="G153" s="208">
        <v>621818</v>
      </c>
      <c r="H153" s="13">
        <v>0.003886015529088578</v>
      </c>
      <c r="I153" s="14">
        <f aca="true" t="shared" si="39" ref="I153:Q162">$H153*I$33</f>
        <v>0.7772031058177156</v>
      </c>
      <c r="J153" s="14">
        <f t="shared" si="39"/>
        <v>0.8549234163994872</v>
      </c>
      <c r="K153" s="14">
        <f t="shared" si="39"/>
        <v>0.9326437269812587</v>
      </c>
      <c r="L153" s="14">
        <f t="shared" si="39"/>
        <v>1.0103640375630303</v>
      </c>
      <c r="M153" s="14">
        <f t="shared" si="39"/>
        <v>1.088084348144802</v>
      </c>
      <c r="N153" s="14">
        <f t="shared" si="39"/>
        <v>1.1269445034356877</v>
      </c>
      <c r="O153" s="14">
        <f t="shared" si="39"/>
        <v>1.243524969308345</v>
      </c>
      <c r="P153" s="14">
        <f t="shared" si="39"/>
        <v>1.3212452798901166</v>
      </c>
      <c r="Q153" s="14">
        <f t="shared" si="39"/>
        <v>1.3601054351810022</v>
      </c>
      <c r="R153" s="14">
        <f t="shared" si="29"/>
        <v>1.398965590471888</v>
      </c>
      <c r="S153" s="14">
        <f t="shared" si="38"/>
        <v>1.418395668117331</v>
      </c>
      <c r="T153" s="14">
        <f t="shared" si="38"/>
        <v>1.418395668117331</v>
      </c>
      <c r="U153" s="14">
        <f t="shared" si="38"/>
        <v>1.418395668117331</v>
      </c>
      <c r="V153" s="14">
        <f t="shared" si="38"/>
        <v>1.398965590471888</v>
      </c>
      <c r="W153" s="14">
        <f t="shared" si="38"/>
        <v>1.2046648140174592</v>
      </c>
      <c r="X153" s="14">
        <f t="shared" si="38"/>
        <v>1.088084348144802</v>
      </c>
      <c r="Y153" s="14">
        <f t="shared" si="38"/>
        <v>0.9715038822721446</v>
      </c>
      <c r="Z153" s="14">
        <f t="shared" si="38"/>
        <v>0.9326437269812587</v>
      </c>
      <c r="AA153" s="14">
        <f t="shared" si="38"/>
        <v>0.8937835716903729</v>
      </c>
      <c r="AB153" s="14">
        <f t="shared" si="38"/>
        <v>0.8549234163994872</v>
      </c>
      <c r="AC153" s="14">
        <f t="shared" si="35"/>
        <v>22.71376076752274</v>
      </c>
    </row>
    <row r="154" spans="1:29" ht="12.75">
      <c r="A154" s="27" t="str">
        <f t="shared" si="28"/>
        <v>PUD No 1 of Pend Oreille Cnty - WA</v>
      </c>
      <c r="B154" s="190" t="s">
        <v>107</v>
      </c>
      <c r="C154" s="190" t="s">
        <v>14</v>
      </c>
      <c r="D154" s="208">
        <v>139768</v>
      </c>
      <c r="E154" s="208">
        <v>49143</v>
      </c>
      <c r="F154" s="208">
        <v>750216</v>
      </c>
      <c r="G154" s="208">
        <v>939127</v>
      </c>
      <c r="H154" s="13">
        <v>0.0058690197224692256</v>
      </c>
      <c r="I154" s="14">
        <f t="shared" si="39"/>
        <v>1.173803944493845</v>
      </c>
      <c r="J154" s="14">
        <f t="shared" si="39"/>
        <v>1.2911843389432296</v>
      </c>
      <c r="K154" s="14">
        <f t="shared" si="39"/>
        <v>1.4085647333926141</v>
      </c>
      <c r="L154" s="14">
        <f t="shared" si="39"/>
        <v>1.5259451278419986</v>
      </c>
      <c r="M154" s="14">
        <f t="shared" si="39"/>
        <v>1.6433255222913832</v>
      </c>
      <c r="N154" s="14">
        <f t="shared" si="39"/>
        <v>1.7020157195160754</v>
      </c>
      <c r="O154" s="14">
        <f t="shared" si="39"/>
        <v>1.8780863111901522</v>
      </c>
      <c r="P154" s="14">
        <f t="shared" si="39"/>
        <v>1.9954667056395368</v>
      </c>
      <c r="Q154" s="14">
        <f t="shared" si="39"/>
        <v>2.054156902864229</v>
      </c>
      <c r="R154" s="14">
        <f t="shared" si="29"/>
        <v>2.112847100088921</v>
      </c>
      <c r="S154" s="14">
        <f t="shared" si="38"/>
        <v>2.1421921987012675</v>
      </c>
      <c r="T154" s="14">
        <f t="shared" si="38"/>
        <v>2.1421921987012675</v>
      </c>
      <c r="U154" s="14">
        <f t="shared" si="38"/>
        <v>2.1421921987012675</v>
      </c>
      <c r="V154" s="14">
        <f t="shared" si="38"/>
        <v>2.112847100088921</v>
      </c>
      <c r="W154" s="14">
        <f t="shared" si="38"/>
        <v>1.81939611396546</v>
      </c>
      <c r="X154" s="14">
        <f t="shared" si="38"/>
        <v>1.6433255222913832</v>
      </c>
      <c r="Y154" s="14">
        <f t="shared" si="38"/>
        <v>1.4672549306173064</v>
      </c>
      <c r="Z154" s="14">
        <f t="shared" si="38"/>
        <v>1.4085647333926141</v>
      </c>
      <c r="AA154" s="14">
        <f t="shared" si="38"/>
        <v>1.3498745361679219</v>
      </c>
      <c r="AB154" s="14">
        <f t="shared" si="38"/>
        <v>1.2911843389432296</v>
      </c>
      <c r="AC154" s="14">
        <f t="shared" si="35"/>
        <v>34.30442027783263</v>
      </c>
    </row>
    <row r="155" spans="1:29" ht="12.75">
      <c r="A155" s="27" t="str">
        <f t="shared" si="28"/>
        <v>PUD No 1 of Skamania County - WA</v>
      </c>
      <c r="B155" s="190" t="s">
        <v>120</v>
      </c>
      <c r="C155" s="190" t="s">
        <v>14</v>
      </c>
      <c r="D155" s="208">
        <v>74683</v>
      </c>
      <c r="E155" s="208">
        <v>10406</v>
      </c>
      <c r="F155" s="208">
        <v>32448</v>
      </c>
      <c r="G155" s="208">
        <v>117537</v>
      </c>
      <c r="H155" s="13">
        <v>0.0007345406650217334</v>
      </c>
      <c r="I155" s="14">
        <f t="shared" si="39"/>
        <v>0.14690813300434669</v>
      </c>
      <c r="J155" s="14">
        <f t="shared" si="39"/>
        <v>0.16159894630478136</v>
      </c>
      <c r="K155" s="14">
        <f t="shared" si="39"/>
        <v>0.17628975960521603</v>
      </c>
      <c r="L155" s="14">
        <f t="shared" si="39"/>
        <v>0.19098057290565068</v>
      </c>
      <c r="M155" s="14">
        <f t="shared" si="39"/>
        <v>0.20567138620608535</v>
      </c>
      <c r="N155" s="14">
        <f t="shared" si="39"/>
        <v>0.2130167928563027</v>
      </c>
      <c r="O155" s="14">
        <f t="shared" si="39"/>
        <v>0.2350530128069547</v>
      </c>
      <c r="P155" s="14">
        <f t="shared" si="39"/>
        <v>0.24974382610738938</v>
      </c>
      <c r="Q155" s="14">
        <f t="shared" si="39"/>
        <v>0.2570892327576067</v>
      </c>
      <c r="R155" s="14">
        <f t="shared" si="29"/>
        <v>0.264434639407824</v>
      </c>
      <c r="S155" s="14">
        <f t="shared" si="38"/>
        <v>0.2681073427329327</v>
      </c>
      <c r="T155" s="14">
        <f t="shared" si="38"/>
        <v>0.2681073427329327</v>
      </c>
      <c r="U155" s="14">
        <f t="shared" si="38"/>
        <v>0.2681073427329327</v>
      </c>
      <c r="V155" s="14">
        <f t="shared" si="38"/>
        <v>0.264434639407824</v>
      </c>
      <c r="W155" s="14">
        <f t="shared" si="38"/>
        <v>0.22770760615673735</v>
      </c>
      <c r="X155" s="14">
        <f t="shared" si="38"/>
        <v>0.20567138620608535</v>
      </c>
      <c r="Y155" s="14">
        <f t="shared" si="38"/>
        <v>0.18363516625543336</v>
      </c>
      <c r="Z155" s="14">
        <f t="shared" si="38"/>
        <v>0.17628975960521603</v>
      </c>
      <c r="AA155" s="14">
        <f t="shared" si="38"/>
        <v>0.16894435295499868</v>
      </c>
      <c r="AB155" s="14">
        <f t="shared" si="38"/>
        <v>0.16159894630478136</v>
      </c>
      <c r="AC155" s="14">
        <f t="shared" si="35"/>
        <v>4.293390187052032</v>
      </c>
    </row>
    <row r="156" spans="1:29" ht="12.75">
      <c r="A156" s="27" t="str">
        <f t="shared" si="28"/>
        <v>PUD No 1 of Snohomish County - WA</v>
      </c>
      <c r="B156" s="190" t="s">
        <v>121</v>
      </c>
      <c r="C156" s="190" t="s">
        <v>14</v>
      </c>
      <c r="D156" s="208">
        <v>3478710</v>
      </c>
      <c r="E156" s="208">
        <v>2399728</v>
      </c>
      <c r="F156" s="208">
        <v>896203</v>
      </c>
      <c r="G156" s="208">
        <v>6774641</v>
      </c>
      <c r="H156" s="13">
        <v>0.042337726038809066</v>
      </c>
      <c r="I156" s="14">
        <f t="shared" si="39"/>
        <v>8.467545207761813</v>
      </c>
      <c r="J156" s="14">
        <f t="shared" si="39"/>
        <v>9.314299728537994</v>
      </c>
      <c r="K156" s="14">
        <f t="shared" si="39"/>
        <v>10.161054249314176</v>
      </c>
      <c r="L156" s="14">
        <f t="shared" si="39"/>
        <v>11.007808770090357</v>
      </c>
      <c r="M156" s="14">
        <f t="shared" si="39"/>
        <v>11.854563290866539</v>
      </c>
      <c r="N156" s="14">
        <f t="shared" si="39"/>
        <v>12.277940551254629</v>
      </c>
      <c r="O156" s="14">
        <f t="shared" si="39"/>
        <v>13.5480723324189</v>
      </c>
      <c r="P156" s="14">
        <f t="shared" si="39"/>
        <v>14.394826853195083</v>
      </c>
      <c r="Q156" s="14">
        <f t="shared" si="39"/>
        <v>14.818204113583173</v>
      </c>
      <c r="R156" s="14">
        <f t="shared" si="29"/>
        <v>15.241581373971265</v>
      </c>
      <c r="S156" s="14">
        <f t="shared" si="38"/>
        <v>15.45327000416531</v>
      </c>
      <c r="T156" s="14">
        <f t="shared" si="38"/>
        <v>15.45327000416531</v>
      </c>
      <c r="U156" s="14">
        <f t="shared" si="38"/>
        <v>15.45327000416531</v>
      </c>
      <c r="V156" s="14">
        <f t="shared" si="38"/>
        <v>15.241581373971265</v>
      </c>
      <c r="W156" s="14">
        <f t="shared" si="38"/>
        <v>13.12469507203081</v>
      </c>
      <c r="X156" s="14">
        <f t="shared" si="38"/>
        <v>11.854563290866539</v>
      </c>
      <c r="Y156" s="14">
        <f t="shared" si="38"/>
        <v>10.584431509702267</v>
      </c>
      <c r="Z156" s="14">
        <f t="shared" si="38"/>
        <v>10.161054249314176</v>
      </c>
      <c r="AA156" s="14">
        <f t="shared" si="38"/>
        <v>9.737676988926085</v>
      </c>
      <c r="AB156" s="14">
        <f t="shared" si="38"/>
        <v>9.314299728537994</v>
      </c>
      <c r="AC156" s="14">
        <f t="shared" si="35"/>
        <v>247.464008696839</v>
      </c>
    </row>
    <row r="157" spans="1:29" ht="12.75">
      <c r="A157" s="27" t="str">
        <f t="shared" si="28"/>
        <v>PUD No 1 of Whatcom County - WA</v>
      </c>
      <c r="B157" s="209" t="s">
        <v>148</v>
      </c>
      <c r="C157" s="190" t="s">
        <v>14</v>
      </c>
      <c r="D157" s="208">
        <v>0</v>
      </c>
      <c r="E157" s="208">
        <v>0</v>
      </c>
      <c r="F157" s="208">
        <v>187634</v>
      </c>
      <c r="G157" s="208">
        <v>187634</v>
      </c>
      <c r="H157" s="13">
        <v>0.0011726078012939578</v>
      </c>
      <c r="I157" s="14">
        <f t="shared" si="39"/>
        <v>0.23452156025879156</v>
      </c>
      <c r="J157" s="14">
        <f t="shared" si="39"/>
        <v>0.2579737162846707</v>
      </c>
      <c r="K157" s="14">
        <f t="shared" si="39"/>
        <v>0.2814258723105499</v>
      </c>
      <c r="L157" s="14">
        <f t="shared" si="39"/>
        <v>0.304878028336429</v>
      </c>
      <c r="M157" s="14">
        <f t="shared" si="39"/>
        <v>0.3283301843623082</v>
      </c>
      <c r="N157" s="14">
        <f t="shared" si="39"/>
        <v>0.3400562623752478</v>
      </c>
      <c r="O157" s="14">
        <f t="shared" si="39"/>
        <v>0.3752344964140665</v>
      </c>
      <c r="P157" s="14">
        <f t="shared" si="39"/>
        <v>0.39868665243994567</v>
      </c>
      <c r="Q157" s="14">
        <f t="shared" si="39"/>
        <v>0.41041273045288523</v>
      </c>
      <c r="R157" s="14">
        <f t="shared" si="29"/>
        <v>0.4221388084658248</v>
      </c>
      <c r="S157" s="14">
        <f t="shared" si="38"/>
        <v>0.4280018474722946</v>
      </c>
      <c r="T157" s="14">
        <f t="shared" si="38"/>
        <v>0.4280018474722946</v>
      </c>
      <c r="U157" s="14">
        <f t="shared" si="38"/>
        <v>0.4280018474722946</v>
      </c>
      <c r="V157" s="14">
        <f t="shared" si="38"/>
        <v>0.4221388084658248</v>
      </c>
      <c r="W157" s="14">
        <f t="shared" si="38"/>
        <v>0.3635084184011269</v>
      </c>
      <c r="X157" s="14">
        <f t="shared" si="38"/>
        <v>0.3283301843623082</v>
      </c>
      <c r="Y157" s="14">
        <f t="shared" si="38"/>
        <v>0.29315195032348945</v>
      </c>
      <c r="Z157" s="14">
        <f t="shared" si="38"/>
        <v>0.2814258723105499</v>
      </c>
      <c r="AA157" s="14">
        <f t="shared" si="38"/>
        <v>0.2696997942976103</v>
      </c>
      <c r="AB157" s="14">
        <f t="shared" si="38"/>
        <v>0.2579737162846707</v>
      </c>
      <c r="AC157" s="14">
        <f t="shared" si="35"/>
        <v>6.853892598563183</v>
      </c>
    </row>
    <row r="158" spans="1:29" ht="12.75">
      <c r="A158" s="27" t="str">
        <f t="shared" si="28"/>
        <v>PUD No 1 Wahkiakum County - WA</v>
      </c>
      <c r="B158" s="190" t="s">
        <v>112</v>
      </c>
      <c r="C158" s="190" t="s">
        <v>14</v>
      </c>
      <c r="D158" s="208">
        <v>29619</v>
      </c>
      <c r="E158" s="208">
        <v>21436</v>
      </c>
      <c r="F158" s="208">
        <v>0</v>
      </c>
      <c r="G158" s="208">
        <v>51055</v>
      </c>
      <c r="H158" s="13">
        <v>0.00031906526160004593</v>
      </c>
      <c r="I158" s="14">
        <f t="shared" si="39"/>
        <v>0.06381305232000918</v>
      </c>
      <c r="J158" s="14">
        <f t="shared" si="39"/>
        <v>0.0701943575520101</v>
      </c>
      <c r="K158" s="14">
        <f t="shared" si="39"/>
        <v>0.07657566278401103</v>
      </c>
      <c r="L158" s="14">
        <f t="shared" si="39"/>
        <v>0.08295696801601195</v>
      </c>
      <c r="M158" s="14">
        <f t="shared" si="39"/>
        <v>0.08933827324801286</v>
      </c>
      <c r="N158" s="14">
        <f t="shared" si="39"/>
        <v>0.09252892586401332</v>
      </c>
      <c r="O158" s="14">
        <f t="shared" si="39"/>
        <v>0.1021008837120147</v>
      </c>
      <c r="P158" s="14">
        <f t="shared" si="39"/>
        <v>0.10848218894401561</v>
      </c>
      <c r="Q158" s="14">
        <f t="shared" si="39"/>
        <v>0.11167284156001607</v>
      </c>
      <c r="R158" s="14">
        <f t="shared" si="29"/>
        <v>0.11486349417601653</v>
      </c>
      <c r="S158" s="14">
        <f t="shared" si="38"/>
        <v>0.11645882048401676</v>
      </c>
      <c r="T158" s="14">
        <f t="shared" si="38"/>
        <v>0.11645882048401676</v>
      </c>
      <c r="U158" s="14">
        <f t="shared" si="38"/>
        <v>0.11645882048401676</v>
      </c>
      <c r="V158" s="14">
        <f t="shared" si="38"/>
        <v>0.11486349417601653</v>
      </c>
      <c r="W158" s="14">
        <f t="shared" si="38"/>
        <v>0.09891023109601424</v>
      </c>
      <c r="X158" s="14">
        <f t="shared" si="38"/>
        <v>0.08933827324801286</v>
      </c>
      <c r="Y158" s="14">
        <f t="shared" si="38"/>
        <v>0.07976631540001149</v>
      </c>
      <c r="Z158" s="14">
        <f t="shared" si="38"/>
        <v>0.07657566278401103</v>
      </c>
      <c r="AA158" s="14">
        <f t="shared" si="38"/>
        <v>0.07338501016801056</v>
      </c>
      <c r="AB158" s="14">
        <f t="shared" si="38"/>
        <v>0.0701943575520101</v>
      </c>
      <c r="AC158" s="14">
        <f t="shared" si="35"/>
        <v>1.8649364540522684</v>
      </c>
    </row>
    <row r="159" spans="1:29" ht="12.75">
      <c r="A159" s="27" t="str">
        <f t="shared" si="28"/>
        <v>PUD No 2 of Grant County - WA</v>
      </c>
      <c r="B159" s="190" t="s">
        <v>106</v>
      </c>
      <c r="C159" s="190" t="s">
        <v>14</v>
      </c>
      <c r="D159" s="208">
        <v>725168</v>
      </c>
      <c r="E159" s="208">
        <v>659154</v>
      </c>
      <c r="F159" s="208">
        <v>1872605</v>
      </c>
      <c r="G159" s="208">
        <v>3256927</v>
      </c>
      <c r="H159" s="13">
        <v>0.02035397640323676</v>
      </c>
      <c r="I159" s="14">
        <f t="shared" si="39"/>
        <v>4.070795280647352</v>
      </c>
      <c r="J159" s="14">
        <f t="shared" si="39"/>
        <v>4.477874808712087</v>
      </c>
      <c r="K159" s="14">
        <f t="shared" si="39"/>
        <v>4.884954336776822</v>
      </c>
      <c r="L159" s="14">
        <f t="shared" si="39"/>
        <v>5.2920338648415575</v>
      </c>
      <c r="M159" s="14">
        <f t="shared" si="39"/>
        <v>5.699113392906293</v>
      </c>
      <c r="N159" s="14">
        <f t="shared" si="39"/>
        <v>5.90265315693866</v>
      </c>
      <c r="O159" s="14">
        <f t="shared" si="39"/>
        <v>6.513272449035763</v>
      </c>
      <c r="P159" s="14">
        <f t="shared" si="39"/>
        <v>6.920351977100498</v>
      </c>
      <c r="Q159" s="14">
        <f t="shared" si="39"/>
        <v>7.123891741132866</v>
      </c>
      <c r="R159" s="14">
        <f t="shared" si="29"/>
        <v>7.327431505165233</v>
      </c>
      <c r="S159" s="14">
        <f t="shared" si="38"/>
        <v>7.4292013871814175</v>
      </c>
      <c r="T159" s="14">
        <f t="shared" si="38"/>
        <v>7.4292013871814175</v>
      </c>
      <c r="U159" s="14">
        <f t="shared" si="38"/>
        <v>7.4292013871814175</v>
      </c>
      <c r="V159" s="14">
        <f t="shared" si="38"/>
        <v>7.327431505165233</v>
      </c>
      <c r="W159" s="14">
        <f t="shared" si="38"/>
        <v>6.309732685003396</v>
      </c>
      <c r="X159" s="14">
        <f t="shared" si="38"/>
        <v>5.699113392906293</v>
      </c>
      <c r="Y159" s="14">
        <f t="shared" si="38"/>
        <v>5.08849410080919</v>
      </c>
      <c r="Z159" s="14">
        <f t="shared" si="38"/>
        <v>4.884954336776822</v>
      </c>
      <c r="AA159" s="14">
        <f t="shared" si="38"/>
        <v>4.681414572744455</v>
      </c>
      <c r="AB159" s="14">
        <f t="shared" si="38"/>
        <v>4.477874808712087</v>
      </c>
      <c r="AC159" s="14">
        <f t="shared" si="35"/>
        <v>118.96899207691885</v>
      </c>
    </row>
    <row r="160" spans="1:29" ht="12.75">
      <c r="A160" s="27" t="str">
        <f aca="true" t="shared" si="40" ref="A160:A183">B160&amp;" - "&amp;C160</f>
        <v>PUD No 2 of Pacific County - WA</v>
      </c>
      <c r="B160" s="190" t="s">
        <v>102</v>
      </c>
      <c r="C160" s="190" t="s">
        <v>14</v>
      </c>
      <c r="D160" s="208">
        <v>180945</v>
      </c>
      <c r="E160" s="208">
        <v>87017</v>
      </c>
      <c r="F160" s="208">
        <v>27401</v>
      </c>
      <c r="G160" s="208">
        <v>295363</v>
      </c>
      <c r="H160" s="13">
        <v>0.0018458539391239715</v>
      </c>
      <c r="I160" s="14">
        <f t="shared" si="39"/>
        <v>0.3691707878247943</v>
      </c>
      <c r="J160" s="14">
        <f t="shared" si="39"/>
        <v>0.4060878666072737</v>
      </c>
      <c r="K160" s="14">
        <f t="shared" si="39"/>
        <v>0.44300494538975316</v>
      </c>
      <c r="L160" s="14">
        <f t="shared" si="39"/>
        <v>0.47992202417223256</v>
      </c>
      <c r="M160" s="14">
        <f t="shared" si="39"/>
        <v>0.516839102954712</v>
      </c>
      <c r="N160" s="14">
        <f t="shared" si="39"/>
        <v>0.5352976423459517</v>
      </c>
      <c r="O160" s="14">
        <f t="shared" si="39"/>
        <v>0.5906732605196708</v>
      </c>
      <c r="P160" s="14">
        <f t="shared" si="39"/>
        <v>0.6275903393021502</v>
      </c>
      <c r="Q160" s="14">
        <f t="shared" si="39"/>
        <v>0.64604887869339</v>
      </c>
      <c r="R160" s="14">
        <f t="shared" si="29"/>
        <v>0.6645074180846298</v>
      </c>
      <c r="S160" s="14">
        <f t="shared" si="38"/>
        <v>0.6737366877802495</v>
      </c>
      <c r="T160" s="14">
        <f t="shared" si="38"/>
        <v>0.6737366877802495</v>
      </c>
      <c r="U160" s="14">
        <f t="shared" si="38"/>
        <v>0.6737366877802495</v>
      </c>
      <c r="V160" s="14">
        <f t="shared" si="38"/>
        <v>0.6645074180846298</v>
      </c>
      <c r="W160" s="14">
        <f t="shared" si="38"/>
        <v>0.5722147211284312</v>
      </c>
      <c r="X160" s="14">
        <f t="shared" si="38"/>
        <v>0.516839102954712</v>
      </c>
      <c r="Y160" s="14">
        <f t="shared" si="38"/>
        <v>0.46146348478099286</v>
      </c>
      <c r="Z160" s="14">
        <f t="shared" si="38"/>
        <v>0.44300494538975316</v>
      </c>
      <c r="AA160" s="14">
        <f t="shared" si="38"/>
        <v>0.42454640599851345</v>
      </c>
      <c r="AB160" s="14">
        <f t="shared" si="38"/>
        <v>0.4060878666072737</v>
      </c>
      <c r="AC160" s="14">
        <f t="shared" si="35"/>
        <v>10.789016274179613</v>
      </c>
    </row>
    <row r="161" spans="1:29" ht="12.75">
      <c r="A161" s="27" t="str">
        <f t="shared" si="40"/>
        <v>PUD No 3 of Mason County - WA</v>
      </c>
      <c r="B161" s="190" t="s">
        <v>113</v>
      </c>
      <c r="C161" s="190" t="s">
        <v>14</v>
      </c>
      <c r="D161" s="208">
        <v>420059</v>
      </c>
      <c r="E161" s="208">
        <v>184562</v>
      </c>
      <c r="F161" s="208">
        <v>64066</v>
      </c>
      <c r="G161" s="208">
        <v>668687</v>
      </c>
      <c r="H161" s="13">
        <v>0.004178920626452843</v>
      </c>
      <c r="I161" s="14">
        <f t="shared" si="39"/>
        <v>0.8357841252905686</v>
      </c>
      <c r="J161" s="14">
        <f t="shared" si="39"/>
        <v>0.9193625378196254</v>
      </c>
      <c r="K161" s="14">
        <f t="shared" si="39"/>
        <v>1.0029409503486824</v>
      </c>
      <c r="L161" s="14">
        <f t="shared" si="39"/>
        <v>1.0865193628777392</v>
      </c>
      <c r="M161" s="14">
        <f t="shared" si="39"/>
        <v>1.170097775406796</v>
      </c>
      <c r="N161" s="14">
        <f t="shared" si="39"/>
        <v>1.2118869816713245</v>
      </c>
      <c r="O161" s="14">
        <f t="shared" si="39"/>
        <v>1.3372546004649097</v>
      </c>
      <c r="P161" s="14">
        <f t="shared" si="39"/>
        <v>1.4208330129939666</v>
      </c>
      <c r="Q161" s="14">
        <f t="shared" si="39"/>
        <v>1.462622219258495</v>
      </c>
      <c r="R161" s="14">
        <f aca="true" t="shared" si="41" ref="R161:R183">$H161*R$33</f>
        <v>1.5044114255230234</v>
      </c>
      <c r="S161" s="14">
        <f t="shared" si="38"/>
        <v>1.5253060286552875</v>
      </c>
      <c r="T161" s="14">
        <f t="shared" si="38"/>
        <v>1.5253060286552875</v>
      </c>
      <c r="U161" s="14">
        <f t="shared" si="38"/>
        <v>1.5253060286552875</v>
      </c>
      <c r="V161" s="14">
        <f t="shared" si="38"/>
        <v>1.5044114255230234</v>
      </c>
      <c r="W161" s="14">
        <f t="shared" si="38"/>
        <v>1.2954653942003813</v>
      </c>
      <c r="X161" s="14">
        <f t="shared" si="38"/>
        <v>1.170097775406796</v>
      </c>
      <c r="Y161" s="14">
        <f t="shared" si="38"/>
        <v>1.0447301566132108</v>
      </c>
      <c r="Z161" s="14">
        <f t="shared" si="38"/>
        <v>1.0029409503486824</v>
      </c>
      <c r="AA161" s="14">
        <f t="shared" si="38"/>
        <v>0.9611517440841538</v>
      </c>
      <c r="AB161" s="14">
        <f t="shared" si="38"/>
        <v>0.9193625378196254</v>
      </c>
      <c r="AC161" s="14">
        <f t="shared" si="35"/>
        <v>24.425791061616867</v>
      </c>
    </row>
    <row r="162" spans="1:29" ht="12.75">
      <c r="A162" s="27" t="str">
        <f t="shared" si="40"/>
        <v>Puget Sound Energy Inc - WA</v>
      </c>
      <c r="B162" s="190" t="s">
        <v>13</v>
      </c>
      <c r="C162" s="190" t="s">
        <v>14</v>
      </c>
      <c r="D162" s="208">
        <v>10909007</v>
      </c>
      <c r="E162" s="208">
        <v>9348288</v>
      </c>
      <c r="F162" s="208">
        <v>1369242</v>
      </c>
      <c r="G162" s="208">
        <v>21626537</v>
      </c>
      <c r="H162" s="13">
        <v>0.13515378876521542</v>
      </c>
      <c r="I162" s="14">
        <f t="shared" si="39"/>
        <v>27.030757753043083</v>
      </c>
      <c r="J162" s="14">
        <f t="shared" si="39"/>
        <v>29.733833528347393</v>
      </c>
      <c r="K162" s="14">
        <f t="shared" si="39"/>
        <v>32.4369093036517</v>
      </c>
      <c r="L162" s="14">
        <f t="shared" si="39"/>
        <v>35.13998507895601</v>
      </c>
      <c r="M162" s="14">
        <f t="shared" si="39"/>
        <v>37.843060854260315</v>
      </c>
      <c r="N162" s="14">
        <f t="shared" si="39"/>
        <v>39.19459874191247</v>
      </c>
      <c r="O162" s="14">
        <f t="shared" si="39"/>
        <v>43.249212404868935</v>
      </c>
      <c r="P162" s="14">
        <f t="shared" si="39"/>
        <v>45.95228818017324</v>
      </c>
      <c r="Q162" s="14">
        <f t="shared" si="39"/>
        <v>47.3038260678254</v>
      </c>
      <c r="R162" s="14">
        <f t="shared" si="41"/>
        <v>48.65536395547755</v>
      </c>
      <c r="S162" s="14">
        <f t="shared" si="38"/>
        <v>49.331132899303626</v>
      </c>
      <c r="T162" s="14">
        <f t="shared" si="38"/>
        <v>49.331132899303626</v>
      </c>
      <c r="U162" s="14">
        <f t="shared" si="38"/>
        <v>49.331132899303626</v>
      </c>
      <c r="V162" s="14">
        <f t="shared" si="38"/>
        <v>48.65536395547755</v>
      </c>
      <c r="W162" s="14">
        <f t="shared" si="38"/>
        <v>41.89767451721678</v>
      </c>
      <c r="X162" s="14">
        <f t="shared" si="38"/>
        <v>37.843060854260315</v>
      </c>
      <c r="Y162" s="14">
        <f t="shared" si="38"/>
        <v>33.78844719130385</v>
      </c>
      <c r="Z162" s="14">
        <f t="shared" si="38"/>
        <v>32.4369093036517</v>
      </c>
      <c r="AA162" s="14">
        <f t="shared" si="38"/>
        <v>31.085371415999546</v>
      </c>
      <c r="AB162" s="14">
        <f t="shared" si="38"/>
        <v>29.733833528347393</v>
      </c>
      <c r="AC162" s="14">
        <f t="shared" si="35"/>
        <v>789.9738953326842</v>
      </c>
    </row>
    <row r="163" spans="1:29" ht="12.75">
      <c r="A163" s="27" t="str">
        <f t="shared" si="40"/>
        <v>Raft River Rural Elec Coop Inc - ID</v>
      </c>
      <c r="B163" s="190" t="s">
        <v>142</v>
      </c>
      <c r="C163" s="190" t="s">
        <v>19</v>
      </c>
      <c r="D163" s="208">
        <v>21018</v>
      </c>
      <c r="E163" s="208">
        <v>18186</v>
      </c>
      <c r="F163" s="208">
        <v>127725</v>
      </c>
      <c r="G163" s="208">
        <v>166929</v>
      </c>
      <c r="H163" s="13">
        <v>0.0010432131045663318</v>
      </c>
      <c r="I163" s="14">
        <f aca="true" t="shared" si="42" ref="I163:Q172">$H163*I$33</f>
        <v>0.20864262091326635</v>
      </c>
      <c r="J163" s="14">
        <f t="shared" si="42"/>
        <v>0.229506883004593</v>
      </c>
      <c r="K163" s="14">
        <f t="shared" si="42"/>
        <v>0.2503711450959196</v>
      </c>
      <c r="L163" s="14">
        <f t="shared" si="42"/>
        <v>0.27123540718724626</v>
      </c>
      <c r="M163" s="14">
        <f t="shared" si="42"/>
        <v>0.2920996692785729</v>
      </c>
      <c r="N163" s="14">
        <f t="shared" si="42"/>
        <v>0.3025318003242362</v>
      </c>
      <c r="O163" s="14">
        <f t="shared" si="42"/>
        <v>0.33382819346122616</v>
      </c>
      <c r="P163" s="14">
        <f t="shared" si="42"/>
        <v>0.3546924555525528</v>
      </c>
      <c r="Q163" s="14">
        <f t="shared" si="42"/>
        <v>0.3651245865982161</v>
      </c>
      <c r="R163" s="14">
        <f t="shared" si="41"/>
        <v>0.37555671764387943</v>
      </c>
      <c r="S163" s="14">
        <f t="shared" si="38"/>
        <v>0.3807727831667111</v>
      </c>
      <c r="T163" s="14">
        <f t="shared" si="38"/>
        <v>0.3807727831667111</v>
      </c>
      <c r="U163" s="14">
        <f t="shared" si="38"/>
        <v>0.3807727831667111</v>
      </c>
      <c r="V163" s="14">
        <f t="shared" si="38"/>
        <v>0.37555671764387943</v>
      </c>
      <c r="W163" s="14">
        <f t="shared" si="38"/>
        <v>0.32339606241556285</v>
      </c>
      <c r="X163" s="14">
        <f t="shared" si="38"/>
        <v>0.2920996692785729</v>
      </c>
      <c r="Y163" s="14">
        <f t="shared" si="38"/>
        <v>0.26080327614158294</v>
      </c>
      <c r="Z163" s="14">
        <f t="shared" si="38"/>
        <v>0.2503711450959196</v>
      </c>
      <c r="AA163" s="14">
        <f t="shared" si="38"/>
        <v>0.2399390140502563</v>
      </c>
      <c r="AB163" s="14">
        <f t="shared" si="38"/>
        <v>0.229506883004593</v>
      </c>
      <c r="AC163" s="14">
        <f aca="true" t="shared" si="43" ref="AC163:AC191">$H163*AC$33</f>
        <v>6.097580596190209</v>
      </c>
    </row>
    <row r="164" spans="1:29" ht="12.75">
      <c r="A164" s="27" t="str">
        <f t="shared" si="40"/>
        <v>Raft River Rural Elec Coop Inc - NV</v>
      </c>
      <c r="B164" s="190" t="s">
        <v>142</v>
      </c>
      <c r="C164" s="190" t="s">
        <v>83</v>
      </c>
      <c r="D164" s="208">
        <v>16511</v>
      </c>
      <c r="E164" s="208">
        <v>38740</v>
      </c>
      <c r="F164" s="208">
        <v>3327</v>
      </c>
      <c r="G164" s="208">
        <v>58578</v>
      </c>
      <c r="H164" s="13">
        <v>0.00036607981380878447</v>
      </c>
      <c r="I164" s="14">
        <f t="shared" si="42"/>
        <v>0.07321596276175689</v>
      </c>
      <c r="J164" s="14">
        <f t="shared" si="42"/>
        <v>0.08053755903793258</v>
      </c>
      <c r="K164" s="14">
        <f t="shared" si="42"/>
        <v>0.08785915531410828</v>
      </c>
      <c r="L164" s="14">
        <f t="shared" si="42"/>
        <v>0.09518075159028397</v>
      </c>
      <c r="M164" s="14">
        <f t="shared" si="42"/>
        <v>0.10250234786645965</v>
      </c>
      <c r="N164" s="14">
        <f t="shared" si="42"/>
        <v>0.1061631460045475</v>
      </c>
      <c r="O164" s="14">
        <f t="shared" si="42"/>
        <v>0.11714554041881103</v>
      </c>
      <c r="P164" s="14">
        <f t="shared" si="42"/>
        <v>0.12446713669498671</v>
      </c>
      <c r="Q164" s="14">
        <f t="shared" si="42"/>
        <v>0.12812793483307455</v>
      </c>
      <c r="R164" s="14">
        <f t="shared" si="41"/>
        <v>0.13178873297116242</v>
      </c>
      <c r="S164" s="14">
        <f t="shared" si="38"/>
        <v>0.13361913204020634</v>
      </c>
      <c r="T164" s="14">
        <f t="shared" si="38"/>
        <v>0.13361913204020634</v>
      </c>
      <c r="U164" s="14">
        <f t="shared" si="38"/>
        <v>0.13361913204020634</v>
      </c>
      <c r="V164" s="14">
        <f t="shared" si="38"/>
        <v>0.13178873297116242</v>
      </c>
      <c r="W164" s="14">
        <f t="shared" si="38"/>
        <v>0.11348474228072318</v>
      </c>
      <c r="X164" s="14">
        <f t="shared" si="38"/>
        <v>0.10250234786645965</v>
      </c>
      <c r="Y164" s="14">
        <f t="shared" si="38"/>
        <v>0.09151995345219611</v>
      </c>
      <c r="Z164" s="14">
        <f t="shared" si="38"/>
        <v>0.08785915531410828</v>
      </c>
      <c r="AA164" s="14">
        <f t="shared" si="38"/>
        <v>0.08419835717602042</v>
      </c>
      <c r="AB164" s="14">
        <f t="shared" si="38"/>
        <v>0.08053755903793258</v>
      </c>
      <c r="AC164" s="14">
        <f t="shared" si="43"/>
        <v>2.139736511712345</v>
      </c>
    </row>
    <row r="165" spans="1:29" ht="12.75">
      <c r="A165" s="27" t="str">
        <f t="shared" si="40"/>
        <v>Ravalli County Elec Coop, Inc - MT</v>
      </c>
      <c r="B165" s="190" t="s">
        <v>144</v>
      </c>
      <c r="C165" s="190" t="s">
        <v>57</v>
      </c>
      <c r="D165" s="208">
        <v>126454</v>
      </c>
      <c r="E165" s="208">
        <v>9699</v>
      </c>
      <c r="F165" s="208">
        <v>3284</v>
      </c>
      <c r="G165" s="208">
        <v>139437</v>
      </c>
      <c r="H165" s="13">
        <v>0.0008714034449461484</v>
      </c>
      <c r="I165" s="14">
        <f t="shared" si="42"/>
        <v>0.1742806889892297</v>
      </c>
      <c r="J165" s="14">
        <f t="shared" si="42"/>
        <v>0.19170875788815264</v>
      </c>
      <c r="K165" s="14">
        <f t="shared" si="42"/>
        <v>0.2091368267870756</v>
      </c>
      <c r="L165" s="14">
        <f t="shared" si="42"/>
        <v>0.22656489568599858</v>
      </c>
      <c r="M165" s="14">
        <f t="shared" si="42"/>
        <v>0.24399296458492153</v>
      </c>
      <c r="N165" s="14">
        <f t="shared" si="42"/>
        <v>0.25270699903438304</v>
      </c>
      <c r="O165" s="14">
        <f t="shared" si="42"/>
        <v>0.2788491023827675</v>
      </c>
      <c r="P165" s="14">
        <f t="shared" si="42"/>
        <v>0.29627717128169045</v>
      </c>
      <c r="Q165" s="14">
        <f t="shared" si="42"/>
        <v>0.3049912057311519</v>
      </c>
      <c r="R165" s="14">
        <f t="shared" si="41"/>
        <v>0.3137052401806134</v>
      </c>
      <c r="S165" s="14">
        <f t="shared" si="38"/>
        <v>0.31806225740534416</v>
      </c>
      <c r="T165" s="14">
        <f t="shared" si="38"/>
        <v>0.31806225740534416</v>
      </c>
      <c r="U165" s="14">
        <f t="shared" si="38"/>
        <v>0.31806225740534416</v>
      </c>
      <c r="V165" s="14">
        <f t="shared" si="38"/>
        <v>0.3137052401806134</v>
      </c>
      <c r="W165" s="14">
        <f t="shared" si="38"/>
        <v>0.270135067933306</v>
      </c>
      <c r="X165" s="14">
        <f t="shared" si="38"/>
        <v>0.24399296458492153</v>
      </c>
      <c r="Y165" s="14">
        <f t="shared" si="38"/>
        <v>0.2178508612365371</v>
      </c>
      <c r="Z165" s="14">
        <f t="shared" si="38"/>
        <v>0.2091368267870756</v>
      </c>
      <c r="AA165" s="14">
        <f t="shared" si="38"/>
        <v>0.20042279233761412</v>
      </c>
      <c r="AB165" s="14">
        <f t="shared" si="38"/>
        <v>0.19170875788815264</v>
      </c>
      <c r="AC165" s="14">
        <f t="shared" si="43"/>
        <v>5.093353135710237</v>
      </c>
    </row>
    <row r="166" spans="1:29" ht="12.75">
      <c r="A166" s="27" t="str">
        <f t="shared" si="40"/>
        <v>Salmon River Electric Coop Inc - ID</v>
      </c>
      <c r="B166" s="190" t="s">
        <v>118</v>
      </c>
      <c r="C166" s="190" t="s">
        <v>19</v>
      </c>
      <c r="D166" s="208">
        <v>28547</v>
      </c>
      <c r="E166" s="208">
        <v>18241</v>
      </c>
      <c r="F166" s="208">
        <v>214623</v>
      </c>
      <c r="G166" s="208">
        <v>261411</v>
      </c>
      <c r="H166" s="13">
        <v>0.0016336728841470885</v>
      </c>
      <c r="I166" s="14">
        <f t="shared" si="42"/>
        <v>0.3267345768294177</v>
      </c>
      <c r="J166" s="14">
        <f t="shared" si="42"/>
        <v>0.3594080345123595</v>
      </c>
      <c r="K166" s="14">
        <f t="shared" si="42"/>
        <v>0.39208149219530125</v>
      </c>
      <c r="L166" s="14">
        <f t="shared" si="42"/>
        <v>0.424754949878243</v>
      </c>
      <c r="M166" s="14">
        <f t="shared" si="42"/>
        <v>0.4574284075611848</v>
      </c>
      <c r="N166" s="14">
        <f t="shared" si="42"/>
        <v>0.47376513640265566</v>
      </c>
      <c r="O166" s="14">
        <f t="shared" si="42"/>
        <v>0.5227753229270683</v>
      </c>
      <c r="P166" s="14">
        <f t="shared" si="42"/>
        <v>0.5554487806100101</v>
      </c>
      <c r="Q166" s="14">
        <f t="shared" si="42"/>
        <v>0.571785509451481</v>
      </c>
      <c r="R166" s="14">
        <f t="shared" si="41"/>
        <v>0.5881222382929518</v>
      </c>
      <c r="S166" s="14">
        <f t="shared" si="38"/>
        <v>0.5962906027136873</v>
      </c>
      <c r="T166" s="14">
        <f t="shared" si="38"/>
        <v>0.5962906027136873</v>
      </c>
      <c r="U166" s="14">
        <f t="shared" si="38"/>
        <v>0.5962906027136873</v>
      </c>
      <c r="V166" s="14">
        <f t="shared" si="38"/>
        <v>0.5881222382929518</v>
      </c>
      <c r="W166" s="14">
        <f t="shared" si="38"/>
        <v>0.5064385940855974</v>
      </c>
      <c r="X166" s="14">
        <f t="shared" si="38"/>
        <v>0.4574284075611848</v>
      </c>
      <c r="Y166" s="14">
        <f t="shared" si="38"/>
        <v>0.4084182210367721</v>
      </c>
      <c r="Z166" s="14">
        <f t="shared" si="38"/>
        <v>0.39208149219530125</v>
      </c>
      <c r="AA166" s="14">
        <f t="shared" si="38"/>
        <v>0.37574476335383034</v>
      </c>
      <c r="AB166" s="14">
        <f t="shared" si="38"/>
        <v>0.3594080345123595</v>
      </c>
      <c r="AC166" s="14">
        <f t="shared" si="43"/>
        <v>9.548818007839733</v>
      </c>
    </row>
    <row r="167" spans="1:29" ht="12.75">
      <c r="A167" s="27" t="str">
        <f t="shared" si="40"/>
        <v>South Side Electric, Inc - ID</v>
      </c>
      <c r="B167" s="212" t="s">
        <v>123</v>
      </c>
      <c r="C167" s="190" t="s">
        <v>19</v>
      </c>
      <c r="D167" s="208">
        <v>25953</v>
      </c>
      <c r="E167" s="208">
        <v>0</v>
      </c>
      <c r="F167" s="208">
        <v>25101</v>
      </c>
      <c r="G167" s="208">
        <v>51054</v>
      </c>
      <c r="H167" s="13">
        <v>0.00031905901215804026</v>
      </c>
      <c r="I167" s="14">
        <f t="shared" si="42"/>
        <v>0.06381180243160806</v>
      </c>
      <c r="J167" s="14">
        <f t="shared" si="42"/>
        <v>0.07019298267476885</v>
      </c>
      <c r="K167" s="14">
        <f t="shared" si="42"/>
        <v>0.07657416291792966</v>
      </c>
      <c r="L167" s="14">
        <f t="shared" si="42"/>
        <v>0.08295534316109048</v>
      </c>
      <c r="M167" s="14">
        <f t="shared" si="42"/>
        <v>0.08933652340425127</v>
      </c>
      <c r="N167" s="14">
        <f t="shared" si="42"/>
        <v>0.09252711352583168</v>
      </c>
      <c r="O167" s="14">
        <f t="shared" si="42"/>
        <v>0.10209888389057288</v>
      </c>
      <c r="P167" s="14">
        <f t="shared" si="42"/>
        <v>0.10848006413373369</v>
      </c>
      <c r="Q167" s="14">
        <f t="shared" si="42"/>
        <v>0.1116706542553141</v>
      </c>
      <c r="R167" s="14">
        <f t="shared" si="41"/>
        <v>0.11486124437689449</v>
      </c>
      <c r="S167" s="14">
        <f t="shared" si="38"/>
        <v>0.11645653943768469</v>
      </c>
      <c r="T167" s="14">
        <f t="shared" si="38"/>
        <v>0.11645653943768469</v>
      </c>
      <c r="U167" s="14">
        <f t="shared" si="38"/>
        <v>0.11645653943768469</v>
      </c>
      <c r="V167" s="14">
        <f t="shared" si="38"/>
        <v>0.11486124437689449</v>
      </c>
      <c r="W167" s="14">
        <f t="shared" si="38"/>
        <v>0.09890829376899248</v>
      </c>
      <c r="X167" s="14">
        <f t="shared" si="38"/>
        <v>0.08933652340425127</v>
      </c>
      <c r="Y167" s="14">
        <f t="shared" si="38"/>
        <v>0.07976475303951007</v>
      </c>
      <c r="Z167" s="14">
        <f t="shared" si="38"/>
        <v>0.07657416291792966</v>
      </c>
      <c r="AA167" s="14">
        <f t="shared" si="38"/>
        <v>0.07338357279634926</v>
      </c>
      <c r="AB167" s="14">
        <f t="shared" si="38"/>
        <v>0.07019298267476885</v>
      </c>
      <c r="AC167" s="14">
        <f t="shared" si="43"/>
        <v>1.8648999260637453</v>
      </c>
    </row>
    <row r="168" spans="1:29" ht="12.75">
      <c r="A168" s="27" t="str">
        <f t="shared" si="40"/>
        <v>Surprise Valley Electrification Corp. - CA</v>
      </c>
      <c r="B168" s="190" t="s">
        <v>126</v>
      </c>
      <c r="C168" s="190" t="s">
        <v>104</v>
      </c>
      <c r="D168" s="208">
        <v>33347</v>
      </c>
      <c r="E168" s="208">
        <v>8507</v>
      </c>
      <c r="F168" s="208">
        <v>55882</v>
      </c>
      <c r="G168" s="208">
        <v>97736</v>
      </c>
      <c r="H168" s="13">
        <v>0.0006107954638672429</v>
      </c>
      <c r="I168" s="14">
        <f t="shared" si="42"/>
        <v>0.12215909277344858</v>
      </c>
      <c r="J168" s="14">
        <f t="shared" si="42"/>
        <v>0.13437500205079345</v>
      </c>
      <c r="K168" s="14">
        <f t="shared" si="42"/>
        <v>0.1465909113281383</v>
      </c>
      <c r="L168" s="14">
        <f t="shared" si="42"/>
        <v>0.15880682060548315</v>
      </c>
      <c r="M168" s="14">
        <f t="shared" si="42"/>
        <v>0.17102272988282802</v>
      </c>
      <c r="N168" s="14">
        <f t="shared" si="42"/>
        <v>0.17713068452150044</v>
      </c>
      <c r="O168" s="14">
        <f t="shared" si="42"/>
        <v>0.19545454843751775</v>
      </c>
      <c r="P168" s="14">
        <f t="shared" si="42"/>
        <v>0.2076704577148626</v>
      </c>
      <c r="Q168" s="14">
        <f t="shared" si="42"/>
        <v>0.21377841235353504</v>
      </c>
      <c r="R168" s="14">
        <f t="shared" si="41"/>
        <v>0.21988636699220745</v>
      </c>
      <c r="S168" s="14">
        <f t="shared" si="38"/>
        <v>0.22294034431154366</v>
      </c>
      <c r="T168" s="14">
        <f t="shared" si="38"/>
        <v>0.22294034431154366</v>
      </c>
      <c r="U168" s="14">
        <f t="shared" si="38"/>
        <v>0.22294034431154366</v>
      </c>
      <c r="V168" s="14">
        <f t="shared" si="38"/>
        <v>0.21988636699220745</v>
      </c>
      <c r="W168" s="14">
        <f t="shared" si="38"/>
        <v>0.1893465937988453</v>
      </c>
      <c r="X168" s="14">
        <f t="shared" si="38"/>
        <v>0.17102272988282802</v>
      </c>
      <c r="Y168" s="14">
        <f t="shared" si="38"/>
        <v>0.15269886596681073</v>
      </c>
      <c r="Z168" s="14">
        <f t="shared" si="38"/>
        <v>0.1465909113281383</v>
      </c>
      <c r="AA168" s="14">
        <f t="shared" si="38"/>
        <v>0.14048295668946587</v>
      </c>
      <c r="AB168" s="14">
        <f t="shared" si="38"/>
        <v>0.13437500205079345</v>
      </c>
      <c r="AC168" s="14">
        <f t="shared" si="43"/>
        <v>3.5700994863040347</v>
      </c>
    </row>
    <row r="169" spans="1:29" ht="12.75">
      <c r="A169" s="27" t="str">
        <f t="shared" si="40"/>
        <v>Surprise Valley Electrification Corp. - OR</v>
      </c>
      <c r="B169" s="190" t="s">
        <v>126</v>
      </c>
      <c r="C169" s="190" t="s">
        <v>22</v>
      </c>
      <c r="D169" s="208">
        <v>15864</v>
      </c>
      <c r="E169" s="208">
        <v>3268</v>
      </c>
      <c r="F169" s="208">
        <v>16454</v>
      </c>
      <c r="G169" s="208">
        <v>35586</v>
      </c>
      <c r="H169" s="13">
        <v>0.0002223926432141658</v>
      </c>
      <c r="I169" s="14">
        <f t="shared" si="42"/>
        <v>0.04447852864283316</v>
      </c>
      <c r="J169" s="14">
        <f t="shared" si="42"/>
        <v>0.04892638150711647</v>
      </c>
      <c r="K169" s="14">
        <f t="shared" si="42"/>
        <v>0.05337423437139979</v>
      </c>
      <c r="L169" s="14">
        <f t="shared" si="42"/>
        <v>0.057822087235683106</v>
      </c>
      <c r="M169" s="14">
        <f t="shared" si="42"/>
        <v>0.06226994009996642</v>
      </c>
      <c r="N169" s="14">
        <f t="shared" si="42"/>
        <v>0.06449386653210808</v>
      </c>
      <c r="O169" s="14">
        <f t="shared" si="42"/>
        <v>0.07116564582853305</v>
      </c>
      <c r="P169" s="14">
        <f t="shared" si="42"/>
        <v>0.07561349869281637</v>
      </c>
      <c r="Q169" s="14">
        <f t="shared" si="42"/>
        <v>0.07783742512495803</v>
      </c>
      <c r="R169" s="14">
        <f t="shared" si="41"/>
        <v>0.08006135155709969</v>
      </c>
      <c r="S169" s="14">
        <f t="shared" si="38"/>
        <v>0.08117331477317051</v>
      </c>
      <c r="T169" s="14">
        <f aca="true" t="shared" si="44" ref="S169:AB191">$H169*T$33</f>
        <v>0.08117331477317051</v>
      </c>
      <c r="U169" s="14">
        <f t="shared" si="44"/>
        <v>0.08117331477317051</v>
      </c>
      <c r="V169" s="14">
        <f t="shared" si="44"/>
        <v>0.08006135155709969</v>
      </c>
      <c r="W169" s="14">
        <f t="shared" si="44"/>
        <v>0.06894171939639139</v>
      </c>
      <c r="X169" s="14">
        <f t="shared" si="44"/>
        <v>0.06226994009996642</v>
      </c>
      <c r="Y169" s="14">
        <f t="shared" si="44"/>
        <v>0.05559816080354145</v>
      </c>
      <c r="Z169" s="14">
        <f t="shared" si="44"/>
        <v>0.05337423437139979</v>
      </c>
      <c r="AA169" s="14">
        <f t="shared" si="44"/>
        <v>0.05115030793925813</v>
      </c>
      <c r="AB169" s="14">
        <f t="shared" si="44"/>
        <v>0.04892638150711647</v>
      </c>
      <c r="AC169" s="14">
        <f t="shared" si="43"/>
        <v>1.299884999586799</v>
      </c>
    </row>
    <row r="170" spans="1:29" ht="12.75">
      <c r="A170" s="27" t="str">
        <f t="shared" si="40"/>
        <v>Surprise Valley Electrification Corp. - NV</v>
      </c>
      <c r="B170" s="190" t="s">
        <v>126</v>
      </c>
      <c r="C170" s="190" t="s">
        <v>83</v>
      </c>
      <c r="D170" s="208">
        <v>0</v>
      </c>
      <c r="E170" s="208">
        <v>74</v>
      </c>
      <c r="F170" s="208">
        <v>0</v>
      </c>
      <c r="G170" s="208">
        <v>74</v>
      </c>
      <c r="H170" s="13">
        <v>4.624587084203976E-07</v>
      </c>
      <c r="I170" s="14">
        <f t="shared" si="42"/>
        <v>9.249174168407952E-05</v>
      </c>
      <c r="J170" s="14">
        <f t="shared" si="42"/>
        <v>0.00010174091585248747</v>
      </c>
      <c r="K170" s="14">
        <f t="shared" si="42"/>
        <v>0.00011099009002089542</v>
      </c>
      <c r="L170" s="14">
        <f t="shared" si="42"/>
        <v>0.00012023926418930337</v>
      </c>
      <c r="M170" s="14">
        <f t="shared" si="42"/>
        <v>0.00012948843835771133</v>
      </c>
      <c r="N170" s="14">
        <f t="shared" si="42"/>
        <v>0.0001341130254419153</v>
      </c>
      <c r="O170" s="14">
        <f t="shared" si="42"/>
        <v>0.00014798678669452722</v>
      </c>
      <c r="P170" s="14">
        <f t="shared" si="42"/>
        <v>0.00015723596086293518</v>
      </c>
      <c r="Q170" s="14">
        <f t="shared" si="42"/>
        <v>0.00016186054794713916</v>
      </c>
      <c r="R170" s="14">
        <f t="shared" si="41"/>
        <v>0.00016648513503134314</v>
      </c>
      <c r="S170" s="14">
        <f t="shared" si="44"/>
        <v>0.00016879742857344511</v>
      </c>
      <c r="T170" s="14">
        <f t="shared" si="44"/>
        <v>0.00016879742857344511</v>
      </c>
      <c r="U170" s="14">
        <f t="shared" si="44"/>
        <v>0.00016879742857344511</v>
      </c>
      <c r="V170" s="14">
        <f t="shared" si="44"/>
        <v>0.00016648513503134314</v>
      </c>
      <c r="W170" s="14">
        <f t="shared" si="44"/>
        <v>0.00014336219961032327</v>
      </c>
      <c r="X170" s="14">
        <f t="shared" si="44"/>
        <v>0.00012948843835771133</v>
      </c>
      <c r="Y170" s="14">
        <f t="shared" si="44"/>
        <v>0.0001156146771050994</v>
      </c>
      <c r="Z170" s="14">
        <f t="shared" si="44"/>
        <v>0.00011099009002089542</v>
      </c>
      <c r="AA170" s="14">
        <f t="shared" si="44"/>
        <v>0.00010636550293669144</v>
      </c>
      <c r="AB170" s="14">
        <f t="shared" si="44"/>
        <v>0.00010174091585248747</v>
      </c>
      <c r="AC170" s="14">
        <f t="shared" si="43"/>
        <v>0.002703071150717224</v>
      </c>
    </row>
    <row r="171" spans="1:29" ht="12.75">
      <c r="A171" s="27" t="str">
        <f t="shared" si="40"/>
        <v>Tanner Electric Coop - WA</v>
      </c>
      <c r="B171" s="190" t="s">
        <v>129</v>
      </c>
      <c r="C171" s="190" t="s">
        <v>14</v>
      </c>
      <c r="D171" s="208">
        <v>54889</v>
      </c>
      <c r="E171" s="208">
        <v>12149</v>
      </c>
      <c r="F171" s="208">
        <v>0</v>
      </c>
      <c r="G171" s="208">
        <v>67038</v>
      </c>
      <c r="H171" s="13">
        <v>0.00041895009317684614</v>
      </c>
      <c r="I171" s="14">
        <f t="shared" si="42"/>
        <v>0.08379001863536922</v>
      </c>
      <c r="J171" s="14">
        <f t="shared" si="42"/>
        <v>0.09216902049890616</v>
      </c>
      <c r="K171" s="14">
        <f t="shared" si="42"/>
        <v>0.10054802236244308</v>
      </c>
      <c r="L171" s="14">
        <f t="shared" si="42"/>
        <v>0.10892702422598</v>
      </c>
      <c r="M171" s="14">
        <f t="shared" si="42"/>
        <v>0.11730602608951692</v>
      </c>
      <c r="N171" s="14">
        <f t="shared" si="42"/>
        <v>0.12149552702128538</v>
      </c>
      <c r="O171" s="14">
        <f t="shared" si="42"/>
        <v>0.13406402981659077</v>
      </c>
      <c r="P171" s="14">
        <f t="shared" si="42"/>
        <v>0.14244303168012767</v>
      </c>
      <c r="Q171" s="14">
        <f t="shared" si="42"/>
        <v>0.14663253261189615</v>
      </c>
      <c r="R171" s="14">
        <f t="shared" si="41"/>
        <v>0.1508220335436646</v>
      </c>
      <c r="S171" s="14">
        <f t="shared" si="44"/>
        <v>0.15291678400954883</v>
      </c>
      <c r="T171" s="14">
        <f t="shared" si="44"/>
        <v>0.15291678400954883</v>
      </c>
      <c r="U171" s="14">
        <f t="shared" si="44"/>
        <v>0.15291678400954883</v>
      </c>
      <c r="V171" s="14">
        <f t="shared" si="44"/>
        <v>0.1508220335436646</v>
      </c>
      <c r="W171" s="14">
        <f t="shared" si="44"/>
        <v>0.12987452888482232</v>
      </c>
      <c r="X171" s="14">
        <f t="shared" si="44"/>
        <v>0.11730602608951692</v>
      </c>
      <c r="Y171" s="14">
        <f t="shared" si="44"/>
        <v>0.10473752329421153</v>
      </c>
      <c r="Z171" s="14">
        <f t="shared" si="44"/>
        <v>0.10054802236244308</v>
      </c>
      <c r="AA171" s="14">
        <f t="shared" si="44"/>
        <v>0.09635852143067461</v>
      </c>
      <c r="AB171" s="14">
        <f t="shared" si="44"/>
        <v>0.09216902049890616</v>
      </c>
      <c r="AC171" s="14">
        <f t="shared" si="43"/>
        <v>2.4487632946186655</v>
      </c>
    </row>
    <row r="172" spans="1:29" ht="12.75">
      <c r="A172" s="27" t="str">
        <f t="shared" si="40"/>
        <v>Tillamook Peoples Utility Dist - OR</v>
      </c>
      <c r="B172" s="190" t="s">
        <v>130</v>
      </c>
      <c r="C172" s="190" t="s">
        <v>22</v>
      </c>
      <c r="D172" s="208">
        <v>225987</v>
      </c>
      <c r="E172" s="208">
        <v>126266</v>
      </c>
      <c r="F172" s="208">
        <v>76063</v>
      </c>
      <c r="G172" s="208">
        <v>428316</v>
      </c>
      <c r="H172" s="13">
        <v>0.0026767360021052837</v>
      </c>
      <c r="I172" s="14">
        <f t="shared" si="42"/>
        <v>0.5353472004210568</v>
      </c>
      <c r="J172" s="14">
        <f t="shared" si="42"/>
        <v>0.5888819204631625</v>
      </c>
      <c r="K172" s="14">
        <f t="shared" si="42"/>
        <v>0.642416640505268</v>
      </c>
      <c r="L172" s="14">
        <f t="shared" si="42"/>
        <v>0.6959513605473737</v>
      </c>
      <c r="M172" s="14">
        <f t="shared" si="42"/>
        <v>0.7494860805894794</v>
      </c>
      <c r="N172" s="14">
        <f t="shared" si="42"/>
        <v>0.7762534406105323</v>
      </c>
      <c r="O172" s="14">
        <f t="shared" si="42"/>
        <v>0.8565555206736908</v>
      </c>
      <c r="P172" s="14">
        <f t="shared" si="42"/>
        <v>0.9100902407157965</v>
      </c>
      <c r="Q172" s="14">
        <f t="shared" si="42"/>
        <v>0.9368576007368493</v>
      </c>
      <c r="R172" s="14">
        <f t="shared" si="41"/>
        <v>0.9636249607579022</v>
      </c>
      <c r="S172" s="14">
        <f t="shared" si="44"/>
        <v>0.9770086407684285</v>
      </c>
      <c r="T172" s="14">
        <f t="shared" si="44"/>
        <v>0.9770086407684285</v>
      </c>
      <c r="U172" s="14">
        <f t="shared" si="44"/>
        <v>0.9770086407684285</v>
      </c>
      <c r="V172" s="14">
        <f t="shared" si="44"/>
        <v>0.9636249607579022</v>
      </c>
      <c r="W172" s="14">
        <f t="shared" si="44"/>
        <v>0.8297881606526379</v>
      </c>
      <c r="X172" s="14">
        <f t="shared" si="44"/>
        <v>0.7494860805894794</v>
      </c>
      <c r="Y172" s="14">
        <f t="shared" si="44"/>
        <v>0.6691840005263209</v>
      </c>
      <c r="Z172" s="14">
        <f t="shared" si="44"/>
        <v>0.642416640505268</v>
      </c>
      <c r="AA172" s="14">
        <f t="shared" si="44"/>
        <v>0.6156492804842153</v>
      </c>
      <c r="AB172" s="14">
        <f t="shared" si="44"/>
        <v>0.5888819204631625</v>
      </c>
      <c r="AC172" s="14">
        <f t="shared" si="43"/>
        <v>15.645521932305384</v>
      </c>
    </row>
    <row r="173" spans="1:29" ht="12.75">
      <c r="A173" s="27" t="str">
        <f t="shared" si="40"/>
        <v>Town of Eatonville - WA</v>
      </c>
      <c r="B173" s="190" t="s">
        <v>51</v>
      </c>
      <c r="C173" s="190" t="s">
        <v>14</v>
      </c>
      <c r="D173" s="208">
        <v>16102</v>
      </c>
      <c r="E173" s="208">
        <v>10373</v>
      </c>
      <c r="F173" s="208">
        <v>0</v>
      </c>
      <c r="G173" s="208">
        <v>26475</v>
      </c>
      <c r="H173" s="13">
        <v>0.00016545397710040574</v>
      </c>
      <c r="I173" s="14">
        <f aca="true" t="shared" si="45" ref="I173:Q191">$H173*I$33</f>
        <v>0.03309079542008115</v>
      </c>
      <c r="J173" s="14">
        <f t="shared" si="45"/>
        <v>0.03639987496208926</v>
      </c>
      <c r="K173" s="14">
        <f t="shared" si="45"/>
        <v>0.03970895450409738</v>
      </c>
      <c r="L173" s="14">
        <f t="shared" si="45"/>
        <v>0.04301803404610549</v>
      </c>
      <c r="M173" s="14">
        <f t="shared" si="45"/>
        <v>0.04632711358811361</v>
      </c>
      <c r="N173" s="14">
        <f t="shared" si="45"/>
        <v>0.047981653359117665</v>
      </c>
      <c r="O173" s="14">
        <f t="shared" si="45"/>
        <v>0.05294527267212984</v>
      </c>
      <c r="P173" s="14">
        <f t="shared" si="45"/>
        <v>0.05625435221413795</v>
      </c>
      <c r="Q173" s="14">
        <f t="shared" si="45"/>
        <v>0.05790889198514201</v>
      </c>
      <c r="R173" s="14">
        <f t="shared" si="41"/>
        <v>0.05956343175614607</v>
      </c>
      <c r="S173" s="14">
        <f t="shared" si="44"/>
        <v>0.060390701641648094</v>
      </c>
      <c r="T173" s="14">
        <f t="shared" si="44"/>
        <v>0.060390701641648094</v>
      </c>
      <c r="U173" s="14">
        <f t="shared" si="44"/>
        <v>0.060390701641648094</v>
      </c>
      <c r="V173" s="14">
        <f t="shared" si="44"/>
        <v>0.05956343175614607</v>
      </c>
      <c r="W173" s="14">
        <f t="shared" si="44"/>
        <v>0.051290732901125784</v>
      </c>
      <c r="X173" s="14">
        <f t="shared" si="44"/>
        <v>0.04632711358811361</v>
      </c>
      <c r="Y173" s="14">
        <f t="shared" si="44"/>
        <v>0.041363494275101435</v>
      </c>
      <c r="Z173" s="14">
        <f t="shared" si="44"/>
        <v>0.03970895450409738</v>
      </c>
      <c r="AA173" s="14">
        <f t="shared" si="44"/>
        <v>0.038054414733093324</v>
      </c>
      <c r="AB173" s="14">
        <f t="shared" si="44"/>
        <v>0.03639987496208926</v>
      </c>
      <c r="AC173" s="14">
        <f t="shared" si="43"/>
        <v>0.9670784961518716</v>
      </c>
    </row>
    <row r="174" spans="1:29" ht="12.75">
      <c r="A174" s="27" t="str">
        <f t="shared" si="40"/>
        <v>Town of Ruston - WA</v>
      </c>
      <c r="B174" s="190" t="s">
        <v>116</v>
      </c>
      <c r="C174" s="190" t="s">
        <v>14</v>
      </c>
      <c r="D174" s="208">
        <v>5237</v>
      </c>
      <c r="E174" s="208">
        <v>0</v>
      </c>
      <c r="F174" s="208">
        <v>0</v>
      </c>
      <c r="G174" s="208">
        <v>5237</v>
      </c>
      <c r="H174" s="13">
        <v>3.272832778375165E-05</v>
      </c>
      <c r="I174" s="14">
        <f t="shared" si="45"/>
        <v>0.00654566555675033</v>
      </c>
      <c r="J174" s="14">
        <f t="shared" si="45"/>
        <v>0.007200232112425362</v>
      </c>
      <c r="K174" s="14">
        <f t="shared" si="45"/>
        <v>0.007854798668100396</v>
      </c>
      <c r="L174" s="14">
        <f t="shared" si="45"/>
        <v>0.008509365223775428</v>
      </c>
      <c r="M174" s="14">
        <f t="shared" si="45"/>
        <v>0.009163931779450461</v>
      </c>
      <c r="N174" s="14">
        <f t="shared" si="45"/>
        <v>0.009491215057287977</v>
      </c>
      <c r="O174" s="14">
        <f t="shared" si="45"/>
        <v>0.010473064890800528</v>
      </c>
      <c r="P174" s="14">
        <f t="shared" si="45"/>
        <v>0.01112763144647556</v>
      </c>
      <c r="Q174" s="14">
        <f t="shared" si="45"/>
        <v>0.011454914724313077</v>
      </c>
      <c r="R174" s="14">
        <f t="shared" si="41"/>
        <v>0.011782198002150593</v>
      </c>
      <c r="S174" s="14">
        <f t="shared" si="44"/>
        <v>0.011945839641069352</v>
      </c>
      <c r="T174" s="14">
        <f t="shared" si="44"/>
        <v>0.011945839641069352</v>
      </c>
      <c r="U174" s="14">
        <f t="shared" si="44"/>
        <v>0.011945839641069352</v>
      </c>
      <c r="V174" s="14">
        <f t="shared" si="44"/>
        <v>0.011782198002150593</v>
      </c>
      <c r="W174" s="14">
        <f t="shared" si="44"/>
        <v>0.010145781612963011</v>
      </c>
      <c r="X174" s="14">
        <f t="shared" si="44"/>
        <v>0.009163931779450461</v>
      </c>
      <c r="Y174" s="14">
        <f t="shared" si="44"/>
        <v>0.008182081945937912</v>
      </c>
      <c r="Z174" s="14">
        <f t="shared" si="44"/>
        <v>0.007854798668100396</v>
      </c>
      <c r="AA174" s="14">
        <f t="shared" si="44"/>
        <v>0.007527515390262879</v>
      </c>
      <c r="AB174" s="14">
        <f t="shared" si="44"/>
        <v>0.007200232112425362</v>
      </c>
      <c r="AC174" s="14">
        <f t="shared" si="43"/>
        <v>0.19129707589602837</v>
      </c>
    </row>
    <row r="175" spans="1:29" ht="12.75">
      <c r="A175" s="27" t="str">
        <f t="shared" si="40"/>
        <v>Town of Steilacoom - WA</v>
      </c>
      <c r="B175" s="190" t="s">
        <v>125</v>
      </c>
      <c r="C175" s="190" t="s">
        <v>14</v>
      </c>
      <c r="D175" s="208">
        <v>32162</v>
      </c>
      <c r="E175" s="208">
        <v>7559</v>
      </c>
      <c r="F175" s="208">
        <v>0</v>
      </c>
      <c r="G175" s="208">
        <v>39721</v>
      </c>
      <c r="H175" s="13">
        <v>0.0002482340859076569</v>
      </c>
      <c r="I175" s="14">
        <f t="shared" si="45"/>
        <v>0.04964681718153138</v>
      </c>
      <c r="J175" s="14">
        <f t="shared" si="45"/>
        <v>0.05461149889968452</v>
      </c>
      <c r="K175" s="14">
        <f t="shared" si="45"/>
        <v>0.05957618061783766</v>
      </c>
      <c r="L175" s="14">
        <f t="shared" si="45"/>
        <v>0.0645408623359908</v>
      </c>
      <c r="M175" s="14">
        <f t="shared" si="45"/>
        <v>0.06950554405414394</v>
      </c>
      <c r="N175" s="14">
        <f t="shared" si="45"/>
        <v>0.0719878849132205</v>
      </c>
      <c r="O175" s="14">
        <f t="shared" si="45"/>
        <v>0.07943490749045021</v>
      </c>
      <c r="P175" s="14">
        <f t="shared" si="45"/>
        <v>0.08439958920860335</v>
      </c>
      <c r="Q175" s="14">
        <f t="shared" si="45"/>
        <v>0.08688193006767993</v>
      </c>
      <c r="R175" s="14">
        <f t="shared" si="41"/>
        <v>0.08936427092675649</v>
      </c>
      <c r="S175" s="14">
        <f t="shared" si="44"/>
        <v>0.09060544135629478</v>
      </c>
      <c r="T175" s="14">
        <f t="shared" si="44"/>
        <v>0.09060544135629478</v>
      </c>
      <c r="U175" s="14">
        <f t="shared" si="44"/>
        <v>0.09060544135629478</v>
      </c>
      <c r="V175" s="14">
        <f t="shared" si="44"/>
        <v>0.08936427092675649</v>
      </c>
      <c r="W175" s="14">
        <f t="shared" si="44"/>
        <v>0.07695256663137365</v>
      </c>
      <c r="X175" s="14">
        <f t="shared" si="44"/>
        <v>0.06950554405414394</v>
      </c>
      <c r="Y175" s="14">
        <f t="shared" si="44"/>
        <v>0.06205852147691423</v>
      </c>
      <c r="Z175" s="14">
        <f t="shared" si="44"/>
        <v>0.05957618061783766</v>
      </c>
      <c r="AA175" s="14">
        <f t="shared" si="44"/>
        <v>0.05709383975876109</v>
      </c>
      <c r="AB175" s="14">
        <f t="shared" si="44"/>
        <v>0.05461149889968452</v>
      </c>
      <c r="AC175" s="14">
        <f t="shared" si="43"/>
        <v>1.4509282321302548</v>
      </c>
    </row>
    <row r="176" spans="1:29" ht="12.75">
      <c r="A176" s="27" t="str">
        <f t="shared" si="40"/>
        <v>Umatilla Electric Coop Assn - OR</v>
      </c>
      <c r="B176" s="190" t="s">
        <v>132</v>
      </c>
      <c r="C176" s="190" t="s">
        <v>22</v>
      </c>
      <c r="D176" s="208">
        <v>160679</v>
      </c>
      <c r="E176" s="208">
        <v>151074</v>
      </c>
      <c r="F176" s="208">
        <v>563102</v>
      </c>
      <c r="G176" s="208">
        <v>874855</v>
      </c>
      <c r="H176" s="13">
        <v>0.005467355585880094</v>
      </c>
      <c r="I176" s="14">
        <f t="shared" si="45"/>
        <v>1.0934711171760187</v>
      </c>
      <c r="J176" s="14">
        <f t="shared" si="45"/>
        <v>1.2028182288936207</v>
      </c>
      <c r="K176" s="14">
        <f t="shared" si="45"/>
        <v>1.3121653406112226</v>
      </c>
      <c r="L176" s="14">
        <f t="shared" si="45"/>
        <v>1.4215124523288243</v>
      </c>
      <c r="M176" s="14">
        <f t="shared" si="45"/>
        <v>1.5308595640464262</v>
      </c>
      <c r="N176" s="14">
        <f t="shared" si="45"/>
        <v>1.5855331199052272</v>
      </c>
      <c r="O176" s="14">
        <f t="shared" si="45"/>
        <v>1.74955378748163</v>
      </c>
      <c r="P176" s="14">
        <f t="shared" si="45"/>
        <v>1.858900899199232</v>
      </c>
      <c r="Q176" s="14">
        <f t="shared" si="45"/>
        <v>1.9135744550580327</v>
      </c>
      <c r="R176" s="14">
        <f t="shared" si="41"/>
        <v>1.9682480109168337</v>
      </c>
      <c r="S176" s="14">
        <f t="shared" si="44"/>
        <v>1.9955847888462341</v>
      </c>
      <c r="T176" s="14">
        <f t="shared" si="44"/>
        <v>1.9955847888462341</v>
      </c>
      <c r="U176" s="14">
        <f t="shared" si="44"/>
        <v>1.9955847888462341</v>
      </c>
      <c r="V176" s="14">
        <f t="shared" si="44"/>
        <v>1.9682480109168337</v>
      </c>
      <c r="W176" s="14">
        <f t="shared" si="44"/>
        <v>1.694880231622829</v>
      </c>
      <c r="X176" s="14">
        <f t="shared" si="44"/>
        <v>1.5308595640464262</v>
      </c>
      <c r="Y176" s="14">
        <f t="shared" si="44"/>
        <v>1.3668388964700233</v>
      </c>
      <c r="Z176" s="14">
        <f t="shared" si="44"/>
        <v>1.3121653406112226</v>
      </c>
      <c r="AA176" s="14">
        <f t="shared" si="44"/>
        <v>1.2574917847524216</v>
      </c>
      <c r="AB176" s="14">
        <f t="shared" si="44"/>
        <v>1.2028182288936207</v>
      </c>
      <c r="AC176" s="14">
        <f t="shared" si="43"/>
        <v>31.95669339946915</v>
      </c>
    </row>
    <row r="177" spans="1:29" ht="12.75">
      <c r="A177" s="27" t="str">
        <f t="shared" si="40"/>
        <v>United Electric Co-op, Inc - ID</v>
      </c>
      <c r="B177" s="190" t="s">
        <v>133</v>
      </c>
      <c r="C177" s="190" t="s">
        <v>19</v>
      </c>
      <c r="D177" s="208">
        <v>88043</v>
      </c>
      <c r="E177" s="208">
        <v>43653</v>
      </c>
      <c r="F177" s="208">
        <v>54513</v>
      </c>
      <c r="G177" s="208">
        <v>186209</v>
      </c>
      <c r="H177" s="13">
        <v>0.0011637023464358624</v>
      </c>
      <c r="I177" s="14">
        <f t="shared" si="45"/>
        <v>0.23274046928717249</v>
      </c>
      <c r="J177" s="14">
        <f t="shared" si="45"/>
        <v>0.2560145162158897</v>
      </c>
      <c r="K177" s="14">
        <f t="shared" si="45"/>
        <v>0.279288563144607</v>
      </c>
      <c r="L177" s="14">
        <f t="shared" si="45"/>
        <v>0.30256261007332425</v>
      </c>
      <c r="M177" s="14">
        <f t="shared" si="45"/>
        <v>0.32583665700204145</v>
      </c>
      <c r="N177" s="14">
        <f t="shared" si="45"/>
        <v>0.3374736804664001</v>
      </c>
      <c r="O177" s="14">
        <f t="shared" si="45"/>
        <v>0.372384750859476</v>
      </c>
      <c r="P177" s="14">
        <f t="shared" si="45"/>
        <v>0.3956587977881932</v>
      </c>
      <c r="Q177" s="14">
        <f t="shared" si="45"/>
        <v>0.4072958212525518</v>
      </c>
      <c r="R177" s="14">
        <f t="shared" si="41"/>
        <v>0.41893284471691045</v>
      </c>
      <c r="S177" s="14">
        <f t="shared" si="44"/>
        <v>0.4247513564490898</v>
      </c>
      <c r="T177" s="14">
        <f t="shared" si="44"/>
        <v>0.4247513564490898</v>
      </c>
      <c r="U177" s="14">
        <f t="shared" si="44"/>
        <v>0.4247513564490898</v>
      </c>
      <c r="V177" s="14">
        <f t="shared" si="44"/>
        <v>0.41893284471691045</v>
      </c>
      <c r="W177" s="14">
        <f t="shared" si="44"/>
        <v>0.36074772739511735</v>
      </c>
      <c r="X177" s="14">
        <f t="shared" si="44"/>
        <v>0.32583665700204145</v>
      </c>
      <c r="Y177" s="14">
        <f t="shared" si="44"/>
        <v>0.2909255866089656</v>
      </c>
      <c r="Z177" s="14">
        <f t="shared" si="44"/>
        <v>0.279288563144607</v>
      </c>
      <c r="AA177" s="14">
        <f t="shared" si="44"/>
        <v>0.26765153968024835</v>
      </c>
      <c r="AB177" s="14">
        <f t="shared" si="44"/>
        <v>0.2560145162158897</v>
      </c>
      <c r="AC177" s="14">
        <f t="shared" si="43"/>
        <v>6.801840214917616</v>
      </c>
    </row>
    <row r="178" spans="1:29" ht="12.75">
      <c r="A178" s="27" t="str">
        <f t="shared" si="40"/>
        <v>Vera Irrigation District #15 - WA</v>
      </c>
      <c r="B178" s="190" t="s">
        <v>135</v>
      </c>
      <c r="C178" s="190" t="s">
        <v>14</v>
      </c>
      <c r="D178" s="208">
        <v>135604</v>
      </c>
      <c r="E178" s="208">
        <v>84341</v>
      </c>
      <c r="F178" s="208">
        <v>0</v>
      </c>
      <c r="G178" s="208">
        <v>219945</v>
      </c>
      <c r="H178" s="13">
        <v>0.0013745335219395181</v>
      </c>
      <c r="I178" s="14">
        <f t="shared" si="45"/>
        <v>0.2749067043879036</v>
      </c>
      <c r="J178" s="14">
        <f t="shared" si="45"/>
        <v>0.302397374826694</v>
      </c>
      <c r="K178" s="14">
        <f t="shared" si="45"/>
        <v>0.3298880452654844</v>
      </c>
      <c r="L178" s="14">
        <f t="shared" si="45"/>
        <v>0.3573787157042747</v>
      </c>
      <c r="M178" s="14">
        <f t="shared" si="45"/>
        <v>0.3848693861430651</v>
      </c>
      <c r="N178" s="14">
        <f t="shared" si="45"/>
        <v>0.39861472136246023</v>
      </c>
      <c r="O178" s="14">
        <f t="shared" si="45"/>
        <v>0.4398507270206458</v>
      </c>
      <c r="P178" s="14">
        <f t="shared" si="45"/>
        <v>0.46734139745943615</v>
      </c>
      <c r="Q178" s="14">
        <f t="shared" si="45"/>
        <v>0.48108673267883134</v>
      </c>
      <c r="R178" s="14">
        <f t="shared" si="41"/>
        <v>0.49483206789822654</v>
      </c>
      <c r="S178" s="14">
        <f t="shared" si="44"/>
        <v>0.5017047355079242</v>
      </c>
      <c r="T178" s="14">
        <f t="shared" si="44"/>
        <v>0.5017047355079242</v>
      </c>
      <c r="U178" s="14">
        <f t="shared" si="44"/>
        <v>0.5017047355079242</v>
      </c>
      <c r="V178" s="14">
        <f t="shared" si="44"/>
        <v>0.49483206789822654</v>
      </c>
      <c r="W178" s="14">
        <f t="shared" si="44"/>
        <v>0.4261053918012506</v>
      </c>
      <c r="X178" s="14">
        <f t="shared" si="44"/>
        <v>0.3848693861430651</v>
      </c>
      <c r="Y178" s="14">
        <f t="shared" si="44"/>
        <v>0.3436333804848795</v>
      </c>
      <c r="Z178" s="14">
        <f t="shared" si="44"/>
        <v>0.3298880452654844</v>
      </c>
      <c r="AA178" s="14">
        <f t="shared" si="44"/>
        <v>0.3161427100460892</v>
      </c>
      <c r="AB178" s="14">
        <f t="shared" si="44"/>
        <v>0.302397374826694</v>
      </c>
      <c r="AC178" s="14">
        <f t="shared" si="43"/>
        <v>8.034148435736483</v>
      </c>
    </row>
    <row r="179" spans="1:29" ht="12.75">
      <c r="A179" s="27" t="str">
        <f t="shared" si="40"/>
        <v>Vigilante Electric Coop, Inc - MT</v>
      </c>
      <c r="B179" s="190" t="s">
        <v>143</v>
      </c>
      <c r="C179" s="190" t="s">
        <v>57</v>
      </c>
      <c r="D179" s="208">
        <v>87283</v>
      </c>
      <c r="E179" s="208">
        <v>55982</v>
      </c>
      <c r="F179" s="208">
        <v>0</v>
      </c>
      <c r="G179" s="208">
        <v>143265</v>
      </c>
      <c r="H179" s="13">
        <v>0.0008953263089438954</v>
      </c>
      <c r="I179" s="14">
        <f t="shared" si="45"/>
        <v>0.17906526178877907</v>
      </c>
      <c r="J179" s="14">
        <f t="shared" si="45"/>
        <v>0.196971787967657</v>
      </c>
      <c r="K179" s="14">
        <f t="shared" si="45"/>
        <v>0.2148783141465349</v>
      </c>
      <c r="L179" s="14">
        <f t="shared" si="45"/>
        <v>0.2327848403254128</v>
      </c>
      <c r="M179" s="14">
        <f t="shared" si="45"/>
        <v>0.2506913665042907</v>
      </c>
      <c r="N179" s="14">
        <f t="shared" si="45"/>
        <v>0.2596446295937297</v>
      </c>
      <c r="O179" s="14">
        <f t="shared" si="45"/>
        <v>0.28650441886204653</v>
      </c>
      <c r="P179" s="14">
        <f t="shared" si="45"/>
        <v>0.3044109450409244</v>
      </c>
      <c r="Q179" s="14">
        <f t="shared" si="45"/>
        <v>0.3133642081303634</v>
      </c>
      <c r="R179" s="14">
        <f t="shared" si="41"/>
        <v>0.32231747121980237</v>
      </c>
      <c r="S179" s="14">
        <f t="shared" si="44"/>
        <v>0.3267941027645218</v>
      </c>
      <c r="T179" s="14">
        <f t="shared" si="44"/>
        <v>0.3267941027645218</v>
      </c>
      <c r="U179" s="14">
        <f t="shared" si="44"/>
        <v>0.3267941027645218</v>
      </c>
      <c r="V179" s="14">
        <f t="shared" si="44"/>
        <v>0.32231747121980237</v>
      </c>
      <c r="W179" s="14">
        <f t="shared" si="44"/>
        <v>0.2775511557726076</v>
      </c>
      <c r="X179" s="14">
        <f t="shared" si="44"/>
        <v>0.2506913665042907</v>
      </c>
      <c r="Y179" s="14">
        <f t="shared" si="44"/>
        <v>0.22383157723597386</v>
      </c>
      <c r="Z179" s="14">
        <f t="shared" si="44"/>
        <v>0.2148783141465349</v>
      </c>
      <c r="AA179" s="14">
        <f t="shared" si="44"/>
        <v>0.20592505105709594</v>
      </c>
      <c r="AB179" s="14">
        <f t="shared" si="44"/>
        <v>0.196971787967657</v>
      </c>
      <c r="AC179" s="14">
        <f t="shared" si="43"/>
        <v>5.233182275777069</v>
      </c>
    </row>
    <row r="180" spans="1:29" ht="12.75">
      <c r="A180" s="27" t="str">
        <f t="shared" si="40"/>
        <v>Vigilante Electric Coop, Inc - ID</v>
      </c>
      <c r="B180" s="190" t="s">
        <v>143</v>
      </c>
      <c r="C180" s="190" t="s">
        <v>19</v>
      </c>
      <c r="D180" s="208">
        <v>106</v>
      </c>
      <c r="E180" s="208">
        <v>0</v>
      </c>
      <c r="F180" s="208">
        <v>0</v>
      </c>
      <c r="G180" s="208">
        <v>106</v>
      </c>
      <c r="H180" s="13">
        <v>6.624408526021912E-07</v>
      </c>
      <c r="I180" s="14">
        <f t="shared" si="45"/>
        <v>0.00013248817052043823</v>
      </c>
      <c r="J180" s="14">
        <f t="shared" si="45"/>
        <v>0.00014573698757248206</v>
      </c>
      <c r="K180" s="14">
        <f t="shared" si="45"/>
        <v>0.00015898580462452589</v>
      </c>
      <c r="L180" s="14">
        <f t="shared" si="45"/>
        <v>0.0001722346216765697</v>
      </c>
      <c r="M180" s="14">
        <f t="shared" si="45"/>
        <v>0.0001854834387286135</v>
      </c>
      <c r="N180" s="14">
        <f t="shared" si="45"/>
        <v>0.00019210784725463544</v>
      </c>
      <c r="O180" s="14">
        <f t="shared" si="45"/>
        <v>0.00021198107283270116</v>
      </c>
      <c r="P180" s="14">
        <f t="shared" si="45"/>
        <v>0.000225229889884745</v>
      </c>
      <c r="Q180" s="14">
        <f t="shared" si="45"/>
        <v>0.00023185429841076691</v>
      </c>
      <c r="R180" s="14">
        <f t="shared" si="41"/>
        <v>0.00023847870693678881</v>
      </c>
      <c r="S180" s="14">
        <f t="shared" si="44"/>
        <v>0.00024179091119979978</v>
      </c>
      <c r="T180" s="14">
        <f t="shared" si="44"/>
        <v>0.00024179091119979978</v>
      </c>
      <c r="U180" s="14">
        <f t="shared" si="44"/>
        <v>0.00024179091119979978</v>
      </c>
      <c r="V180" s="14">
        <f t="shared" si="44"/>
        <v>0.00023847870693678881</v>
      </c>
      <c r="W180" s="14">
        <f t="shared" si="44"/>
        <v>0.00020535666430667926</v>
      </c>
      <c r="X180" s="14">
        <f t="shared" si="44"/>
        <v>0.0001854834387286135</v>
      </c>
      <c r="Y180" s="14">
        <f t="shared" si="44"/>
        <v>0.00016561021315054778</v>
      </c>
      <c r="Z180" s="14">
        <f t="shared" si="44"/>
        <v>0.00015898580462452589</v>
      </c>
      <c r="AA180" s="14">
        <f t="shared" si="44"/>
        <v>0.00015236139609850396</v>
      </c>
      <c r="AB180" s="14">
        <f t="shared" si="44"/>
        <v>0.00014573698757248206</v>
      </c>
      <c r="AC180" s="14">
        <f t="shared" si="43"/>
        <v>0.003871966783459807</v>
      </c>
    </row>
    <row r="181" spans="1:29" ht="12.75">
      <c r="A181" s="27" t="str">
        <f t="shared" si="40"/>
        <v>Wasco Electric Coop, Inc - OR</v>
      </c>
      <c r="B181" s="207" t="s">
        <v>136</v>
      </c>
      <c r="C181" s="207" t="s">
        <v>22</v>
      </c>
      <c r="D181" s="210">
        <v>49393</v>
      </c>
      <c r="E181" s="210">
        <v>17633</v>
      </c>
      <c r="F181" s="210">
        <v>28756</v>
      </c>
      <c r="G181" s="208">
        <v>95782</v>
      </c>
      <c r="H181" s="13">
        <v>0.0005985840541881421</v>
      </c>
      <c r="I181" s="14">
        <f t="shared" si="45"/>
        <v>0.11971681083762843</v>
      </c>
      <c r="J181" s="14">
        <f t="shared" si="45"/>
        <v>0.13168849192139126</v>
      </c>
      <c r="K181" s="14">
        <f t="shared" si="45"/>
        <v>0.1436601730051541</v>
      </c>
      <c r="L181" s="14">
        <f t="shared" si="45"/>
        <v>0.15563185408891694</v>
      </c>
      <c r="M181" s="14">
        <f t="shared" si="45"/>
        <v>0.16760353517267979</v>
      </c>
      <c r="N181" s="14">
        <f t="shared" si="45"/>
        <v>0.1735893757145612</v>
      </c>
      <c r="O181" s="14">
        <f t="shared" si="45"/>
        <v>0.19154689734020547</v>
      </c>
      <c r="P181" s="14">
        <f t="shared" si="45"/>
        <v>0.20351857842396834</v>
      </c>
      <c r="Q181" s="14">
        <f t="shared" si="45"/>
        <v>0.20950441896584976</v>
      </c>
      <c r="R181" s="14">
        <f t="shared" si="41"/>
        <v>0.21549025950773118</v>
      </c>
      <c r="S181" s="14">
        <f t="shared" si="44"/>
        <v>0.21848317977867188</v>
      </c>
      <c r="T181" s="14">
        <f t="shared" si="44"/>
        <v>0.21848317977867188</v>
      </c>
      <c r="U181" s="14">
        <f t="shared" si="44"/>
        <v>0.21848317977867188</v>
      </c>
      <c r="V181" s="14">
        <f t="shared" si="44"/>
        <v>0.21549025950773118</v>
      </c>
      <c r="W181" s="14">
        <f t="shared" si="44"/>
        <v>0.18556105679832405</v>
      </c>
      <c r="X181" s="14">
        <f t="shared" si="44"/>
        <v>0.16760353517267979</v>
      </c>
      <c r="Y181" s="14">
        <f t="shared" si="44"/>
        <v>0.14964601354703552</v>
      </c>
      <c r="Z181" s="14">
        <f t="shared" si="44"/>
        <v>0.1436601730051541</v>
      </c>
      <c r="AA181" s="14">
        <f t="shared" si="44"/>
        <v>0.13767433246327268</v>
      </c>
      <c r="AB181" s="14">
        <f t="shared" si="44"/>
        <v>0.13168849192139126</v>
      </c>
      <c r="AC181" s="14">
        <f t="shared" si="43"/>
        <v>3.4987237967296907</v>
      </c>
    </row>
    <row r="182" spans="1:29" ht="12.75">
      <c r="A182" s="27" t="str">
        <f t="shared" si="40"/>
        <v>Wells Rural Electric Co - NV</v>
      </c>
      <c r="B182" s="207" t="s">
        <v>139</v>
      </c>
      <c r="C182" s="207" t="s">
        <v>83</v>
      </c>
      <c r="D182" s="210">
        <v>51137</v>
      </c>
      <c r="E182" s="210">
        <v>52057</v>
      </c>
      <c r="F182" s="210">
        <v>660072</v>
      </c>
      <c r="G182" s="208">
        <v>763266</v>
      </c>
      <c r="H182" s="13">
        <v>0.004769986601908151</v>
      </c>
      <c r="I182" s="14">
        <f t="shared" si="45"/>
        <v>0.9539973203816302</v>
      </c>
      <c r="J182" s="14">
        <f t="shared" si="45"/>
        <v>1.0493970524197933</v>
      </c>
      <c r="K182" s="14">
        <f t="shared" si="45"/>
        <v>1.1447967844579563</v>
      </c>
      <c r="L182" s="14">
        <f t="shared" si="45"/>
        <v>1.2401965164961193</v>
      </c>
      <c r="M182" s="14">
        <f t="shared" si="45"/>
        <v>1.3355962485342823</v>
      </c>
      <c r="N182" s="14">
        <f t="shared" si="45"/>
        <v>1.3832961145533638</v>
      </c>
      <c r="O182" s="14">
        <f t="shared" si="45"/>
        <v>1.5263957126106085</v>
      </c>
      <c r="P182" s="14">
        <f t="shared" si="45"/>
        <v>1.6217954446487715</v>
      </c>
      <c r="Q182" s="14">
        <f t="shared" si="45"/>
        <v>1.669495310667853</v>
      </c>
      <c r="R182" s="14">
        <f t="shared" si="41"/>
        <v>1.7171951766869344</v>
      </c>
      <c r="S182" s="14">
        <f t="shared" si="44"/>
        <v>1.7410451096964752</v>
      </c>
      <c r="T182" s="14">
        <f t="shared" si="44"/>
        <v>1.7410451096964752</v>
      </c>
      <c r="U182" s="14">
        <f t="shared" si="44"/>
        <v>1.7410451096964752</v>
      </c>
      <c r="V182" s="14">
        <f t="shared" si="44"/>
        <v>1.7171951766869344</v>
      </c>
      <c r="W182" s="14">
        <f t="shared" si="44"/>
        <v>1.478695846591527</v>
      </c>
      <c r="X182" s="14">
        <f t="shared" si="44"/>
        <v>1.3355962485342823</v>
      </c>
      <c r="Y182" s="14">
        <f t="shared" si="44"/>
        <v>1.1924966504770378</v>
      </c>
      <c r="Z182" s="14">
        <f t="shared" si="44"/>
        <v>1.1447967844579563</v>
      </c>
      <c r="AA182" s="14">
        <f t="shared" si="44"/>
        <v>1.0970969184388748</v>
      </c>
      <c r="AB182" s="14">
        <f t="shared" si="44"/>
        <v>1.0493970524197933</v>
      </c>
      <c r="AC182" s="14">
        <f t="shared" si="43"/>
        <v>27.880571688153143</v>
      </c>
    </row>
    <row r="183" spans="1:29" ht="13.5" thickBot="1">
      <c r="A183" s="195" t="str">
        <f t="shared" si="40"/>
        <v>West Oregon Electric Coop Inc - OR</v>
      </c>
      <c r="B183" s="207" t="s">
        <v>140</v>
      </c>
      <c r="C183" s="207" t="s">
        <v>22</v>
      </c>
      <c r="D183" s="210">
        <v>54716</v>
      </c>
      <c r="E183" s="210">
        <v>4870</v>
      </c>
      <c r="F183" s="210">
        <v>12504</v>
      </c>
      <c r="G183" s="208">
        <v>72090</v>
      </c>
      <c r="H183" s="196">
        <v>0.0004505222741895468</v>
      </c>
      <c r="I183" s="197">
        <f t="shared" si="45"/>
        <v>0.09010445483790935</v>
      </c>
      <c r="J183" s="197">
        <f t="shared" si="45"/>
        <v>0.0991149003217003</v>
      </c>
      <c r="K183" s="197">
        <f t="shared" si="45"/>
        <v>0.10812534580549123</v>
      </c>
      <c r="L183" s="197">
        <f t="shared" si="45"/>
        <v>0.11713579128928217</v>
      </c>
      <c r="M183" s="197">
        <f t="shared" si="45"/>
        <v>0.1261462367730731</v>
      </c>
      <c r="N183" s="197">
        <f t="shared" si="45"/>
        <v>0.13065145951496857</v>
      </c>
      <c r="O183" s="197">
        <f t="shared" si="45"/>
        <v>0.144167127740655</v>
      </c>
      <c r="P183" s="197">
        <f t="shared" si="45"/>
        <v>0.15317757322444592</v>
      </c>
      <c r="Q183" s="197">
        <f t="shared" si="45"/>
        <v>0.15768279596634138</v>
      </c>
      <c r="R183" s="197">
        <f t="shared" si="41"/>
        <v>0.16218801870823685</v>
      </c>
      <c r="S183" s="197">
        <f t="shared" si="44"/>
        <v>0.16444063007918458</v>
      </c>
      <c r="T183" s="197">
        <f t="shared" si="44"/>
        <v>0.16444063007918458</v>
      </c>
      <c r="U183" s="197">
        <f t="shared" si="44"/>
        <v>0.16444063007918458</v>
      </c>
      <c r="V183" s="197">
        <f t="shared" si="44"/>
        <v>0.16218801870823685</v>
      </c>
      <c r="W183" s="197">
        <f t="shared" si="44"/>
        <v>0.1396619049987595</v>
      </c>
      <c r="X183" s="197">
        <f t="shared" si="44"/>
        <v>0.1261462367730731</v>
      </c>
      <c r="Y183" s="197">
        <f t="shared" si="44"/>
        <v>0.11263056854738669</v>
      </c>
      <c r="Z183" s="197">
        <f t="shared" si="44"/>
        <v>0.10812534580549123</v>
      </c>
      <c r="AA183" s="197">
        <f t="shared" si="44"/>
        <v>0.10362012306359576</v>
      </c>
      <c r="AB183" s="197">
        <f t="shared" si="44"/>
        <v>0.0991149003217003</v>
      </c>
      <c r="AC183" s="197">
        <f t="shared" si="43"/>
        <v>2.633302692637901</v>
      </c>
    </row>
    <row r="184" spans="1:29" ht="13.5" thickBot="1">
      <c r="A184" s="201"/>
      <c r="B184" s="202"/>
      <c r="C184" s="202"/>
      <c r="D184" s="203"/>
      <c r="E184" s="203"/>
      <c r="F184" s="203"/>
      <c r="G184" s="203"/>
      <c r="H184" s="204"/>
      <c r="I184" s="205"/>
      <c r="J184" s="205"/>
      <c r="K184" s="205"/>
      <c r="L184" s="205"/>
      <c r="M184" s="205"/>
      <c r="N184" s="205"/>
      <c r="O184" s="205"/>
      <c r="P184" s="205"/>
      <c r="Q184" s="205"/>
      <c r="R184" s="205"/>
      <c r="S184" s="205"/>
      <c r="T184" s="205"/>
      <c r="U184" s="205"/>
      <c r="V184" s="205"/>
      <c r="W184" s="205"/>
      <c r="X184" s="205"/>
      <c r="Y184" s="205"/>
      <c r="Z184" s="205"/>
      <c r="AA184" s="205"/>
      <c r="AB184" s="205"/>
      <c r="AC184" s="206"/>
    </row>
    <row r="185" spans="1:29" ht="12.75">
      <c r="A185" s="198" t="s">
        <v>209</v>
      </c>
      <c r="B185" s="198" t="s">
        <v>209</v>
      </c>
      <c r="C185" s="198" t="s">
        <v>19</v>
      </c>
      <c r="D185" s="199">
        <v>8339433</v>
      </c>
      <c r="E185" s="199">
        <v>6014562</v>
      </c>
      <c r="F185" s="199">
        <v>9401191</v>
      </c>
      <c r="G185" s="199">
        <v>23755186</v>
      </c>
      <c r="H185" s="200">
        <v>0.14567857533343806</v>
      </c>
      <c r="I185" s="199">
        <v>29.135715066687613</v>
      </c>
      <c r="J185" s="199">
        <v>32.049286573356376</v>
      </c>
      <c r="K185" s="199">
        <v>34.96285808002512</v>
      </c>
      <c r="L185" s="199">
        <v>37.876429586693895</v>
      </c>
      <c r="M185" s="199">
        <v>40.790001093362655</v>
      </c>
      <c r="N185" s="199">
        <v>42.246786846697034</v>
      </c>
      <c r="O185" s="199">
        <v>46.61714410670017</v>
      </c>
      <c r="P185" s="199">
        <v>49.53071561336895</v>
      </c>
      <c r="Q185" s="199">
        <v>50.98750136670331</v>
      </c>
      <c r="R185" s="199">
        <v>52.444287120037714</v>
      </c>
      <c r="S185" s="199">
        <v>53.17267999670489</v>
      </c>
      <c r="T185" s="199">
        <v>53.17267999670489</v>
      </c>
      <c r="U185" s="199">
        <v>53.17267999670489</v>
      </c>
      <c r="V185" s="199">
        <v>52.444287120037714</v>
      </c>
      <c r="W185" s="199">
        <v>45.16035835336579</v>
      </c>
      <c r="X185" s="199">
        <v>40.790001093362655</v>
      </c>
      <c r="Y185" s="199">
        <v>36.419643833359515</v>
      </c>
      <c r="Z185" s="199">
        <v>34.96285808002512</v>
      </c>
      <c r="AA185" s="199">
        <v>33.50607232669075</v>
      </c>
      <c r="AB185" s="199">
        <v>32.049286573356376</v>
      </c>
      <c r="AC185" s="199">
        <v>851.4912728239453</v>
      </c>
    </row>
    <row r="186" spans="1:29" ht="12.75">
      <c r="A186" s="11" t="s">
        <v>210</v>
      </c>
      <c r="B186" s="11" t="s">
        <v>210</v>
      </c>
      <c r="C186" s="11" t="s">
        <v>57</v>
      </c>
      <c r="D186" s="12">
        <v>1967362.7280000001</v>
      </c>
      <c r="E186" s="12">
        <v>3057060.594</v>
      </c>
      <c r="F186" s="12">
        <v>424403.608</v>
      </c>
      <c r="G186" s="12">
        <v>5448826.93</v>
      </c>
      <c r="H186" s="194">
        <v>0.02651950829307477</v>
      </c>
      <c r="I186" s="12">
        <v>5.303901658614954</v>
      </c>
      <c r="J186" s="12">
        <v>5.834291824476449</v>
      </c>
      <c r="K186" s="12">
        <v>6.364681990337944</v>
      </c>
      <c r="L186" s="12">
        <v>6.895072156199439</v>
      </c>
      <c r="M186" s="12">
        <v>7.425462322060935</v>
      </c>
      <c r="N186" s="12">
        <v>7.690657404991683</v>
      </c>
      <c r="O186" s="12">
        <v>8.486242653783926</v>
      </c>
      <c r="P186" s="12">
        <v>9.016632819645421</v>
      </c>
      <c r="Q186" s="12">
        <v>9.28182790257617</v>
      </c>
      <c r="R186" s="12">
        <v>9.547022985506917</v>
      </c>
      <c r="S186" s="12">
        <v>9.67962052697229</v>
      </c>
      <c r="T186" s="12">
        <v>9.67962052697229</v>
      </c>
      <c r="U186" s="12">
        <v>9.67962052697229</v>
      </c>
      <c r="V186" s="12">
        <v>9.547022985506917</v>
      </c>
      <c r="W186" s="12">
        <v>8.221047570853178</v>
      </c>
      <c r="X186" s="12">
        <v>7.425462322060935</v>
      </c>
      <c r="Y186" s="12">
        <v>6.629877073268692</v>
      </c>
      <c r="Z186" s="12">
        <v>6.364681990337944</v>
      </c>
      <c r="AA186" s="12">
        <v>6.099486907407197</v>
      </c>
      <c r="AB186" s="12">
        <v>5.834291824476449</v>
      </c>
      <c r="AC186" s="12">
        <v>155.006525973022</v>
      </c>
    </row>
    <row r="187" spans="1:29" ht="12.75">
      <c r="A187" s="11" t="s">
        <v>211</v>
      </c>
      <c r="B187" s="11" t="s">
        <v>211</v>
      </c>
      <c r="C187" s="11" t="s">
        <v>22</v>
      </c>
      <c r="D187" s="12">
        <v>19374458</v>
      </c>
      <c r="E187" s="12">
        <v>15586779</v>
      </c>
      <c r="F187" s="12">
        <v>11444945</v>
      </c>
      <c r="G187" s="12">
        <v>46406182</v>
      </c>
      <c r="H187" s="194">
        <v>0.2845857102707694</v>
      </c>
      <c r="I187" s="12">
        <v>56.91714205415388</v>
      </c>
      <c r="J187" s="12">
        <v>62.608856259569265</v>
      </c>
      <c r="K187" s="12">
        <v>68.30057046498465</v>
      </c>
      <c r="L187" s="12">
        <v>73.99228467040002</v>
      </c>
      <c r="M187" s="12">
        <v>79.68399887581545</v>
      </c>
      <c r="N187" s="12">
        <v>82.52985597852312</v>
      </c>
      <c r="O187" s="12">
        <v>91.0674272866462</v>
      </c>
      <c r="P187" s="12">
        <v>96.75914149206159</v>
      </c>
      <c r="Q187" s="12">
        <v>99.60499859476927</v>
      </c>
      <c r="R187" s="12">
        <v>102.45085569747697</v>
      </c>
      <c r="S187" s="12">
        <v>103.87378424883083</v>
      </c>
      <c r="T187" s="12">
        <v>103.87378424883083</v>
      </c>
      <c r="U187" s="12">
        <v>103.87378424883083</v>
      </c>
      <c r="V187" s="12">
        <v>102.45085569747697</v>
      </c>
      <c r="W187" s="12">
        <v>88.22157018393852</v>
      </c>
      <c r="X187" s="12">
        <v>79.68399887581545</v>
      </c>
      <c r="Y187" s="12">
        <v>71.14642756769233</v>
      </c>
      <c r="Z187" s="12">
        <v>68.30057046498465</v>
      </c>
      <c r="AA187" s="12">
        <v>65.45471336227695</v>
      </c>
      <c r="AB187" s="12">
        <v>62.608856259569265</v>
      </c>
      <c r="AC187" s="12">
        <v>1663.4034765326471</v>
      </c>
    </row>
    <row r="188" spans="1:29" ht="12.75">
      <c r="A188" s="11" t="s">
        <v>212</v>
      </c>
      <c r="B188" s="11" t="s">
        <v>212</v>
      </c>
      <c r="C188" s="11" t="s">
        <v>14</v>
      </c>
      <c r="D188" s="12">
        <v>35388779</v>
      </c>
      <c r="E188" s="12">
        <v>28679127</v>
      </c>
      <c r="F188" s="12">
        <v>18684915</v>
      </c>
      <c r="G188" s="12">
        <v>82752821</v>
      </c>
      <c r="H188" s="194">
        <v>0.5074813166313669</v>
      </c>
      <c r="I188" s="12">
        <v>101.49626332627336</v>
      </c>
      <c r="J188" s="12">
        <v>111.64588965890074</v>
      </c>
      <c r="K188" s="12">
        <v>121.79551599152806</v>
      </c>
      <c r="L188" s="12">
        <v>131.94514232415546</v>
      </c>
      <c r="M188" s="12">
        <v>142.09476865678272</v>
      </c>
      <c r="N188" s="12">
        <v>147.16958182309642</v>
      </c>
      <c r="O188" s="12">
        <v>162.3940213220374</v>
      </c>
      <c r="P188" s="12">
        <v>172.5436476546648</v>
      </c>
      <c r="Q188" s="12">
        <v>177.6184608209784</v>
      </c>
      <c r="R188" s="12">
        <v>182.6932739872921</v>
      </c>
      <c r="S188" s="12">
        <v>185.23068057044898</v>
      </c>
      <c r="T188" s="12">
        <v>185.23068057044898</v>
      </c>
      <c r="U188" s="12">
        <v>185.23068057044898</v>
      </c>
      <c r="V188" s="12">
        <v>182.6932739872921</v>
      </c>
      <c r="W188" s="12">
        <v>157.31920815572371</v>
      </c>
      <c r="X188" s="12">
        <v>142.09476865678272</v>
      </c>
      <c r="Y188" s="12">
        <v>126.87032915784174</v>
      </c>
      <c r="Z188" s="12">
        <v>121.79551599152806</v>
      </c>
      <c r="AA188" s="12">
        <v>116.72070282521437</v>
      </c>
      <c r="AB188" s="12">
        <v>111.64588965890074</v>
      </c>
      <c r="AC188" s="12">
        <v>2966.228295710339</v>
      </c>
    </row>
    <row r="189" spans="1:29" ht="12.75">
      <c r="A189" s="193"/>
      <c r="B189" s="11" t="s">
        <v>226</v>
      </c>
      <c r="C189" s="11" t="s">
        <v>227</v>
      </c>
      <c r="D189" s="12">
        <v>469736</v>
      </c>
      <c r="E189" s="12">
        <v>325507</v>
      </c>
      <c r="F189" s="12">
        <v>856027</v>
      </c>
      <c r="G189" s="12">
        <v>1651270</v>
      </c>
      <c r="H189" s="13"/>
      <c r="I189" s="14"/>
      <c r="J189" s="14"/>
      <c r="K189" s="14"/>
      <c r="L189" s="14"/>
      <c r="M189" s="14"/>
      <c r="N189" s="14"/>
      <c r="O189" s="14"/>
      <c r="P189" s="14"/>
      <c r="Q189" s="14"/>
      <c r="R189" s="14"/>
      <c r="S189" s="14"/>
      <c r="T189" s="14"/>
      <c r="U189" s="14"/>
      <c r="V189" s="14"/>
      <c r="W189" s="14"/>
      <c r="X189" s="14"/>
      <c r="Y189" s="14"/>
      <c r="Z189" s="14"/>
      <c r="AA189" s="14"/>
      <c r="AB189" s="14"/>
      <c r="AC189" s="14"/>
    </row>
    <row r="190" spans="1:29" ht="12.75">
      <c r="A190" s="193"/>
      <c r="B190" s="11"/>
      <c r="C190" s="11"/>
      <c r="D190" s="12"/>
      <c r="E190" s="12"/>
      <c r="F190" s="12"/>
      <c r="G190" s="12"/>
      <c r="H190" s="13"/>
      <c r="I190" s="14"/>
      <c r="J190" s="14"/>
      <c r="K190" s="14"/>
      <c r="L190" s="14"/>
      <c r="M190" s="14"/>
      <c r="N190" s="14"/>
      <c r="O190" s="14"/>
      <c r="P190" s="14"/>
      <c r="Q190" s="14"/>
      <c r="R190" s="14"/>
      <c r="S190" s="14"/>
      <c r="T190" s="14"/>
      <c r="U190" s="14"/>
      <c r="V190" s="14"/>
      <c r="W190" s="14"/>
      <c r="X190" s="14"/>
      <c r="Y190" s="14"/>
      <c r="Z190" s="14"/>
      <c r="AA190" s="14"/>
      <c r="AB190" s="14"/>
      <c r="AC190" s="14"/>
    </row>
    <row r="191" spans="2:29" ht="12.75">
      <c r="B191" s="11" t="s">
        <v>158</v>
      </c>
      <c r="C191" s="26" t="s">
        <v>157</v>
      </c>
      <c r="D191" s="22">
        <v>65539768.728</v>
      </c>
      <c r="E191" s="22">
        <v>53663035.594</v>
      </c>
      <c r="F191" s="22">
        <v>40811481.607999995</v>
      </c>
      <c r="G191" s="22">
        <v>160014285.93</v>
      </c>
      <c r="H191" s="24">
        <f>SUM(H34:H183)</f>
        <v>1.0000000000000002</v>
      </c>
      <c r="I191" s="22">
        <f t="shared" si="45"/>
        <v>200.00000000000006</v>
      </c>
      <c r="J191" s="22">
        <f t="shared" si="45"/>
        <v>220.00000000000006</v>
      </c>
      <c r="K191" s="22">
        <f t="shared" si="45"/>
        <v>240.00000000000006</v>
      </c>
      <c r="L191" s="22">
        <f t="shared" si="45"/>
        <v>260.00000000000006</v>
      </c>
      <c r="M191" s="22">
        <f t="shared" si="45"/>
        <v>280.00000000000006</v>
      </c>
      <c r="N191" s="22">
        <f t="shared" si="45"/>
        <v>290.00000000000006</v>
      </c>
      <c r="O191" s="22">
        <f t="shared" si="45"/>
        <v>320.00000000000006</v>
      </c>
      <c r="P191" s="22">
        <f t="shared" si="45"/>
        <v>340.00000000000006</v>
      </c>
      <c r="Q191" s="22">
        <f t="shared" si="45"/>
        <v>350.00000000000006</v>
      </c>
      <c r="R191" s="22">
        <f>$H191*R$33</f>
        <v>360.00000000000006</v>
      </c>
      <c r="S191" s="22">
        <f t="shared" si="44"/>
        <v>365.00000000000006</v>
      </c>
      <c r="T191" s="22">
        <f t="shared" si="44"/>
        <v>365.00000000000006</v>
      </c>
      <c r="U191" s="22">
        <f t="shared" si="44"/>
        <v>365.00000000000006</v>
      </c>
      <c r="V191" s="22">
        <f t="shared" si="44"/>
        <v>360.00000000000006</v>
      </c>
      <c r="W191" s="22">
        <f t="shared" si="44"/>
        <v>310.00000000000006</v>
      </c>
      <c r="X191" s="22">
        <f t="shared" si="44"/>
        <v>280.00000000000006</v>
      </c>
      <c r="Y191" s="22">
        <f t="shared" si="44"/>
        <v>250.00000000000006</v>
      </c>
      <c r="Z191" s="22">
        <f t="shared" si="44"/>
        <v>240.00000000000006</v>
      </c>
      <c r="AA191" s="22">
        <f t="shared" si="44"/>
        <v>230.00000000000006</v>
      </c>
      <c r="AB191" s="22">
        <f t="shared" si="44"/>
        <v>220.00000000000006</v>
      </c>
      <c r="AC191" s="22">
        <f t="shared" si="43"/>
        <v>5845.000000000001</v>
      </c>
    </row>
    <row r="192" spans="2:28" ht="12.75">
      <c r="B192" s="11" t="s">
        <v>158</v>
      </c>
      <c r="C192" s="26" t="s">
        <v>149</v>
      </c>
      <c r="D192" s="23">
        <f>D191/8760</f>
        <v>7481.708758904109</v>
      </c>
      <c r="E192" s="23">
        <f>E191/8760</f>
        <v>6125.917305251141</v>
      </c>
      <c r="F192" s="23">
        <f>F191/8760</f>
        <v>4658.844932420091</v>
      </c>
      <c r="G192" s="23">
        <f>G191/8760</f>
        <v>18266.470996575343</v>
      </c>
      <c r="H192"/>
      <c r="I192" s="106">
        <v>2010</v>
      </c>
      <c r="J192" s="106">
        <v>2011</v>
      </c>
      <c r="K192" s="106">
        <v>2012</v>
      </c>
      <c r="L192" s="106">
        <v>2013</v>
      </c>
      <c r="M192" s="106">
        <v>2014</v>
      </c>
      <c r="N192" s="106">
        <v>2015</v>
      </c>
      <c r="O192" s="106">
        <v>2016</v>
      </c>
      <c r="P192" s="106">
        <v>2017</v>
      </c>
      <c r="Q192" s="106">
        <v>2018</v>
      </c>
      <c r="R192" s="106">
        <v>2019</v>
      </c>
      <c r="S192" s="106">
        <v>2020</v>
      </c>
      <c r="T192" s="106">
        <v>2021</v>
      </c>
      <c r="U192" s="106">
        <v>2022</v>
      </c>
      <c r="V192" s="106">
        <v>2023</v>
      </c>
      <c r="W192" s="106">
        <v>2024</v>
      </c>
      <c r="X192" s="106">
        <v>2025</v>
      </c>
      <c r="Y192" s="106">
        <v>2026</v>
      </c>
      <c r="Z192" s="106">
        <v>2027</v>
      </c>
      <c r="AA192" s="106">
        <v>2028</v>
      </c>
      <c r="AB192" s="106">
        <v>2029</v>
      </c>
    </row>
    <row r="193" spans="2:8" ht="13.5" thickBot="1">
      <c r="B193" s="25"/>
      <c r="D193" s="16"/>
      <c r="H193"/>
    </row>
    <row r="194" spans="2:8" ht="12.75">
      <c r="B194" s="17"/>
      <c r="C194" s="38" t="s">
        <v>176</v>
      </c>
      <c r="D194" s="16"/>
      <c r="F194" s="39">
        <v>650</v>
      </c>
      <c r="H194"/>
    </row>
    <row r="195" spans="2:8" ht="12.75">
      <c r="B195" s="17"/>
      <c r="D195" s="40" t="s">
        <v>177</v>
      </c>
      <c r="E195" s="15"/>
      <c r="F195" s="15">
        <f>PNWSales_Ind_Agr-(F194*8760)</f>
        <v>35117481.607999995</v>
      </c>
      <c r="H195"/>
    </row>
    <row r="196" spans="2:8" ht="12.75">
      <c r="B196" s="17"/>
      <c r="D196" s="40" t="s">
        <v>178</v>
      </c>
      <c r="E196" s="15"/>
      <c r="F196" s="15">
        <f>F194*8760</f>
        <v>5694000</v>
      </c>
      <c r="H196"/>
    </row>
    <row r="197" spans="2:8" ht="12.75">
      <c r="B197" s="17"/>
      <c r="D197" s="16"/>
      <c r="H197"/>
    </row>
    <row r="198" spans="3:23" ht="12.75">
      <c r="C198" s="17"/>
      <c r="W198" t="s">
        <v>183</v>
      </c>
    </row>
    <row r="199" spans="1:23" ht="12.75">
      <c r="A199" t="s">
        <v>204</v>
      </c>
      <c r="C199" s="17"/>
      <c r="W199" s="3">
        <v>534040.541</v>
      </c>
    </row>
    <row r="200" spans="1:8" ht="12.75">
      <c r="A200" s="10">
        <v>2007</v>
      </c>
      <c r="B200" s="10">
        <v>12825</v>
      </c>
      <c r="C200" s="11" t="s">
        <v>93</v>
      </c>
      <c r="D200" s="11" t="s">
        <v>57</v>
      </c>
      <c r="E200" s="12">
        <v>2233326</v>
      </c>
      <c r="F200" s="12">
        <v>3101712</v>
      </c>
      <c r="G200" s="12">
        <v>541161</v>
      </c>
      <c r="H200" s="12">
        <v>5876199</v>
      </c>
    </row>
    <row r="201" ht="12.75">
      <c r="C201" s="17"/>
    </row>
    <row r="202" ht="12.75">
      <c r="C202" s="17"/>
    </row>
    <row r="203" spans="5:8" ht="12.75">
      <c r="E203"/>
      <c r="F203"/>
      <c r="G203"/>
      <c r="H203"/>
    </row>
    <row r="204" spans="5:8" ht="12.75">
      <c r="E204"/>
      <c r="F204"/>
      <c r="G204"/>
      <c r="H204"/>
    </row>
    <row r="205" spans="5:8" ht="12.75">
      <c r="E205"/>
      <c r="F205"/>
      <c r="G205"/>
      <c r="H205"/>
    </row>
    <row r="206" spans="5:8" ht="12.75">
      <c r="E206"/>
      <c r="F206"/>
      <c r="G206"/>
      <c r="H206"/>
    </row>
    <row r="207" ht="12.75">
      <c r="C207" s="17"/>
    </row>
    <row r="208" ht="12.75">
      <c r="C208" s="17"/>
    </row>
    <row r="209" ht="12.75">
      <c r="C209" s="17"/>
    </row>
    <row r="210" spans="3:23" ht="12.75">
      <c r="C210" s="17"/>
      <c r="J210" s="164"/>
      <c r="K210" s="164"/>
      <c r="L210" s="164"/>
      <c r="M210" s="164"/>
      <c r="N210" s="164"/>
      <c r="O210" s="164"/>
      <c r="P210" s="164"/>
      <c r="Q210" s="164"/>
      <c r="R210" s="164"/>
      <c r="S210" s="164"/>
      <c r="T210" s="164"/>
      <c r="U210" s="164"/>
      <c r="V210" s="164"/>
      <c r="W210" s="164"/>
    </row>
    <row r="211" spans="3:8" ht="13.5" thickBot="1">
      <c r="C211" s="4" t="s">
        <v>228</v>
      </c>
      <c r="E211"/>
      <c r="F211"/>
      <c r="G211"/>
      <c r="H211"/>
    </row>
    <row r="212" spans="3:24" ht="13.5" thickBot="1">
      <c r="C212" s="168" t="s">
        <v>4</v>
      </c>
      <c r="D212" s="106">
        <v>2010</v>
      </c>
      <c r="E212" s="106">
        <v>2011</v>
      </c>
      <c r="F212" s="106">
        <v>2012</v>
      </c>
      <c r="G212" s="106">
        <v>2013</v>
      </c>
      <c r="H212" s="106">
        <v>2014</v>
      </c>
      <c r="I212" s="106">
        <v>2015</v>
      </c>
      <c r="J212" s="106">
        <v>2016</v>
      </c>
      <c r="K212" s="106">
        <v>2017</v>
      </c>
      <c r="L212" s="106">
        <v>2018</v>
      </c>
      <c r="M212" s="106">
        <v>2019</v>
      </c>
      <c r="N212" s="106">
        <v>2020</v>
      </c>
      <c r="O212" s="106">
        <v>2021</v>
      </c>
      <c r="P212" s="106">
        <v>2022</v>
      </c>
      <c r="Q212" s="106">
        <v>2023</v>
      </c>
      <c r="R212" s="106">
        <v>2024</v>
      </c>
      <c r="S212" s="106">
        <v>2025</v>
      </c>
      <c r="T212" s="106">
        <v>2026</v>
      </c>
      <c r="U212" s="106">
        <v>2027</v>
      </c>
      <c r="V212" s="106">
        <v>2028</v>
      </c>
      <c r="W212" s="106">
        <v>2029</v>
      </c>
      <c r="X212" s="169" t="s">
        <v>231</v>
      </c>
    </row>
    <row r="213" spans="3:24" ht="12.75">
      <c r="C213" s="166" t="s">
        <v>5</v>
      </c>
      <c r="D213" s="282">
        <v>24.888243298860587</v>
      </c>
      <c r="E213" s="282">
        <v>24.1</v>
      </c>
      <c r="F213" s="282">
        <v>23.5</v>
      </c>
      <c r="G213" s="282">
        <v>23.1</v>
      </c>
      <c r="H213" s="283">
        <v>22.8</v>
      </c>
      <c r="I213" s="283">
        <v>31</v>
      </c>
      <c r="J213" s="283">
        <v>28.7</v>
      </c>
      <c r="K213" s="283">
        <v>28.1</v>
      </c>
      <c r="L213" s="283">
        <v>27.9</v>
      </c>
      <c r="M213" s="283">
        <v>27.6</v>
      </c>
      <c r="N213" s="283">
        <v>30.9</v>
      </c>
      <c r="O213" s="283">
        <v>29.8</v>
      </c>
      <c r="P213" s="284">
        <v>35.5</v>
      </c>
      <c r="Q213" s="284">
        <v>33.1</v>
      </c>
      <c r="R213" s="284">
        <v>24</v>
      </c>
      <c r="S213" s="284">
        <v>25.7</v>
      </c>
      <c r="T213" s="284">
        <v>17.1</v>
      </c>
      <c r="U213" s="284">
        <v>8.3</v>
      </c>
      <c r="V213" s="284">
        <v>4.5</v>
      </c>
      <c r="W213" s="285">
        <v>3.1</v>
      </c>
      <c r="X213" s="167">
        <f>SUM(D213:W213)</f>
        <v>473.68824329886064</v>
      </c>
    </row>
    <row r="214" spans="3:24" ht="12.75">
      <c r="C214" s="5" t="s">
        <v>6</v>
      </c>
      <c r="D214" s="2">
        <v>90.39916428918887</v>
      </c>
      <c r="E214" s="2">
        <v>85.3</v>
      </c>
      <c r="F214" s="2">
        <v>80.6</v>
      </c>
      <c r="G214" s="2">
        <v>76.4</v>
      </c>
      <c r="H214" s="286">
        <v>72.6</v>
      </c>
      <c r="I214" s="286">
        <v>41.6</v>
      </c>
      <c r="J214" s="286">
        <v>41.9</v>
      </c>
      <c r="K214" s="286">
        <v>41.6</v>
      </c>
      <c r="L214" s="286">
        <v>41.3</v>
      </c>
      <c r="M214" s="286">
        <v>40.9</v>
      </c>
      <c r="N214" s="286">
        <v>50.6</v>
      </c>
      <c r="O214" s="286">
        <v>51</v>
      </c>
      <c r="P214" s="287">
        <v>62.5</v>
      </c>
      <c r="Q214" s="287">
        <v>62.1</v>
      </c>
      <c r="R214" s="287">
        <v>45.1</v>
      </c>
      <c r="S214" s="287">
        <v>0</v>
      </c>
      <c r="T214" s="287">
        <v>0</v>
      </c>
      <c r="U214" s="287">
        <v>0</v>
      </c>
      <c r="V214" s="287">
        <v>0</v>
      </c>
      <c r="W214" s="288">
        <v>0</v>
      </c>
      <c r="X214" s="165">
        <f aca="true" t="shared" si="46" ref="X214:X220">SUM(D214:W214)</f>
        <v>883.8991642891889</v>
      </c>
    </row>
    <row r="215" spans="3:24" ht="12.75">
      <c r="C215" s="5" t="s">
        <v>7</v>
      </c>
      <c r="D215" s="2">
        <v>31.267983523806844</v>
      </c>
      <c r="E215" s="2">
        <v>33.6</v>
      </c>
      <c r="F215" s="2">
        <v>35.7</v>
      </c>
      <c r="G215" s="2">
        <v>37.5</v>
      </c>
      <c r="H215" s="286">
        <v>39.1</v>
      </c>
      <c r="I215" s="286">
        <v>52.8</v>
      </c>
      <c r="J215" s="286">
        <v>53.2</v>
      </c>
      <c r="K215" s="286">
        <v>52.9</v>
      </c>
      <c r="L215" s="286">
        <v>52.4</v>
      </c>
      <c r="M215" s="286">
        <v>52</v>
      </c>
      <c r="N215" s="286">
        <v>40.4</v>
      </c>
      <c r="O215" s="286">
        <v>40.8</v>
      </c>
      <c r="P215" s="287">
        <v>38</v>
      </c>
      <c r="Q215" s="287">
        <v>37.7</v>
      </c>
      <c r="R215" s="287">
        <v>27.4</v>
      </c>
      <c r="S215" s="287">
        <v>33.3</v>
      </c>
      <c r="T215" s="287">
        <v>23.6</v>
      </c>
      <c r="U215" s="287">
        <v>18.5</v>
      </c>
      <c r="V215" s="287">
        <v>15.2</v>
      </c>
      <c r="W215" s="288">
        <v>13.8</v>
      </c>
      <c r="X215" s="165">
        <f t="shared" si="46"/>
        <v>729.1679835238067</v>
      </c>
    </row>
    <row r="216" spans="3:24" ht="12.75">
      <c r="C216" s="5" t="s">
        <v>8</v>
      </c>
      <c r="D216" s="2">
        <v>8.480105899577973</v>
      </c>
      <c r="E216" s="2">
        <v>8</v>
      </c>
      <c r="F216" s="2">
        <v>7.6</v>
      </c>
      <c r="G216" s="2">
        <v>7.2</v>
      </c>
      <c r="H216" s="286">
        <v>6.8</v>
      </c>
      <c r="I216" s="286">
        <v>8.9</v>
      </c>
      <c r="J216" s="286">
        <v>9</v>
      </c>
      <c r="K216" s="286">
        <v>8.9</v>
      </c>
      <c r="L216" s="286">
        <v>8.8</v>
      </c>
      <c r="M216" s="286">
        <v>8.7</v>
      </c>
      <c r="N216" s="286">
        <v>0</v>
      </c>
      <c r="O216" s="289">
        <v>0</v>
      </c>
      <c r="P216" s="2">
        <v>0</v>
      </c>
      <c r="Q216" s="287">
        <v>0</v>
      </c>
      <c r="R216" s="2">
        <v>0</v>
      </c>
      <c r="S216" s="287">
        <v>0</v>
      </c>
      <c r="T216" s="2">
        <v>0</v>
      </c>
      <c r="U216" s="287">
        <v>0</v>
      </c>
      <c r="V216" s="2">
        <v>0</v>
      </c>
      <c r="W216" s="288">
        <v>0</v>
      </c>
      <c r="X216" s="165">
        <f t="shared" si="46"/>
        <v>82.38010589957797</v>
      </c>
    </row>
    <row r="217" spans="3:24" ht="12.75">
      <c r="C217" s="5" t="s">
        <v>230</v>
      </c>
      <c r="D217" s="2">
        <v>4.519116577499814</v>
      </c>
      <c r="E217" s="2">
        <v>8.5</v>
      </c>
      <c r="F217" s="2">
        <v>12.1</v>
      </c>
      <c r="G217" s="2">
        <v>15.3</v>
      </c>
      <c r="H217" s="286">
        <v>18.1</v>
      </c>
      <c r="I217" s="286">
        <v>25.2</v>
      </c>
      <c r="J217" s="286">
        <v>26.8</v>
      </c>
      <c r="K217" s="286">
        <v>28</v>
      </c>
      <c r="L217" s="286">
        <v>29.1</v>
      </c>
      <c r="M217" s="286">
        <v>30.2</v>
      </c>
      <c r="N217" s="286">
        <v>37.3</v>
      </c>
      <c r="O217" s="289">
        <v>37.7</v>
      </c>
      <c r="P217" s="2">
        <v>23</v>
      </c>
      <c r="Q217" s="287">
        <v>22.9</v>
      </c>
      <c r="R217" s="2">
        <v>16.6</v>
      </c>
      <c r="S217" s="287">
        <v>20.2</v>
      </c>
      <c r="T217" s="2">
        <v>14.3</v>
      </c>
      <c r="U217" s="287">
        <v>11.2</v>
      </c>
      <c r="V217" s="2">
        <v>9.2</v>
      </c>
      <c r="W217" s="288">
        <v>8.4</v>
      </c>
      <c r="X217" s="165">
        <f t="shared" si="46"/>
        <v>398.6191165774997</v>
      </c>
    </row>
    <row r="218" spans="3:24" ht="12.75">
      <c r="C218" s="5" t="s">
        <v>9</v>
      </c>
      <c r="D218" s="2">
        <v>17.548027021855678</v>
      </c>
      <c r="E218" s="2">
        <v>26.177720697454756</v>
      </c>
      <c r="F218" s="2">
        <v>33.8372003136464</v>
      </c>
      <c r="G218" s="2">
        <v>40.85193385946906</v>
      </c>
      <c r="H218" s="286">
        <v>46.154929753360356</v>
      </c>
      <c r="I218" s="2">
        <v>46.97333864975306</v>
      </c>
      <c r="J218" s="2">
        <v>54.82132020680729</v>
      </c>
      <c r="K218" s="2">
        <v>58.84513430785041</v>
      </c>
      <c r="L218" s="2">
        <v>49.59667670234145</v>
      </c>
      <c r="M218" s="2">
        <v>51.061013923036775</v>
      </c>
      <c r="N218" s="2">
        <v>51.82304713432167</v>
      </c>
      <c r="O218" s="2">
        <v>48.60796776228334</v>
      </c>
      <c r="P218" s="2">
        <v>46.22139526053487</v>
      </c>
      <c r="Q218" s="2">
        <v>43.88406751610378</v>
      </c>
      <c r="R218" s="2">
        <v>41.774694007506724</v>
      </c>
      <c r="S218" s="2">
        <v>42.72391876535646</v>
      </c>
      <c r="T218" s="2">
        <v>41.50238622041134</v>
      </c>
      <c r="U218" s="2">
        <v>43.159203571740015</v>
      </c>
      <c r="V218" s="2">
        <v>40.679725525410205</v>
      </c>
      <c r="W218" s="286">
        <v>34.231825852811106</v>
      </c>
      <c r="X218" s="165">
        <f t="shared" si="46"/>
        <v>860.4755270520546</v>
      </c>
    </row>
    <row r="219" spans="3:24" ht="12.75">
      <c r="C219" s="6" t="s">
        <v>10</v>
      </c>
      <c r="D219" s="290">
        <v>22.897359389210248</v>
      </c>
      <c r="E219" s="290">
        <v>34.32227930254524</v>
      </c>
      <c r="F219" s="290">
        <v>46.662799686353594</v>
      </c>
      <c r="G219" s="290">
        <v>59.64806614053094</v>
      </c>
      <c r="H219" s="291">
        <v>74.44507024663963</v>
      </c>
      <c r="I219" s="2">
        <v>83.52666135024697</v>
      </c>
      <c r="J219" s="2">
        <v>105.57867979319269</v>
      </c>
      <c r="K219" s="2">
        <v>121.65486569214958</v>
      </c>
      <c r="L219" s="2">
        <v>140.90332329765855</v>
      </c>
      <c r="M219" s="2">
        <v>149.53898607696325</v>
      </c>
      <c r="N219" s="2">
        <v>153.97695286567836</v>
      </c>
      <c r="O219" s="2">
        <v>157.09203223771664</v>
      </c>
      <c r="P219" s="2">
        <v>159.77860473946512</v>
      </c>
      <c r="Q219" s="2">
        <v>160.3159324838962</v>
      </c>
      <c r="R219" s="2">
        <v>155.12530599249328</v>
      </c>
      <c r="S219" s="2">
        <v>158.07608123464357</v>
      </c>
      <c r="T219" s="2">
        <v>153.49761377958865</v>
      </c>
      <c r="U219" s="2">
        <v>158.84079642825998</v>
      </c>
      <c r="V219" s="2">
        <v>160.42027447458977</v>
      </c>
      <c r="W219" s="286">
        <v>160.4681741471889</v>
      </c>
      <c r="X219" s="165">
        <f t="shared" si="46"/>
        <v>2416.7698593590117</v>
      </c>
    </row>
    <row r="220" spans="3:24" ht="13.5" thickBot="1">
      <c r="C220" s="31" t="s">
        <v>11</v>
      </c>
      <c r="D220" s="292">
        <v>200</v>
      </c>
      <c r="E220" s="292">
        <v>220</v>
      </c>
      <c r="F220" s="292">
        <v>240</v>
      </c>
      <c r="G220" s="292">
        <v>260</v>
      </c>
      <c r="H220" s="293">
        <v>280</v>
      </c>
      <c r="I220" s="293">
        <v>290</v>
      </c>
      <c r="J220" s="293">
        <v>320</v>
      </c>
      <c r="K220" s="293">
        <v>340</v>
      </c>
      <c r="L220" s="293">
        <v>350</v>
      </c>
      <c r="M220" s="293">
        <v>360</v>
      </c>
      <c r="N220" s="293">
        <v>365</v>
      </c>
      <c r="O220" s="293">
        <v>365</v>
      </c>
      <c r="P220" s="293">
        <v>365</v>
      </c>
      <c r="Q220" s="293">
        <v>360</v>
      </c>
      <c r="R220" s="293">
        <v>310</v>
      </c>
      <c r="S220" s="293">
        <v>280</v>
      </c>
      <c r="T220" s="293">
        <v>250</v>
      </c>
      <c r="U220" s="293">
        <v>240</v>
      </c>
      <c r="V220" s="293">
        <v>230</v>
      </c>
      <c r="W220" s="293">
        <v>220</v>
      </c>
      <c r="X220" s="114">
        <f t="shared" si="46"/>
        <v>5845</v>
      </c>
    </row>
    <row r="221" spans="3:24" ht="13.5" thickBot="1">
      <c r="C221" s="7"/>
      <c r="D221" s="8"/>
      <c r="E221" s="8"/>
      <c r="F221" s="8"/>
      <c r="G221" s="8"/>
      <c r="H221" s="9"/>
      <c r="N221" s="9"/>
      <c r="X221" s="9"/>
    </row>
    <row r="222" spans="3:24" ht="12.75">
      <c r="C222" s="294" t="s">
        <v>4</v>
      </c>
      <c r="D222" s="295">
        <v>2010</v>
      </c>
      <c r="E222" s="295">
        <v>2011</v>
      </c>
      <c r="F222" s="295">
        <v>2012</v>
      </c>
      <c r="G222" s="295">
        <v>2013</v>
      </c>
      <c r="H222" s="295">
        <v>2014</v>
      </c>
      <c r="I222" s="295">
        <v>2015</v>
      </c>
      <c r="J222" s="295">
        <v>2016</v>
      </c>
      <c r="K222" s="295">
        <v>2017</v>
      </c>
      <c r="L222" s="295">
        <v>2018</v>
      </c>
      <c r="M222" s="295">
        <v>2019</v>
      </c>
      <c r="N222" s="295">
        <v>2020</v>
      </c>
      <c r="O222" s="295">
        <v>2021</v>
      </c>
      <c r="P222" s="295">
        <v>2022</v>
      </c>
      <c r="Q222" s="295">
        <v>2023</v>
      </c>
      <c r="R222" s="295">
        <v>2024</v>
      </c>
      <c r="S222" s="295">
        <v>2025</v>
      </c>
      <c r="T222" s="295">
        <v>2026</v>
      </c>
      <c r="U222" s="295">
        <v>2027</v>
      </c>
      <c r="V222" s="295">
        <v>2028</v>
      </c>
      <c r="W222" s="295">
        <v>2029</v>
      </c>
      <c r="X222" s="296" t="s">
        <v>231</v>
      </c>
    </row>
    <row r="223" spans="3:24" ht="12.75">
      <c r="C223" s="1" t="s">
        <v>1</v>
      </c>
      <c r="D223" s="2">
        <f>D214+D219</f>
        <v>113.29652367839913</v>
      </c>
      <c r="E223" s="2">
        <f aca="true" t="shared" si="47" ref="E223:X223">E214+E219</f>
        <v>119.62227930254524</v>
      </c>
      <c r="F223" s="2">
        <f t="shared" si="47"/>
        <v>127.26279968635359</v>
      </c>
      <c r="G223" s="2">
        <f t="shared" si="47"/>
        <v>136.04806614053095</v>
      </c>
      <c r="H223" s="2">
        <f t="shared" si="47"/>
        <v>147.04507024663963</v>
      </c>
      <c r="I223" s="2">
        <f t="shared" si="47"/>
        <v>125.12666135024696</v>
      </c>
      <c r="J223" s="2">
        <f t="shared" si="47"/>
        <v>147.4786797931927</v>
      </c>
      <c r="K223" s="2">
        <f t="shared" si="47"/>
        <v>163.2548656921496</v>
      </c>
      <c r="L223" s="2">
        <f t="shared" si="47"/>
        <v>182.20332329765853</v>
      </c>
      <c r="M223" s="2">
        <f t="shared" si="47"/>
        <v>190.43898607696326</v>
      </c>
      <c r="N223" s="2">
        <f t="shared" si="47"/>
        <v>204.57695286567835</v>
      </c>
      <c r="O223" s="2">
        <f t="shared" si="47"/>
        <v>208.09203223771664</v>
      </c>
      <c r="P223" s="2">
        <f t="shared" si="47"/>
        <v>222.27860473946512</v>
      </c>
      <c r="Q223" s="2">
        <f t="shared" si="47"/>
        <v>222.4159324838962</v>
      </c>
      <c r="R223" s="2">
        <f t="shared" si="47"/>
        <v>200.22530599249328</v>
      </c>
      <c r="S223" s="2">
        <f t="shared" si="47"/>
        <v>158.07608123464357</v>
      </c>
      <c r="T223" s="2">
        <f t="shared" si="47"/>
        <v>153.49761377958865</v>
      </c>
      <c r="U223" s="2">
        <f t="shared" si="47"/>
        <v>158.84079642825998</v>
      </c>
      <c r="V223" s="2">
        <f t="shared" si="47"/>
        <v>160.42027447458977</v>
      </c>
      <c r="W223" s="2">
        <f t="shared" si="47"/>
        <v>160.4681741471889</v>
      </c>
      <c r="X223" s="2">
        <f t="shared" si="47"/>
        <v>3300.6690236482004</v>
      </c>
    </row>
    <row r="224" spans="3:24" ht="12.75">
      <c r="C224" s="1" t="s">
        <v>12</v>
      </c>
      <c r="D224" s="2">
        <f>D213+D218</f>
        <v>42.43627032071626</v>
      </c>
      <c r="E224" s="2">
        <f aca="true" t="shared" si="48" ref="E224:X224">E213+E218</f>
        <v>50.277720697454754</v>
      </c>
      <c r="F224" s="2">
        <f t="shared" si="48"/>
        <v>57.3372003136464</v>
      </c>
      <c r="G224" s="2">
        <f t="shared" si="48"/>
        <v>63.95193385946906</v>
      </c>
      <c r="H224" s="2">
        <f t="shared" si="48"/>
        <v>68.95492975336036</v>
      </c>
      <c r="I224" s="2">
        <f t="shared" si="48"/>
        <v>77.97333864975306</v>
      </c>
      <c r="J224" s="2">
        <f t="shared" si="48"/>
        <v>83.52132020680729</v>
      </c>
      <c r="K224" s="2">
        <f t="shared" si="48"/>
        <v>86.94513430785041</v>
      </c>
      <c r="L224" s="2">
        <f t="shared" si="48"/>
        <v>77.49667670234145</v>
      </c>
      <c r="M224" s="2">
        <f t="shared" si="48"/>
        <v>78.66101392303678</v>
      </c>
      <c r="N224" s="2">
        <f t="shared" si="48"/>
        <v>82.72304713432166</v>
      </c>
      <c r="O224" s="2">
        <f t="shared" si="48"/>
        <v>78.40796776228333</v>
      </c>
      <c r="P224" s="2">
        <f t="shared" si="48"/>
        <v>81.72139526053488</v>
      </c>
      <c r="Q224" s="2">
        <f t="shared" si="48"/>
        <v>76.98406751610378</v>
      </c>
      <c r="R224" s="2">
        <f t="shared" si="48"/>
        <v>65.77469400750672</v>
      </c>
      <c r="S224" s="2">
        <f t="shared" si="48"/>
        <v>68.42391876535646</v>
      </c>
      <c r="T224" s="2">
        <f t="shared" si="48"/>
        <v>58.60238622041134</v>
      </c>
      <c r="U224" s="2">
        <f t="shared" si="48"/>
        <v>51.45920357174002</v>
      </c>
      <c r="V224" s="2">
        <f t="shared" si="48"/>
        <v>45.179725525410205</v>
      </c>
      <c r="W224" s="2">
        <f t="shared" si="48"/>
        <v>37.33182585281111</v>
      </c>
      <c r="X224" s="2">
        <f t="shared" si="48"/>
        <v>1334.1637703509152</v>
      </c>
    </row>
    <row r="225" spans="3:24" ht="12.75">
      <c r="C225" s="1" t="s">
        <v>3</v>
      </c>
      <c r="D225" s="2">
        <f>D215</f>
        <v>31.267983523806844</v>
      </c>
      <c r="E225" s="2">
        <f aca="true" t="shared" si="49" ref="E225:X225">E215</f>
        <v>33.6</v>
      </c>
      <c r="F225" s="2">
        <f t="shared" si="49"/>
        <v>35.7</v>
      </c>
      <c r="G225" s="2">
        <f t="shared" si="49"/>
        <v>37.5</v>
      </c>
      <c r="H225" s="2">
        <f t="shared" si="49"/>
        <v>39.1</v>
      </c>
      <c r="I225" s="2">
        <f t="shared" si="49"/>
        <v>52.8</v>
      </c>
      <c r="J225" s="2">
        <f t="shared" si="49"/>
        <v>53.2</v>
      </c>
      <c r="K225" s="2">
        <f t="shared" si="49"/>
        <v>52.9</v>
      </c>
      <c r="L225" s="2">
        <f t="shared" si="49"/>
        <v>52.4</v>
      </c>
      <c r="M225" s="2">
        <f t="shared" si="49"/>
        <v>52</v>
      </c>
      <c r="N225" s="2">
        <f t="shared" si="49"/>
        <v>40.4</v>
      </c>
      <c r="O225" s="2">
        <f t="shared" si="49"/>
        <v>40.8</v>
      </c>
      <c r="P225" s="2">
        <f t="shared" si="49"/>
        <v>38</v>
      </c>
      <c r="Q225" s="2">
        <f t="shared" si="49"/>
        <v>37.7</v>
      </c>
      <c r="R225" s="2">
        <f t="shared" si="49"/>
        <v>27.4</v>
      </c>
      <c r="S225" s="2">
        <f t="shared" si="49"/>
        <v>33.3</v>
      </c>
      <c r="T225" s="2">
        <f t="shared" si="49"/>
        <v>23.6</v>
      </c>
      <c r="U225" s="2">
        <f t="shared" si="49"/>
        <v>18.5</v>
      </c>
      <c r="V225" s="2">
        <f t="shared" si="49"/>
        <v>15.2</v>
      </c>
      <c r="W225" s="2">
        <f t="shared" si="49"/>
        <v>13.8</v>
      </c>
      <c r="X225" s="2">
        <f t="shared" si="49"/>
        <v>729.1679835238067</v>
      </c>
    </row>
    <row r="226" spans="3:24" ht="12.75">
      <c r="C226" s="1" t="s">
        <v>15</v>
      </c>
      <c r="D226" s="2">
        <f>D216</f>
        <v>8.480105899577973</v>
      </c>
      <c r="E226" s="2">
        <f aca="true" t="shared" si="50" ref="E226:X227">E216</f>
        <v>8</v>
      </c>
      <c r="F226" s="2">
        <f t="shared" si="50"/>
        <v>7.6</v>
      </c>
      <c r="G226" s="2">
        <f t="shared" si="50"/>
        <v>7.2</v>
      </c>
      <c r="H226" s="2">
        <f t="shared" si="50"/>
        <v>6.8</v>
      </c>
      <c r="I226" s="2">
        <f t="shared" si="50"/>
        <v>8.9</v>
      </c>
      <c r="J226" s="2">
        <f t="shared" si="50"/>
        <v>9</v>
      </c>
      <c r="K226" s="2">
        <f t="shared" si="50"/>
        <v>8.9</v>
      </c>
      <c r="L226" s="2">
        <f t="shared" si="50"/>
        <v>8.8</v>
      </c>
      <c r="M226" s="2">
        <f t="shared" si="50"/>
        <v>8.7</v>
      </c>
      <c r="N226" s="2">
        <f t="shared" si="50"/>
        <v>0</v>
      </c>
      <c r="O226" s="2">
        <f t="shared" si="50"/>
        <v>0</v>
      </c>
      <c r="P226" s="2">
        <f t="shared" si="50"/>
        <v>0</v>
      </c>
      <c r="Q226" s="2">
        <f t="shared" si="50"/>
        <v>0</v>
      </c>
      <c r="R226" s="2">
        <f t="shared" si="50"/>
        <v>0</v>
      </c>
      <c r="S226" s="2">
        <f t="shared" si="50"/>
        <v>0</v>
      </c>
      <c r="T226" s="2">
        <f t="shared" si="50"/>
        <v>0</v>
      </c>
      <c r="U226" s="2">
        <f t="shared" si="50"/>
        <v>0</v>
      </c>
      <c r="V226" s="2">
        <f t="shared" si="50"/>
        <v>0</v>
      </c>
      <c r="W226" s="2">
        <f t="shared" si="50"/>
        <v>0</v>
      </c>
      <c r="X226" s="2">
        <f t="shared" si="50"/>
        <v>82.38010589957797</v>
      </c>
    </row>
    <row r="227" spans="3:24" ht="12.75">
      <c r="C227" s="1" t="s">
        <v>229</v>
      </c>
      <c r="D227" s="2">
        <f>D217</f>
        <v>4.519116577499814</v>
      </c>
      <c r="E227" s="2">
        <f aca="true" t="shared" si="51" ref="E227:X227">E217</f>
        <v>8.5</v>
      </c>
      <c r="F227" s="2">
        <f t="shared" si="51"/>
        <v>12.1</v>
      </c>
      <c r="G227" s="2">
        <f t="shared" si="51"/>
        <v>15.3</v>
      </c>
      <c r="H227" s="2">
        <f t="shared" si="51"/>
        <v>18.1</v>
      </c>
      <c r="I227" s="2">
        <f t="shared" si="51"/>
        <v>25.2</v>
      </c>
      <c r="J227" s="2">
        <f t="shared" si="51"/>
        <v>26.8</v>
      </c>
      <c r="K227" s="2">
        <f t="shared" si="51"/>
        <v>28</v>
      </c>
      <c r="L227" s="2">
        <f t="shared" si="51"/>
        <v>29.1</v>
      </c>
      <c r="M227" s="2">
        <f t="shared" si="51"/>
        <v>30.2</v>
      </c>
      <c r="N227" s="2">
        <f t="shared" si="51"/>
        <v>37.3</v>
      </c>
      <c r="O227" s="2">
        <f t="shared" si="51"/>
        <v>37.7</v>
      </c>
      <c r="P227" s="2">
        <f t="shared" si="51"/>
        <v>23</v>
      </c>
      <c r="Q227" s="2">
        <f t="shared" si="51"/>
        <v>22.9</v>
      </c>
      <c r="R227" s="2">
        <f t="shared" si="51"/>
        <v>16.6</v>
      </c>
      <c r="S227" s="2">
        <f t="shared" si="51"/>
        <v>20.2</v>
      </c>
      <c r="T227" s="2">
        <f t="shared" si="51"/>
        <v>14.3</v>
      </c>
      <c r="U227" s="2">
        <f t="shared" si="51"/>
        <v>11.2</v>
      </c>
      <c r="V227" s="2">
        <f t="shared" si="51"/>
        <v>9.2</v>
      </c>
      <c r="W227" s="2">
        <f t="shared" si="51"/>
        <v>8.4</v>
      </c>
      <c r="X227" s="2">
        <f t="shared" si="50"/>
        <v>398.6191165774997</v>
      </c>
    </row>
    <row r="228" spans="3:24" ht="12.75">
      <c r="C228" s="297" t="s">
        <v>16</v>
      </c>
      <c r="D228" s="298">
        <f>SUM(D223:D227)</f>
        <v>200</v>
      </c>
      <c r="E228" s="298">
        <f aca="true" t="shared" si="52" ref="E228:X228">SUM(E223:E227)</f>
        <v>219.99999999999997</v>
      </c>
      <c r="F228" s="298">
        <f t="shared" si="52"/>
        <v>240</v>
      </c>
      <c r="G228" s="298">
        <f t="shared" si="52"/>
        <v>260</v>
      </c>
      <c r="H228" s="298">
        <f t="shared" si="52"/>
        <v>280</v>
      </c>
      <c r="I228" s="298">
        <f t="shared" si="52"/>
        <v>290</v>
      </c>
      <c r="J228" s="298">
        <f t="shared" si="52"/>
        <v>320</v>
      </c>
      <c r="K228" s="298">
        <f t="shared" si="52"/>
        <v>339.99999999999994</v>
      </c>
      <c r="L228" s="298">
        <f t="shared" si="52"/>
        <v>350</v>
      </c>
      <c r="M228" s="298">
        <f t="shared" si="52"/>
        <v>360</v>
      </c>
      <c r="N228" s="298">
        <f t="shared" si="52"/>
        <v>365</v>
      </c>
      <c r="O228" s="298">
        <f t="shared" si="52"/>
        <v>365</v>
      </c>
      <c r="P228" s="298">
        <f t="shared" si="52"/>
        <v>365</v>
      </c>
      <c r="Q228" s="298">
        <f t="shared" si="52"/>
        <v>359.99999999999994</v>
      </c>
      <c r="R228" s="298">
        <f t="shared" si="52"/>
        <v>310</v>
      </c>
      <c r="S228" s="298">
        <f t="shared" si="52"/>
        <v>280</v>
      </c>
      <c r="T228" s="298">
        <f t="shared" si="52"/>
        <v>250</v>
      </c>
      <c r="U228" s="298">
        <f t="shared" si="52"/>
        <v>240</v>
      </c>
      <c r="V228" s="298">
        <f t="shared" si="52"/>
        <v>229.99999999999994</v>
      </c>
      <c r="W228" s="298">
        <f t="shared" si="52"/>
        <v>220.00000000000003</v>
      </c>
      <c r="X228" s="298">
        <f t="shared" si="52"/>
        <v>5845</v>
      </c>
    </row>
    <row r="229" spans="5:8" ht="12.75">
      <c r="E229"/>
      <c r="F229"/>
      <c r="G229"/>
      <c r="H229"/>
    </row>
    <row r="230" spans="3:14" ht="12.75">
      <c r="C230" s="1" t="s">
        <v>5</v>
      </c>
      <c r="D230" s="2">
        <f>D213</f>
        <v>24.888243298860587</v>
      </c>
      <c r="E230" s="2">
        <f aca="true" t="shared" si="53" ref="E230:N230">E213</f>
        <v>24.1</v>
      </c>
      <c r="F230" s="2">
        <f t="shared" si="53"/>
        <v>23.5</v>
      </c>
      <c r="G230" s="2">
        <f t="shared" si="53"/>
        <v>23.1</v>
      </c>
      <c r="H230" s="2">
        <f t="shared" si="53"/>
        <v>22.8</v>
      </c>
      <c r="I230" s="2">
        <f t="shared" si="53"/>
        <v>31</v>
      </c>
      <c r="J230" s="2">
        <f t="shared" si="53"/>
        <v>28.7</v>
      </c>
      <c r="K230" s="2">
        <f t="shared" si="53"/>
        <v>28.1</v>
      </c>
      <c r="L230" s="2">
        <f t="shared" si="53"/>
        <v>27.9</v>
      </c>
      <c r="M230" s="2">
        <f t="shared" si="53"/>
        <v>27.6</v>
      </c>
      <c r="N230" s="2">
        <f t="shared" si="53"/>
        <v>30.9</v>
      </c>
    </row>
    <row r="231" spans="3:14" ht="12.75">
      <c r="C231" s="1" t="s">
        <v>9</v>
      </c>
      <c r="D231" s="2">
        <f>D218</f>
        <v>17.548027021855678</v>
      </c>
      <c r="E231" s="2">
        <f aca="true" t="shared" si="54" ref="E231:N231">E218</f>
        <v>26.177720697454756</v>
      </c>
      <c r="F231" s="2">
        <f t="shared" si="54"/>
        <v>33.8372003136464</v>
      </c>
      <c r="G231" s="2">
        <f t="shared" si="54"/>
        <v>40.85193385946906</v>
      </c>
      <c r="H231" s="2">
        <f t="shared" si="54"/>
        <v>46.154929753360356</v>
      </c>
      <c r="I231" s="2">
        <f t="shared" si="54"/>
        <v>46.97333864975306</v>
      </c>
      <c r="J231" s="2">
        <f t="shared" si="54"/>
        <v>54.82132020680729</v>
      </c>
      <c r="K231" s="2">
        <f t="shared" si="54"/>
        <v>58.84513430785041</v>
      </c>
      <c r="L231" s="2">
        <f t="shared" si="54"/>
        <v>49.59667670234145</v>
      </c>
      <c r="M231" s="2">
        <f t="shared" si="54"/>
        <v>51.061013923036775</v>
      </c>
      <c r="N231" s="2">
        <f t="shared" si="54"/>
        <v>51.82304713432167</v>
      </c>
    </row>
    <row r="232" spans="3:14" ht="12.75">
      <c r="C232" s="1" t="s">
        <v>6</v>
      </c>
      <c r="D232" s="2">
        <f>D214</f>
        <v>90.39916428918887</v>
      </c>
      <c r="E232" s="2">
        <f aca="true" t="shared" si="55" ref="E232:N232">E214</f>
        <v>85.3</v>
      </c>
      <c r="F232" s="2">
        <f t="shared" si="55"/>
        <v>80.6</v>
      </c>
      <c r="G232" s="2">
        <f t="shared" si="55"/>
        <v>76.4</v>
      </c>
      <c r="H232" s="2">
        <f t="shared" si="55"/>
        <v>72.6</v>
      </c>
      <c r="I232" s="2">
        <f t="shared" si="55"/>
        <v>41.6</v>
      </c>
      <c r="J232" s="2">
        <f t="shared" si="55"/>
        <v>41.9</v>
      </c>
      <c r="K232" s="2">
        <f t="shared" si="55"/>
        <v>41.6</v>
      </c>
      <c r="L232" s="2">
        <f t="shared" si="55"/>
        <v>41.3</v>
      </c>
      <c r="M232" s="2">
        <f t="shared" si="55"/>
        <v>40.9</v>
      </c>
      <c r="N232" s="2">
        <f t="shared" si="55"/>
        <v>50.6</v>
      </c>
    </row>
    <row r="233" spans="3:14" ht="12.75">
      <c r="C233" s="1" t="s">
        <v>10</v>
      </c>
      <c r="D233" s="2">
        <f>D219</f>
        <v>22.897359389210248</v>
      </c>
      <c r="E233" s="2">
        <f aca="true" t="shared" si="56" ref="E233:N233">E219</f>
        <v>34.32227930254524</v>
      </c>
      <c r="F233" s="2">
        <f t="shared" si="56"/>
        <v>46.662799686353594</v>
      </c>
      <c r="G233" s="2">
        <f t="shared" si="56"/>
        <v>59.64806614053094</v>
      </c>
      <c r="H233" s="2">
        <f t="shared" si="56"/>
        <v>74.44507024663963</v>
      </c>
      <c r="I233" s="2">
        <f t="shared" si="56"/>
        <v>83.52666135024697</v>
      </c>
      <c r="J233" s="2">
        <f t="shared" si="56"/>
        <v>105.57867979319269</v>
      </c>
      <c r="K233" s="2">
        <f t="shared" si="56"/>
        <v>121.65486569214958</v>
      </c>
      <c r="L233" s="2">
        <f t="shared" si="56"/>
        <v>140.90332329765855</v>
      </c>
      <c r="M233" s="2">
        <f t="shared" si="56"/>
        <v>149.53898607696325</v>
      </c>
      <c r="N233" s="2">
        <f t="shared" si="56"/>
        <v>153.97695286567836</v>
      </c>
    </row>
    <row r="234" spans="3:14" ht="12.75">
      <c r="C234" s="1" t="s">
        <v>7</v>
      </c>
      <c r="D234" s="2">
        <f>D215</f>
        <v>31.267983523806844</v>
      </c>
      <c r="E234" s="2">
        <f aca="true" t="shared" si="57" ref="E234:N234">E215</f>
        <v>33.6</v>
      </c>
      <c r="F234" s="2">
        <f t="shared" si="57"/>
        <v>35.7</v>
      </c>
      <c r="G234" s="2">
        <f t="shared" si="57"/>
        <v>37.5</v>
      </c>
      <c r="H234" s="2">
        <f t="shared" si="57"/>
        <v>39.1</v>
      </c>
      <c r="I234" s="2">
        <f t="shared" si="57"/>
        <v>52.8</v>
      </c>
      <c r="J234" s="2">
        <f t="shared" si="57"/>
        <v>53.2</v>
      </c>
      <c r="K234" s="2">
        <f t="shared" si="57"/>
        <v>52.9</v>
      </c>
      <c r="L234" s="2">
        <f t="shared" si="57"/>
        <v>52.4</v>
      </c>
      <c r="M234" s="2">
        <f t="shared" si="57"/>
        <v>52</v>
      </c>
      <c r="N234" s="2">
        <f t="shared" si="57"/>
        <v>40.4</v>
      </c>
    </row>
    <row r="235" spans="3:14" ht="12.75">
      <c r="C235" s="1" t="s">
        <v>8</v>
      </c>
      <c r="D235" s="2">
        <f>D226</f>
        <v>8.480105899577973</v>
      </c>
      <c r="E235" s="2">
        <f aca="true" t="shared" si="58" ref="E235:N235">E226</f>
        <v>8</v>
      </c>
      <c r="F235" s="2">
        <f t="shared" si="58"/>
        <v>7.6</v>
      </c>
      <c r="G235" s="2">
        <f t="shared" si="58"/>
        <v>7.2</v>
      </c>
      <c r="H235" s="2">
        <f t="shared" si="58"/>
        <v>6.8</v>
      </c>
      <c r="I235" s="2">
        <f t="shared" si="58"/>
        <v>8.9</v>
      </c>
      <c r="J235" s="2">
        <f t="shared" si="58"/>
        <v>9</v>
      </c>
      <c r="K235" s="2">
        <f t="shared" si="58"/>
        <v>8.9</v>
      </c>
      <c r="L235" s="2">
        <f t="shared" si="58"/>
        <v>8.8</v>
      </c>
      <c r="M235" s="2">
        <f t="shared" si="58"/>
        <v>8.7</v>
      </c>
      <c r="N235" s="2">
        <f t="shared" si="58"/>
        <v>0</v>
      </c>
    </row>
    <row r="236" spans="3:14" ht="12.75">
      <c r="C236" s="1" t="s">
        <v>230</v>
      </c>
      <c r="D236" s="2">
        <f>D217</f>
        <v>4.519116577499814</v>
      </c>
      <c r="E236" s="2">
        <f aca="true" t="shared" si="59" ref="E236:N236">E217</f>
        <v>8.5</v>
      </c>
      <c r="F236" s="2">
        <f t="shared" si="59"/>
        <v>12.1</v>
      </c>
      <c r="G236" s="2">
        <f t="shared" si="59"/>
        <v>15.3</v>
      </c>
      <c r="H236" s="2">
        <f t="shared" si="59"/>
        <v>18.1</v>
      </c>
      <c r="I236" s="2">
        <f t="shared" si="59"/>
        <v>25.2</v>
      </c>
      <c r="J236" s="2">
        <f t="shared" si="59"/>
        <v>26.8</v>
      </c>
      <c r="K236" s="2">
        <f t="shared" si="59"/>
        <v>28</v>
      </c>
      <c r="L236" s="2">
        <f t="shared" si="59"/>
        <v>29.1</v>
      </c>
      <c r="M236" s="2">
        <f t="shared" si="59"/>
        <v>30.2</v>
      </c>
      <c r="N236" s="2">
        <f t="shared" si="59"/>
        <v>37.3</v>
      </c>
    </row>
    <row r="239" ht="12.75">
      <c r="D239" t="s">
        <v>159</v>
      </c>
    </row>
    <row r="240" ht="12.75">
      <c r="D240" t="s">
        <v>19</v>
      </c>
    </row>
    <row r="241" ht="12.75">
      <c r="D241" t="s">
        <v>57</v>
      </c>
    </row>
    <row r="242" ht="12.75">
      <c r="D242" t="s">
        <v>22</v>
      </c>
    </row>
    <row r="243" ht="12.75">
      <c r="D243" t="s">
        <v>14</v>
      </c>
    </row>
  </sheetData>
  <sheetProtection autoFilter="0" pivotTables="0"/>
  <mergeCells count="1">
    <mergeCell ref="I32:AB3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2:B3"/>
  <sheetViews>
    <sheetView workbookViewId="0" topLeftCell="A1">
      <selection activeCell="B2" sqref="B2"/>
    </sheetView>
  </sheetViews>
  <sheetFormatPr defaultColWidth="9.140625" defaultRowHeight="12.75"/>
  <cols>
    <col min="1" max="1" width="28.7109375" style="0" customWidth="1"/>
  </cols>
  <sheetData>
    <row r="2" spans="1:2" ht="12.75">
      <c r="A2" t="s">
        <v>200</v>
      </c>
      <c r="B2" t="s">
        <v>201</v>
      </c>
    </row>
    <row r="3" ht="12.75">
      <c r="A3" t="s">
        <v>202</v>
      </c>
    </row>
  </sheetData>
  <sheetProtection password="C4BA"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NW Power and Conservation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Eckman</dc:creator>
  <cp:keywords/>
  <dc:description/>
  <cp:lastModifiedBy>Tom Eckman</cp:lastModifiedBy>
  <dcterms:created xsi:type="dcterms:W3CDTF">2006-02-10T18:22:05Z</dcterms:created>
  <dcterms:modified xsi:type="dcterms:W3CDTF">2009-09-03T00:28:27Z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Testimony</vt:lpwstr>
  </property>
  <property fmtid="{D5CDD505-2E9C-101B-9397-08002B2CF9AE}" pid="4" name="IsHighlyConfidenti">
    <vt:lpwstr>0</vt:lpwstr>
  </property>
  <property fmtid="{D5CDD505-2E9C-101B-9397-08002B2CF9AE}" pid="5" name="DocketNumb">
    <vt:lpwstr>100177</vt:lpwstr>
  </property>
  <property fmtid="{D5CDD505-2E9C-101B-9397-08002B2CF9AE}" pid="6" name="IsConfidenti">
    <vt:lpwstr>0</vt:lpwstr>
  </property>
  <property fmtid="{D5CDD505-2E9C-101B-9397-08002B2CF9AE}" pid="7" name="Dat">
    <vt:lpwstr>2010-04-19T00:00:00Z</vt:lpwstr>
  </property>
  <property fmtid="{D5CDD505-2E9C-101B-9397-08002B2CF9AE}" pid="8" name="CaseTy">
    <vt:lpwstr>Staff Investigation</vt:lpwstr>
  </property>
  <property fmtid="{D5CDD505-2E9C-101B-9397-08002B2CF9AE}" pid="9" name="OpenedDa">
    <vt:lpwstr>2010-01-29T00:00:00Z</vt:lpwstr>
  </property>
  <property fmtid="{D5CDD505-2E9C-101B-9397-08002B2CF9AE}" pid="10" name="Pref">
    <vt:lpwstr>UE</vt:lpwstr>
  </property>
  <property fmtid="{D5CDD505-2E9C-101B-9397-08002B2CF9AE}" pid="11" name="CaseCompanyNam">
    <vt:lpwstr>Puget Sound Energy</vt:lpwstr>
  </property>
  <property fmtid="{D5CDD505-2E9C-101B-9397-08002B2CF9AE}" pid="12" name="IndustryCo">
    <vt:lpwstr>140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