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35.xml" ContentType="application/vnd.openxmlformats-officedocument.spreadsheetml.worksheet+xml"/>
  <Override PartName="/xl/worksheets/sheet34.xml" ContentType="application/vnd.openxmlformats-officedocument.spreadsheetml.worksheet+xml"/>
  <Override PartName="/xl/worksheets/sheet33.xml" ContentType="application/vnd.openxmlformats-officedocument.spreadsheetml.worksheet+xml"/>
  <Override PartName="/xl/worksheets/sheet32.xml" ContentType="application/vnd.openxmlformats-officedocument.spreadsheetml.worksheet+xml"/>
  <Override PartName="/xl/worksheets/sheet31.xml" ContentType="application/vnd.openxmlformats-officedocument.spreadsheetml.worksheet+xml"/>
  <Override PartName="/xl/worksheets/sheet30.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theme/theme1.xml" ContentType="application/vnd.openxmlformats-officedocument.theme+xml"/>
  <Override PartName="/xl/worksheets/sheet50.xml" ContentType="application/vnd.openxmlformats-officedocument.spreadsheetml.worksheet+xml"/>
  <Override PartName="/xl/worksheets/sheet49.xml" ContentType="application/vnd.openxmlformats-officedocument.spreadsheetml.worksheet+xml"/>
  <Override PartName="/xl/worksheets/sheet48.xml" ContentType="application/vnd.openxmlformats-officedocument.spreadsheetml.worksheet+xml"/>
  <Override PartName="/xl/worksheets/sheet47.xml" ContentType="application/vnd.openxmlformats-officedocument.spreadsheetml.worksheet+xml"/>
  <Override PartName="/xl/worksheets/sheet46.xml" ContentType="application/vnd.openxmlformats-officedocument.spreadsheetml.worksheet+xml"/>
  <Override PartName="/xl/worksheets/sheet45.xml" ContentType="application/vnd.openxmlformats-officedocument.spreadsheetml.worksheet+xml"/>
  <Override PartName="/xl/worksheets/sheet44.xml" ContentType="application/vnd.openxmlformats-officedocument.spreadsheetml.worksheet+xml"/>
  <Override PartName="/xl/worksheets/sheet43.xml" ContentType="application/vnd.openxmlformats-officedocument.spreadsheetml.worksheet+xml"/>
  <Override PartName="/xl/worksheets/sheet29.xml" ContentType="application/vnd.openxmlformats-officedocument.spreadsheetml.worksheet+xml"/>
  <Override PartName="/xl/worksheets/sheet28.xml" ContentType="application/vnd.openxmlformats-officedocument.spreadsheetml.worksheet+xml"/>
  <Override PartName="/xl/worksheets/sheet27.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0.xml" ContentType="application/vnd.openxmlformats-officedocument.spreadsheetml.worksheet+xml"/>
  <Override PartName="/xl/worksheets/sheet9.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sharedStrings.xml" ContentType="application/vnd.openxmlformats-officedocument.spreadsheetml.sharedStrings+xml"/>
  <Override PartName="/xl/worksheets/sheet15.xml" ContentType="application/vnd.openxmlformats-officedocument.spreadsheetml.worksheet+xml"/>
  <Override PartName="/xl/worksheets/sheet17.xml" ContentType="application/vnd.openxmlformats-officedocument.spreadsheetml.worksheet+xml"/>
  <Override PartName="/xl/worksheets/sheet26.xml" ContentType="application/vnd.openxmlformats-officedocument.spreadsheetml.worksheet+xml"/>
  <Override PartName="/xl/worksheets/sheet25.xml" ContentType="application/vnd.openxmlformats-officedocument.spreadsheetml.worksheet+xml"/>
  <Override PartName="/xl/worksheets/sheet24.xml" ContentType="application/vnd.openxmlformats-officedocument.spreadsheetml.worksheet+xml"/>
  <Override PartName="/xl/worksheets/sheet23.xml" ContentType="application/vnd.openxmlformats-officedocument.spreadsheetml.worksheet+xml"/>
  <Override PartName="/xl/worksheets/sheet22.xml" ContentType="application/vnd.openxmlformats-officedocument.spreadsheetml.worksheet+xml"/>
  <Override PartName="/xl/worksheets/sheet21.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16.xml" ContentType="application/vnd.openxmlformats-officedocument.spreadsheetml.workshee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updateLinks="never" codeName="ThisWorkbook" defaultThemeVersion="124226"/>
  <bookViews>
    <workbookView xWindow="-15" yWindow="-45" windowWidth="15450" windowHeight="11640" tabRatio="846"/>
  </bookViews>
  <sheets>
    <sheet name="9.0 - Columnar Summary" sheetId="23" r:id="rId1"/>
    <sheet name="9.1 - Summary " sheetId="17" r:id="rId2"/>
    <sheet name="9.2 - Per Books" sheetId="52" r:id="rId3"/>
    <sheet name="9.2.1 - Per Books" sheetId="19" r:id="rId4"/>
    <sheet name="9.3 - Restating" sheetId="24" r:id="rId5"/>
    <sheet name="9.3.2 - Restating" sheetId="20" r:id="rId6"/>
    <sheet name="9.4 - Pro Forma, No WCA Mods" sheetId="53" r:id="rId7"/>
    <sheet name="9.5 - QFs" sheetId="45" r:id="rId8"/>
    <sheet name="9.5.1 - QFs" sheetId="49" r:id="rId9"/>
    <sheet name="9.6 - ECA Sale" sheetId="46" r:id="rId10"/>
    <sheet name="9.6.1 - ECA Sale" sheetId="50" r:id="rId11"/>
    <sheet name="9.7 - ID P2P" sheetId="47" r:id="rId12"/>
    <sheet name="9.6.1 - ID P2P" sheetId="51" r:id="rId13"/>
    <sheet name="9.8 - Pro Forma Direct" sheetId="25" r:id="rId14"/>
    <sheet name="9.8.1 Pro Forma Direct" sheetId="21" r:id="rId15"/>
    <sheet name="9.9 - Wind Reserve" sheetId="26" r:id="rId16"/>
    <sheet name="9.9.1 - Wind Reserve" sheetId="16" r:id="rId17"/>
    <sheet name="9.10 - Hydro Median" sheetId="27" r:id="rId18"/>
    <sheet name="9.10.1 - Hydro Median" sheetId="2" r:id="rId19"/>
    <sheet name="9.11 - Coal Heat Rate" sheetId="28" r:id="rId20"/>
    <sheet name="9.11.1 - Coal Heat Rate" sheetId="3" r:id="rId21"/>
    <sheet name="9.12 - BPA Exchange" sheetId="29" r:id="rId22"/>
    <sheet name="9.12.1 - BPA Exchange" sheetId="4" r:id="rId23"/>
    <sheet name="9.13 - Chehalis Lateral" sheetId="30" r:id="rId24"/>
    <sheet name="9.13.1 - Chehalis Lateral" sheetId="5" r:id="rId25"/>
    <sheet name="9.14 - Stateline Losses" sheetId="31" r:id="rId26"/>
    <sheet name="9.14.1 - Stateline Losses" sheetId="6" r:id="rId27"/>
    <sheet name="9.15 - PGE Cove" sheetId="32" r:id="rId28"/>
    <sheet name="9.15.1 - PGE Cove" sheetId="7" r:id="rId29"/>
    <sheet name="9.16 - Butter Creek" sheetId="33" r:id="rId30"/>
    <sheet name="9.16.1 - Butter Creek" sheetId="8" r:id="rId31"/>
    <sheet name="9.17 - Small QF" sheetId="34" r:id="rId32"/>
    <sheet name="9.17.1 - Small QF" sheetId="9" r:id="rId33"/>
    <sheet name="9.18 - BPA P2P" sheetId="35" r:id="rId34"/>
    <sheet name="9.18.1 - BPA PTP" sheetId="10" r:id="rId35"/>
    <sheet name="9.19 - ID Trans Rate" sheetId="36" r:id="rId36"/>
    <sheet name="9.19.1 - ID Trans Rate" sheetId="11" r:id="rId37"/>
    <sheet name="9.20 - DPUD" sheetId="37" r:id="rId38"/>
    <sheet name="9.20.1 - DPUD" sheetId="12" r:id="rId39"/>
    <sheet name="9.21 - OFPC" sheetId="38" r:id="rId40"/>
    <sheet name="9.21.1 - OFPC" sheetId="13" r:id="rId41"/>
    <sheet name="9.22 - BPA RoD" sheetId="39" r:id="rId42"/>
    <sheet name="9.22.1 - BPA RoD" sheetId="14" r:id="rId43"/>
    <sheet name="9.23 - Coal Cost" sheetId="40" r:id="rId44"/>
    <sheet name="9.23.1 - Coal Cost" sheetId="15" r:id="rId45"/>
    <sheet name="9.24 - P50 Wind" sheetId="44" r:id="rId46"/>
    <sheet name="9.24.1 - P50 Wind" sheetId="43" r:id="rId47"/>
    <sheet name="9.25 - Interrelated Changes" sheetId="41" r:id="rId48"/>
    <sheet name="9.26 - Pro Forma Rebuttal" sheetId="42" r:id="rId49"/>
    <sheet name="9.26.1 - Pro Forma Rebuttal" sheetId="22" r:id="rId50"/>
  </sheets>
  <definedNames>
    <definedName name="_Order1" hidden="1">255</definedName>
    <definedName name="_Order2" hidden="1">0</definedName>
    <definedName name="_xlnm.Print_Area" localSheetId="0">'9.0 - Columnar Summary'!$A$1:$AJ$86</definedName>
    <definedName name="_xlnm.Print_Area" localSheetId="1">'9.1 - Summary '!$A$1:$CJ$42</definedName>
    <definedName name="_xlnm.Print_Area" localSheetId="17">'9.10 - Hydro Median'!$A$1:$J$50</definedName>
    <definedName name="_xlnm.Print_Area" localSheetId="18">'9.10.1 - Hydro Median'!$A$1:$I$123</definedName>
    <definedName name="_xlnm.Print_Area" localSheetId="19">'9.11 - Coal Heat Rate'!$A$1:$J$50</definedName>
    <definedName name="_xlnm.Print_Area" localSheetId="20">'9.11.1 - Coal Heat Rate'!$A$1:$I$123</definedName>
    <definedName name="_xlnm.Print_Area" localSheetId="21">'9.12 - BPA Exchange'!$A$1:$J$50</definedName>
    <definedName name="_xlnm.Print_Area" localSheetId="22">'9.12.1 - BPA Exchange'!$A$1:$I$123</definedName>
    <definedName name="_xlnm.Print_Area" localSheetId="23">'9.13 - Chehalis Lateral'!$A$1:$J$50</definedName>
    <definedName name="_xlnm.Print_Area" localSheetId="24">'9.13.1 - Chehalis Lateral'!$A$1:$I$123</definedName>
    <definedName name="_xlnm.Print_Area" localSheetId="25">'9.14 - Stateline Losses'!$A$1:$J$50</definedName>
    <definedName name="_xlnm.Print_Area" localSheetId="26">'9.14.1 - Stateline Losses'!$A$1:$I$123</definedName>
    <definedName name="_xlnm.Print_Area" localSheetId="27">'9.15 - PGE Cove'!$A$1:$J$50</definedName>
    <definedName name="_xlnm.Print_Area" localSheetId="28">'9.15.1 - PGE Cove'!$A$1:$I$123</definedName>
    <definedName name="_xlnm.Print_Area" localSheetId="29">'9.16 - Butter Creek'!$A$1:$J$50</definedName>
    <definedName name="_xlnm.Print_Area" localSheetId="30">'9.16.1 - Butter Creek'!$A$1:$I$123</definedName>
    <definedName name="_xlnm.Print_Area" localSheetId="31">'9.17 - Small QF'!$A$1:$J$50</definedName>
    <definedName name="_xlnm.Print_Area" localSheetId="32">'9.17.1 - Small QF'!$A$1:$I$123</definedName>
    <definedName name="_xlnm.Print_Area" localSheetId="33">'9.18 - BPA P2P'!$A$1:$J$50</definedName>
    <definedName name="_xlnm.Print_Area" localSheetId="34">'9.18.1 - BPA PTP'!$A$1:$I$123</definedName>
    <definedName name="_xlnm.Print_Area" localSheetId="35">'9.19 - ID Trans Rate'!$A$1:$J$50</definedName>
    <definedName name="_xlnm.Print_Area" localSheetId="36">'9.19.1 - ID Trans Rate'!$A$1:$I$123</definedName>
    <definedName name="_xlnm.Print_Area" localSheetId="37">'9.20 - DPUD'!$A$1:$J$50</definedName>
    <definedName name="_xlnm.Print_Area" localSheetId="38">'9.20.1 - DPUD'!$A$1:$I$123</definedName>
    <definedName name="_xlnm.Print_Area" localSheetId="39">'9.21 - OFPC'!$A$1:$J$50</definedName>
    <definedName name="_xlnm.Print_Area" localSheetId="40">'9.21.1 - OFPC'!$A$1:$I$123</definedName>
    <definedName name="_xlnm.Print_Area" localSheetId="41">'9.22 - BPA RoD'!$A$1:$J$50</definedName>
    <definedName name="_xlnm.Print_Area" localSheetId="42">'9.22.1 - BPA RoD'!$A$1:$I$123</definedName>
    <definedName name="_xlnm.Print_Area" localSheetId="43">'9.23 - Coal Cost'!$A$1:$J$50</definedName>
    <definedName name="_xlnm.Print_Area" localSheetId="44">'9.23.1 - Coal Cost'!$A$1:$I$123</definedName>
    <definedName name="_xlnm.Print_Area" localSheetId="45">'9.24 - P50 Wind'!$A$1:$J$50</definedName>
    <definedName name="_xlnm.Print_Area" localSheetId="46">'9.24.1 - P50 Wind'!$A$1:$J$115</definedName>
    <definedName name="_xlnm.Print_Area" localSheetId="47">'9.25 - Interrelated Changes'!$A$1:$J$50</definedName>
    <definedName name="_xlnm.Print_Area" localSheetId="48">'9.26 - Pro Forma Rebuttal'!$A$1:$J$50</definedName>
    <definedName name="_xlnm.Print_Area" localSheetId="49">'9.26.1 - Pro Forma Rebuttal'!$A$1:$I$123</definedName>
    <definedName name="_xlnm.Print_Area" localSheetId="5">'9.3.2 - Restating'!$A$1:$I$132</definedName>
    <definedName name="_xlnm.Print_Area" localSheetId="8">'9.5.1 - QFs'!$A$1:$J$123</definedName>
    <definedName name="_xlnm.Print_Area" localSheetId="10">'9.6.1 - ECA Sale'!$A$1:$I$123</definedName>
    <definedName name="_xlnm.Print_Area" localSheetId="12">'9.6.1 - ID P2P'!$A$1:$I$123</definedName>
    <definedName name="_xlnm.Print_Area" localSheetId="13">'9.8 - Pro Forma Direct'!$A$1:$J$50</definedName>
    <definedName name="_xlnm.Print_Area" localSheetId="14">'9.8.1 Pro Forma Direct'!$A$1:$I$123</definedName>
    <definedName name="_xlnm.Print_Area" localSheetId="15">'9.9 - Wind Reserve'!$A$1:$J$50</definedName>
    <definedName name="_xlnm.Print_Area" localSheetId="16">'9.9.1 - Wind Reserve'!$A$1:$I$123</definedName>
    <definedName name="_xlnm.Print_Titles" localSheetId="0">'9.0 - Columnar Summary'!$A:$A</definedName>
    <definedName name="_xlnm.Print_Titles" localSheetId="1">'9.1 - Summary '!$A:$D</definedName>
    <definedName name="_xlnm.Print_Titles" localSheetId="18">'9.10.1 - Hydro Median'!$A:$C,'9.10.1 - Hydro Median'!$1:$6</definedName>
    <definedName name="_xlnm.Print_Titles" localSheetId="20">'9.11.1 - Coal Heat Rate'!$A:$C,'9.11.1 - Coal Heat Rate'!$1:$6</definedName>
    <definedName name="_xlnm.Print_Titles" localSheetId="22">'9.12.1 - BPA Exchange'!$A:$C,'9.12.1 - BPA Exchange'!$1:$6</definedName>
    <definedName name="_xlnm.Print_Titles" localSheetId="24">'9.13.1 - Chehalis Lateral'!$A:$C,'9.13.1 - Chehalis Lateral'!$1:$6</definedName>
    <definedName name="_xlnm.Print_Titles" localSheetId="26">'9.14.1 - Stateline Losses'!$A:$C,'9.14.1 - Stateline Losses'!$1:$6</definedName>
    <definedName name="_xlnm.Print_Titles" localSheetId="28">'9.15.1 - PGE Cove'!$A:$C,'9.15.1 - PGE Cove'!$1:$6</definedName>
    <definedName name="_xlnm.Print_Titles" localSheetId="30">'9.16.1 - Butter Creek'!$A:$C,'9.16.1 - Butter Creek'!$1:$6</definedName>
    <definedName name="_xlnm.Print_Titles" localSheetId="32">'9.17.1 - Small QF'!$A:$C,'9.17.1 - Small QF'!$1:$6</definedName>
    <definedName name="_xlnm.Print_Titles" localSheetId="34">'9.18.1 - BPA PTP'!$A:$C,'9.18.1 - BPA PTP'!$1:$6</definedName>
    <definedName name="_xlnm.Print_Titles" localSheetId="36">'9.19.1 - ID Trans Rate'!$A:$C,'9.19.1 - ID Trans Rate'!$1:$6</definedName>
    <definedName name="_xlnm.Print_Titles" localSheetId="38">'9.20.1 - DPUD'!$A:$C,'9.20.1 - DPUD'!$1:$6</definedName>
    <definedName name="_xlnm.Print_Titles" localSheetId="40">'9.21.1 - OFPC'!$A:$C,'9.21.1 - OFPC'!$1:$6</definedName>
    <definedName name="_xlnm.Print_Titles" localSheetId="42">'9.22.1 - BPA RoD'!$A:$C,'9.22.1 - BPA RoD'!$1:$6</definedName>
    <definedName name="_xlnm.Print_Titles" localSheetId="44">'9.23.1 - Coal Cost'!$A:$C,'9.23.1 - Coal Cost'!$1:$6</definedName>
    <definedName name="_xlnm.Print_Titles" localSheetId="49">'9.26.1 - Pro Forma Rebuttal'!$A:$C,'9.26.1 - Pro Forma Rebuttal'!$1:$6</definedName>
    <definedName name="_xlnm.Print_Titles" localSheetId="10">'9.6.1 - ECA Sale'!$A:$C,'9.6.1 - ECA Sale'!$1:$6</definedName>
    <definedName name="_xlnm.Print_Titles" localSheetId="12">'9.6.1 - ID P2P'!$A:$C,'9.6.1 - ID P2P'!$1:$6</definedName>
    <definedName name="_xlnm.Print_Titles" localSheetId="16">'9.9.1 - Wind Reserve'!$A:$C,'9.9.1 - Wind Reserve'!$1:$6</definedName>
  </definedNames>
  <calcPr calcId="145621"/>
</workbook>
</file>

<file path=xl/calcChain.xml><?xml version="1.0" encoding="utf-8"?>
<calcChain xmlns="http://schemas.openxmlformats.org/spreadsheetml/2006/main">
  <c r="F31" i="44" l="1"/>
  <c r="F30" i="44"/>
  <c r="F26" i="44"/>
  <c r="F25" i="44"/>
  <c r="F24" i="44"/>
  <c r="F20" i="44"/>
  <c r="F19" i="44"/>
  <c r="F18" i="44"/>
  <c r="F17" i="44"/>
  <c r="F16" i="44"/>
  <c r="F12" i="44"/>
  <c r="F11" i="44"/>
  <c r="F10" i="44"/>
  <c r="AJ37" i="23"/>
  <c r="AJ32" i="23"/>
  <c r="AJ22" i="23"/>
  <c r="AJ21" i="23"/>
  <c r="AJ18" i="23"/>
  <c r="AJ39" i="23"/>
  <c r="AJ13" i="23"/>
  <c r="AJ5" i="23" l="1"/>
  <c r="Q5" i="23"/>
  <c r="R5" i="23" s="1"/>
  <c r="O5" i="23"/>
  <c r="N5" i="23"/>
  <c r="M5" i="23"/>
  <c r="L5" i="23"/>
  <c r="J5" i="23"/>
  <c r="H5" i="23"/>
  <c r="F5" i="23"/>
  <c r="D5" i="23"/>
  <c r="J22" i="23"/>
  <c r="J21" i="23"/>
  <c r="J18" i="23"/>
  <c r="J13" i="23"/>
  <c r="N22" i="23"/>
  <c r="N21" i="23"/>
  <c r="N18" i="23"/>
  <c r="N13" i="23"/>
  <c r="M22" i="23"/>
  <c r="M21" i="23"/>
  <c r="M18" i="23"/>
  <c r="M13" i="23"/>
  <c r="L22" i="23"/>
  <c r="L21" i="23"/>
  <c r="L18" i="23"/>
  <c r="L13" i="23"/>
  <c r="S5" i="23" l="1"/>
  <c r="F31" i="53"/>
  <c r="F30" i="53"/>
  <c r="F32" i="53" s="1"/>
  <c r="F26" i="53"/>
  <c r="F27" i="53" s="1"/>
  <c r="F25" i="53"/>
  <c r="F24" i="53"/>
  <c r="F20" i="53"/>
  <c r="F19" i="53"/>
  <c r="I19" i="53" s="1"/>
  <c r="F18" i="53"/>
  <c r="F17" i="53"/>
  <c r="F16" i="53"/>
  <c r="F12" i="53"/>
  <c r="F13" i="53" s="1"/>
  <c r="F11" i="53"/>
  <c r="F10" i="53"/>
  <c r="I31" i="53"/>
  <c r="I30" i="53"/>
  <c r="I32" i="53" s="1"/>
  <c r="I25" i="53"/>
  <c r="I24" i="53"/>
  <c r="I20" i="53"/>
  <c r="I18" i="53"/>
  <c r="I17" i="53"/>
  <c r="I16" i="53"/>
  <c r="I11" i="53"/>
  <c r="I10" i="53"/>
  <c r="N36" i="17"/>
  <c r="N35" i="17"/>
  <c r="N31" i="17"/>
  <c r="N30" i="17"/>
  <c r="N29" i="17"/>
  <c r="N25" i="17"/>
  <c r="N24" i="17"/>
  <c r="N23" i="17"/>
  <c r="N22" i="17"/>
  <c r="N21" i="17"/>
  <c r="N17" i="17"/>
  <c r="N16" i="17"/>
  <c r="N15" i="17"/>
  <c r="F31" i="52"/>
  <c r="I31" i="52" s="1"/>
  <c r="I32" i="52" s="1"/>
  <c r="F30" i="52"/>
  <c r="F26" i="52"/>
  <c r="F25" i="52"/>
  <c r="I25" i="52" s="1"/>
  <c r="F24" i="52"/>
  <c r="I24" i="52" s="1"/>
  <c r="F20" i="52"/>
  <c r="F19" i="52"/>
  <c r="F18" i="52"/>
  <c r="F17" i="52"/>
  <c r="F21" i="52" s="1"/>
  <c r="F16" i="52"/>
  <c r="F12" i="52"/>
  <c r="F11" i="52"/>
  <c r="I11" i="52" s="1"/>
  <c r="F10" i="52"/>
  <c r="I10" i="52" s="1"/>
  <c r="F32" i="52"/>
  <c r="I30" i="52"/>
  <c r="F27" i="52"/>
  <c r="I26" i="52"/>
  <c r="I20" i="52"/>
  <c r="I19" i="52"/>
  <c r="I18" i="52"/>
  <c r="I16" i="52"/>
  <c r="F13" i="52"/>
  <c r="I12" i="52"/>
  <c r="Q36" i="17"/>
  <c r="Q35" i="17"/>
  <c r="Q31" i="17"/>
  <c r="Q30" i="17"/>
  <c r="Q29" i="17"/>
  <c r="Q25" i="17"/>
  <c r="Q24" i="17"/>
  <c r="Q23" i="17"/>
  <c r="Q22" i="17"/>
  <c r="Q21" i="17"/>
  <c r="Q17" i="17"/>
  <c r="Q16" i="17"/>
  <c r="Q15" i="17"/>
  <c r="Z31" i="17"/>
  <c r="Z17" i="17"/>
  <c r="I120" i="51"/>
  <c r="H120" i="51"/>
  <c r="G120" i="51"/>
  <c r="F120" i="51"/>
  <c r="H118" i="51"/>
  <c r="I115" i="51"/>
  <c r="G115" i="51"/>
  <c r="F115" i="51"/>
  <c r="D115" i="51"/>
  <c r="H113" i="51"/>
  <c r="H111" i="51"/>
  <c r="H110" i="51"/>
  <c r="H109" i="51"/>
  <c r="H107" i="51"/>
  <c r="H106" i="51"/>
  <c r="H105" i="51"/>
  <c r="H104" i="51"/>
  <c r="H103" i="51"/>
  <c r="H102" i="51"/>
  <c r="H101" i="51"/>
  <c r="H100" i="51"/>
  <c r="H99" i="51"/>
  <c r="H98" i="51"/>
  <c r="H97" i="51"/>
  <c r="H96" i="51"/>
  <c r="H95" i="51"/>
  <c r="H94" i="51"/>
  <c r="H93" i="51"/>
  <c r="H115" i="51" s="1"/>
  <c r="H90" i="51"/>
  <c r="G90" i="51"/>
  <c r="H87" i="51"/>
  <c r="O84" i="51"/>
  <c r="F83" i="51"/>
  <c r="D83" i="51"/>
  <c r="F81" i="51"/>
  <c r="F90" i="51" s="1"/>
  <c r="H74" i="51"/>
  <c r="I73" i="51"/>
  <c r="H72" i="51"/>
  <c r="G72" i="51"/>
  <c r="F72" i="51"/>
  <c r="D72" i="51"/>
  <c r="I70" i="51"/>
  <c r="I68" i="51"/>
  <c r="I65" i="51"/>
  <c r="I64" i="51"/>
  <c r="I63" i="51"/>
  <c r="I62" i="51"/>
  <c r="I61" i="51"/>
  <c r="I60" i="51"/>
  <c r="I59" i="51"/>
  <c r="I58" i="51"/>
  <c r="I57" i="51"/>
  <c r="I56" i="51"/>
  <c r="I55" i="51"/>
  <c r="I54" i="51"/>
  <c r="I53" i="51"/>
  <c r="I52" i="51"/>
  <c r="I51" i="51"/>
  <c r="I50" i="51"/>
  <c r="I49" i="51"/>
  <c r="I48" i="51"/>
  <c r="I47" i="51"/>
  <c r="I46" i="51"/>
  <c r="I45" i="51"/>
  <c r="I44" i="51"/>
  <c r="I43" i="51"/>
  <c r="I42" i="51"/>
  <c r="I41" i="51"/>
  <c r="I40" i="51"/>
  <c r="I39" i="51"/>
  <c r="I38" i="51"/>
  <c r="H36" i="51"/>
  <c r="G33" i="51"/>
  <c r="N32" i="51"/>
  <c r="D31" i="51" s="1"/>
  <c r="D36" i="51" s="1"/>
  <c r="F32" i="51"/>
  <c r="L31" i="51"/>
  <c r="G30" i="51"/>
  <c r="G29" i="51"/>
  <c r="N27" i="51"/>
  <c r="D24" i="51" s="1"/>
  <c r="D27" i="51" s="1"/>
  <c r="I27" i="51"/>
  <c r="H27" i="51"/>
  <c r="G25" i="51"/>
  <c r="L24" i="51"/>
  <c r="I24" i="51"/>
  <c r="G24" i="51"/>
  <c r="F24" i="51"/>
  <c r="F23" i="51"/>
  <c r="G23" i="51" s="1"/>
  <c r="O22" i="51"/>
  <c r="I31" i="51" s="1"/>
  <c r="I36" i="51" s="1"/>
  <c r="G22" i="51"/>
  <c r="G27" i="51" s="1"/>
  <c r="F22" i="51"/>
  <c r="O21" i="51"/>
  <c r="G31" i="51" s="1"/>
  <c r="F21" i="51"/>
  <c r="O20" i="51"/>
  <c r="F20" i="51"/>
  <c r="F27" i="51" s="1"/>
  <c r="P18" i="51"/>
  <c r="G16" i="51"/>
  <c r="F16" i="51"/>
  <c r="D16" i="51"/>
  <c r="H14" i="51"/>
  <c r="H16" i="51" s="1"/>
  <c r="F12" i="51"/>
  <c r="I10" i="51"/>
  <c r="I16" i="51" s="1"/>
  <c r="F8" i="51"/>
  <c r="T5" i="23" l="1"/>
  <c r="I21" i="53"/>
  <c r="I27" i="53"/>
  <c r="I12" i="53"/>
  <c r="I13" i="53" s="1"/>
  <c r="I34" i="53" s="1"/>
  <c r="F21" i="53"/>
  <c r="F34" i="53" s="1"/>
  <c r="I26" i="53"/>
  <c r="F34" i="52"/>
  <c r="I13" i="52"/>
  <c r="I27" i="52"/>
  <c r="I17" i="52"/>
  <c r="I21" i="52" s="1"/>
  <c r="G36" i="51"/>
  <c r="G76" i="51" s="1"/>
  <c r="G122" i="51" s="1"/>
  <c r="H76" i="51"/>
  <c r="H122" i="51" s="1"/>
  <c r="I72" i="51"/>
  <c r="I76" i="51" s="1"/>
  <c r="M72" i="51"/>
  <c r="M16" i="51"/>
  <c r="D76" i="51"/>
  <c r="M115" i="51"/>
  <c r="F31" i="51"/>
  <c r="F36" i="51" s="1"/>
  <c r="F76" i="51" s="1"/>
  <c r="F122" i="51" s="1"/>
  <c r="D81" i="51"/>
  <c r="U5" i="23" l="1"/>
  <c r="I34" i="52"/>
  <c r="M76" i="51"/>
  <c r="D122" i="51"/>
  <c r="D85" i="51"/>
  <c r="I85" i="51" s="1"/>
  <c r="I90" i="51" s="1"/>
  <c r="V5" i="23" l="1"/>
  <c r="I122" i="51"/>
  <c r="M122" i="51" s="1"/>
  <c r="M90" i="51"/>
  <c r="K90" i="51"/>
  <c r="W5" i="23" l="1"/>
  <c r="W31" i="17"/>
  <c r="W17" i="17"/>
  <c r="I120" i="50"/>
  <c r="H120" i="50"/>
  <c r="G120" i="50"/>
  <c r="F120" i="50"/>
  <c r="H118" i="50"/>
  <c r="I115" i="50"/>
  <c r="G115" i="50"/>
  <c r="F115" i="50"/>
  <c r="D115" i="50"/>
  <c r="H113" i="50"/>
  <c r="H111" i="50"/>
  <c r="H110" i="50"/>
  <c r="H109" i="50"/>
  <c r="H107" i="50"/>
  <c r="H106" i="50"/>
  <c r="H105" i="50"/>
  <c r="H104" i="50"/>
  <c r="H103" i="50"/>
  <c r="H102" i="50"/>
  <c r="H101" i="50"/>
  <c r="H100" i="50"/>
  <c r="H99" i="50"/>
  <c r="H98" i="50"/>
  <c r="H97" i="50"/>
  <c r="H96" i="50"/>
  <c r="H95" i="50"/>
  <c r="H115" i="50" s="1"/>
  <c r="H122" i="50" s="1"/>
  <c r="H94" i="50"/>
  <c r="H93" i="50"/>
  <c r="H90" i="50"/>
  <c r="G90" i="50"/>
  <c r="F90" i="50"/>
  <c r="H87" i="50"/>
  <c r="O84" i="50"/>
  <c r="F83" i="50"/>
  <c r="D83" i="50"/>
  <c r="F81" i="50"/>
  <c r="D81" i="50"/>
  <c r="H74" i="50"/>
  <c r="I73" i="50"/>
  <c r="H72" i="50"/>
  <c r="H76" i="50" s="1"/>
  <c r="G72" i="50"/>
  <c r="F72" i="50"/>
  <c r="F76" i="50" s="1"/>
  <c r="D72" i="50"/>
  <c r="I70" i="50"/>
  <c r="I68" i="50"/>
  <c r="I65" i="50"/>
  <c r="I64" i="50"/>
  <c r="I63" i="50"/>
  <c r="I62" i="50"/>
  <c r="I61" i="50"/>
  <c r="I60" i="50"/>
  <c r="I59" i="50"/>
  <c r="I58" i="50"/>
  <c r="I57" i="50"/>
  <c r="I56" i="50"/>
  <c r="I55" i="50"/>
  <c r="I54" i="50"/>
  <c r="I53" i="50"/>
  <c r="I52" i="50"/>
  <c r="I51" i="50"/>
  <c r="I50" i="50"/>
  <c r="I49" i="50"/>
  <c r="I48" i="50"/>
  <c r="I47" i="50"/>
  <c r="I46" i="50"/>
  <c r="I45" i="50"/>
  <c r="I44" i="50"/>
  <c r="I43" i="50"/>
  <c r="I42" i="50"/>
  <c r="I41" i="50"/>
  <c r="I40" i="50"/>
  <c r="I39" i="50"/>
  <c r="I38" i="50"/>
  <c r="I72" i="50" s="1"/>
  <c r="H36" i="50"/>
  <c r="G33" i="50"/>
  <c r="N32" i="50"/>
  <c r="D31" i="50" s="1"/>
  <c r="D36" i="50" s="1"/>
  <c r="F32" i="50"/>
  <c r="L31" i="50"/>
  <c r="G31" i="50"/>
  <c r="F31" i="50"/>
  <c r="F36" i="50" s="1"/>
  <c r="G30" i="50"/>
  <c r="G29" i="50"/>
  <c r="G36" i="50" s="1"/>
  <c r="N27" i="50"/>
  <c r="D24" i="50" s="1"/>
  <c r="D27" i="50" s="1"/>
  <c r="H27" i="50"/>
  <c r="G25" i="50"/>
  <c r="L24" i="50"/>
  <c r="G24" i="50" s="1"/>
  <c r="F24" i="50"/>
  <c r="G23" i="50"/>
  <c r="F23" i="50"/>
  <c r="O22" i="50"/>
  <c r="I31" i="50" s="1"/>
  <c r="I36" i="50" s="1"/>
  <c r="G22" i="50"/>
  <c r="F22" i="50"/>
  <c r="O21" i="50"/>
  <c r="F21" i="50"/>
  <c r="O20" i="50"/>
  <c r="I24" i="50" s="1"/>
  <c r="F20" i="50"/>
  <c r="F27" i="50" s="1"/>
  <c r="P18" i="50"/>
  <c r="I16" i="50"/>
  <c r="G16" i="50"/>
  <c r="D16" i="50"/>
  <c r="H14" i="50"/>
  <c r="H16" i="50" s="1"/>
  <c r="F12" i="50"/>
  <c r="I10" i="50"/>
  <c r="F8" i="50"/>
  <c r="F16" i="50" s="1"/>
  <c r="X5" i="23" l="1"/>
  <c r="M115" i="50"/>
  <c r="M16" i="50"/>
  <c r="I27" i="50"/>
  <c r="I76" i="50" s="1"/>
  <c r="G27" i="50"/>
  <c r="G76" i="50" s="1"/>
  <c r="M72" i="50"/>
  <c r="F122" i="50"/>
  <c r="D85" i="50"/>
  <c r="I85" i="50" s="1"/>
  <c r="I90" i="50" s="1"/>
  <c r="M90" i="50"/>
  <c r="D76" i="50"/>
  <c r="Y5" i="23" l="1"/>
  <c r="G122" i="50"/>
  <c r="D122" i="50"/>
  <c r="M76" i="50"/>
  <c r="I122" i="50"/>
  <c r="K90" i="50"/>
  <c r="Z5" i="23" l="1"/>
  <c r="M122" i="50"/>
  <c r="AA5" i="23" l="1"/>
  <c r="T31" i="17"/>
  <c r="T17" i="17"/>
  <c r="I120" i="49"/>
  <c r="H120" i="49"/>
  <c r="G120" i="49"/>
  <c r="F120" i="49"/>
  <c r="H118" i="49"/>
  <c r="I115" i="49"/>
  <c r="G115" i="49"/>
  <c r="F115" i="49"/>
  <c r="D115" i="49"/>
  <c r="H113" i="49"/>
  <c r="H111" i="49"/>
  <c r="H110" i="49"/>
  <c r="H109" i="49"/>
  <c r="H107" i="49"/>
  <c r="H106" i="49"/>
  <c r="H105" i="49"/>
  <c r="H104" i="49"/>
  <c r="H103" i="49"/>
  <c r="H102" i="49"/>
  <c r="H101" i="49"/>
  <c r="H100" i="49"/>
  <c r="H99" i="49"/>
  <c r="H98" i="49"/>
  <c r="H97" i="49"/>
  <c r="H96" i="49"/>
  <c r="H95" i="49"/>
  <c r="H94" i="49"/>
  <c r="H93" i="49"/>
  <c r="H115" i="49" s="1"/>
  <c r="H90" i="49"/>
  <c r="G90" i="49"/>
  <c r="H87" i="49"/>
  <c r="O84" i="49"/>
  <c r="F83" i="49"/>
  <c r="D83" i="49"/>
  <c r="F81" i="49"/>
  <c r="F90" i="49" s="1"/>
  <c r="H74" i="49"/>
  <c r="I73" i="49"/>
  <c r="H72" i="49"/>
  <c r="H76" i="49" s="1"/>
  <c r="G72" i="49"/>
  <c r="F72" i="49"/>
  <c r="D72" i="49"/>
  <c r="I70" i="49"/>
  <c r="I68" i="49"/>
  <c r="I65" i="49"/>
  <c r="I64" i="49"/>
  <c r="I63" i="49"/>
  <c r="I62" i="49"/>
  <c r="I61" i="49"/>
  <c r="I60" i="49"/>
  <c r="I59" i="49"/>
  <c r="I58" i="49"/>
  <c r="I57" i="49"/>
  <c r="I56" i="49"/>
  <c r="I55" i="49"/>
  <c r="I54" i="49"/>
  <c r="I53" i="49"/>
  <c r="I52" i="49"/>
  <c r="I51" i="49"/>
  <c r="I50" i="49"/>
  <c r="I49" i="49"/>
  <c r="I48" i="49"/>
  <c r="I47" i="49"/>
  <c r="I46" i="49"/>
  <c r="I45" i="49"/>
  <c r="I44" i="49"/>
  <c r="I43" i="49"/>
  <c r="I42" i="49"/>
  <c r="I41" i="49"/>
  <c r="I40" i="49"/>
  <c r="I72" i="49" s="1"/>
  <c r="I39" i="49"/>
  <c r="I38" i="49"/>
  <c r="H36" i="49"/>
  <c r="G33" i="49"/>
  <c r="N32" i="49"/>
  <c r="F32" i="49"/>
  <c r="L31" i="49"/>
  <c r="D31" i="49"/>
  <c r="D36" i="49" s="1"/>
  <c r="G30" i="49"/>
  <c r="G29" i="49"/>
  <c r="G36" i="49" s="1"/>
  <c r="N27" i="49"/>
  <c r="D24" i="49" s="1"/>
  <c r="D27" i="49" s="1"/>
  <c r="H27" i="49"/>
  <c r="G25" i="49"/>
  <c r="L24" i="49"/>
  <c r="G24" i="49"/>
  <c r="F24" i="49"/>
  <c r="F23" i="49"/>
  <c r="G23" i="49" s="1"/>
  <c r="O22" i="49"/>
  <c r="I31" i="49" s="1"/>
  <c r="I36" i="49" s="1"/>
  <c r="G22" i="49"/>
  <c r="G27" i="49" s="1"/>
  <c r="F22" i="49"/>
  <c r="O21" i="49"/>
  <c r="G31" i="49" s="1"/>
  <c r="F21" i="49"/>
  <c r="O20" i="49"/>
  <c r="I24" i="49" s="1"/>
  <c r="I27" i="49" s="1"/>
  <c r="F20" i="49"/>
  <c r="P18" i="49"/>
  <c r="G16" i="49"/>
  <c r="F16" i="49"/>
  <c r="D16" i="49"/>
  <c r="H14" i="49"/>
  <c r="H16" i="49" s="1"/>
  <c r="F12" i="49"/>
  <c r="I10" i="49"/>
  <c r="I16" i="49" s="1"/>
  <c r="F8" i="49"/>
  <c r="AB5" i="23" l="1"/>
  <c r="F27" i="49"/>
  <c r="I76" i="49"/>
  <c r="D76" i="49"/>
  <c r="D122" i="49" s="1"/>
  <c r="G76" i="49"/>
  <c r="M16" i="49"/>
  <c r="H122" i="49"/>
  <c r="M72" i="49"/>
  <c r="F31" i="49"/>
  <c r="F36" i="49" s="1"/>
  <c r="F76" i="49" s="1"/>
  <c r="F122" i="49" s="1"/>
  <c r="D81" i="49"/>
  <c r="M115" i="49"/>
  <c r="AC5" i="23" l="1"/>
  <c r="G122" i="49"/>
  <c r="M76" i="49"/>
  <c r="D85" i="49"/>
  <c r="I85" i="49" s="1"/>
  <c r="I90" i="49" s="1"/>
  <c r="K90" i="49"/>
  <c r="AD5" i="23" l="1"/>
  <c r="M90" i="49"/>
  <c r="I122" i="49"/>
  <c r="M122" i="49" s="1"/>
  <c r="AE5" i="23" l="1"/>
  <c r="F26" i="47"/>
  <c r="I26" i="47" s="1"/>
  <c r="F12" i="47"/>
  <c r="I12" i="47" s="1"/>
  <c r="F26" i="46"/>
  <c r="I26" i="46" s="1"/>
  <c r="F12" i="46"/>
  <c r="F26" i="45"/>
  <c r="F12" i="45"/>
  <c r="I12" i="46"/>
  <c r="I26" i="45"/>
  <c r="I12" i="45"/>
  <c r="O64" i="23"/>
  <c r="O53" i="23"/>
  <c r="O66" i="23" s="1"/>
  <c r="N64" i="23"/>
  <c r="M64" i="23"/>
  <c r="L64" i="23"/>
  <c r="N53" i="23"/>
  <c r="M53" i="23"/>
  <c r="M66" i="23" s="1"/>
  <c r="L53" i="23"/>
  <c r="L66" i="23" s="1"/>
  <c r="AF5" i="23" l="1"/>
  <c r="N66" i="23"/>
  <c r="AF64" i="23"/>
  <c r="AF53" i="23"/>
  <c r="AF66" i="23" s="1"/>
  <c r="BY7" i="17"/>
  <c r="I68" i="43"/>
  <c r="H68" i="43"/>
  <c r="G68" i="43"/>
  <c r="F68" i="43"/>
  <c r="D68" i="43"/>
  <c r="I26" i="44"/>
  <c r="I12" i="44"/>
  <c r="I112" i="43"/>
  <c r="H112" i="43"/>
  <c r="G112" i="43"/>
  <c r="F112" i="43"/>
  <c r="H110" i="43"/>
  <c r="I107" i="43"/>
  <c r="G107" i="43"/>
  <c r="F107" i="43"/>
  <c r="D107" i="43"/>
  <c r="H105" i="43"/>
  <c r="H103" i="43"/>
  <c r="H102" i="43"/>
  <c r="H101" i="43"/>
  <c r="H99" i="43"/>
  <c r="H98" i="43"/>
  <c r="H97" i="43"/>
  <c r="H96" i="43"/>
  <c r="H95" i="43"/>
  <c r="H94" i="43"/>
  <c r="H93" i="43"/>
  <c r="H92" i="43"/>
  <c r="H91" i="43"/>
  <c r="H90" i="43"/>
  <c r="H89" i="43"/>
  <c r="H88" i="43"/>
  <c r="H87" i="43"/>
  <c r="H107" i="43" s="1"/>
  <c r="H86" i="43"/>
  <c r="H85" i="43"/>
  <c r="H82" i="43"/>
  <c r="G82" i="43"/>
  <c r="H79" i="43"/>
  <c r="O76" i="43"/>
  <c r="F75" i="43"/>
  <c r="D75" i="43"/>
  <c r="F73" i="43"/>
  <c r="F82" i="43" s="1"/>
  <c r="H66" i="43"/>
  <c r="I65" i="43"/>
  <c r="H64" i="43"/>
  <c r="G64" i="43"/>
  <c r="F64" i="43"/>
  <c r="D64" i="43"/>
  <c r="I62" i="43"/>
  <c r="I60" i="43"/>
  <c r="I57" i="43"/>
  <c r="I56" i="43"/>
  <c r="I55" i="43"/>
  <c r="I54" i="43"/>
  <c r="I53" i="43"/>
  <c r="I52" i="43"/>
  <c r="I51" i="43"/>
  <c r="I50" i="43"/>
  <c r="I49" i="43"/>
  <c r="I48" i="43"/>
  <c r="I47" i="43"/>
  <c r="I46" i="43"/>
  <c r="I45" i="43"/>
  <c r="I44" i="43"/>
  <c r="I43" i="43"/>
  <c r="I42" i="43"/>
  <c r="I41" i="43"/>
  <c r="I40" i="43"/>
  <c r="I39" i="43"/>
  <c r="I38" i="43"/>
  <c r="I37" i="43"/>
  <c r="I36" i="43"/>
  <c r="I35" i="43"/>
  <c r="I34" i="43"/>
  <c r="I33" i="43"/>
  <c r="I32" i="43"/>
  <c r="I31" i="43"/>
  <c r="I30" i="43"/>
  <c r="I64" i="43" s="1"/>
  <c r="N27" i="43"/>
  <c r="H27" i="43"/>
  <c r="D27" i="43"/>
  <c r="G25" i="43"/>
  <c r="L24" i="43"/>
  <c r="G24" i="43"/>
  <c r="F24" i="43"/>
  <c r="D24" i="43"/>
  <c r="F23" i="43"/>
  <c r="G23" i="43" s="1"/>
  <c r="O22" i="43"/>
  <c r="G22" i="43"/>
  <c r="G27" i="43" s="1"/>
  <c r="F22" i="43"/>
  <c r="O21" i="43"/>
  <c r="F21" i="43"/>
  <c r="O20" i="43"/>
  <c r="I24" i="43" s="1"/>
  <c r="I27" i="43" s="1"/>
  <c r="F20" i="43"/>
  <c r="F27" i="43" s="1"/>
  <c r="P18" i="43"/>
  <c r="G16" i="43"/>
  <c r="F16" i="43"/>
  <c r="D16" i="43"/>
  <c r="H14" i="43"/>
  <c r="H16" i="43" s="1"/>
  <c r="F12" i="43"/>
  <c r="I10" i="43"/>
  <c r="I16" i="43" s="1"/>
  <c r="F8" i="43"/>
  <c r="AG5" i="23" l="1"/>
  <c r="AH5" i="23" s="1"/>
  <c r="H114" i="43"/>
  <c r="M64" i="43"/>
  <c r="M16" i="43"/>
  <c r="G114" i="43"/>
  <c r="F114" i="43"/>
  <c r="M68" i="43"/>
  <c r="M107" i="43"/>
  <c r="D73" i="43"/>
  <c r="D77" i="43" l="1"/>
  <c r="I77" i="43" s="1"/>
  <c r="I82" i="43" s="1"/>
  <c r="D114" i="43"/>
  <c r="M82" i="43" l="1"/>
  <c r="I114" i="43"/>
  <c r="M114" i="43" s="1"/>
  <c r="K82" i="43"/>
  <c r="CB7" i="17" l="1"/>
  <c r="F26" i="40"/>
  <c r="I26" i="40" s="1"/>
  <c r="F12" i="40"/>
  <c r="I12" i="40" s="1"/>
  <c r="F26" i="39"/>
  <c r="I26" i="39" s="1"/>
  <c r="F12" i="39"/>
  <c r="I12" i="39" s="1"/>
  <c r="F26" i="38"/>
  <c r="I26" i="38" s="1"/>
  <c r="F12" i="38"/>
  <c r="I12" i="38" s="1"/>
  <c r="F26" i="37"/>
  <c r="I26" i="37" s="1"/>
  <c r="F12" i="37"/>
  <c r="I12" i="37" s="1"/>
  <c r="F26" i="36"/>
  <c r="I26" i="36" s="1"/>
  <c r="F12" i="36"/>
  <c r="I12" i="36" s="1"/>
  <c r="F26" i="35"/>
  <c r="I26" i="35" s="1"/>
  <c r="F12" i="35"/>
  <c r="I12" i="35" s="1"/>
  <c r="F26" i="34"/>
  <c r="I26" i="34" s="1"/>
  <c r="F12" i="34"/>
  <c r="I12" i="34" s="1"/>
  <c r="F26" i="33"/>
  <c r="I26" i="33" s="1"/>
  <c r="F12" i="33"/>
  <c r="I12" i="33" s="1"/>
  <c r="F26" i="32"/>
  <c r="I26" i="32" s="1"/>
  <c r="F12" i="32"/>
  <c r="I12" i="32" s="1"/>
  <c r="F26" i="31"/>
  <c r="I26" i="31" s="1"/>
  <c r="F12" i="31"/>
  <c r="I12" i="31" s="1"/>
  <c r="F26" i="30"/>
  <c r="I26" i="30" s="1"/>
  <c r="F12" i="30"/>
  <c r="I12" i="30" s="1"/>
  <c r="F26" i="29"/>
  <c r="I26" i="29" s="1"/>
  <c r="F12" i="29"/>
  <c r="I12" i="29" s="1"/>
  <c r="F26" i="28"/>
  <c r="I26" i="28" s="1"/>
  <c r="F12" i="28"/>
  <c r="I12" i="28" s="1"/>
  <c r="F26" i="27"/>
  <c r="I26" i="27" s="1"/>
  <c r="F12" i="27"/>
  <c r="I12" i="27" s="1"/>
  <c r="F26" i="26"/>
  <c r="I26" i="26" s="1"/>
  <c r="F12" i="26"/>
  <c r="I12" i="26" s="1"/>
  <c r="X17" i="17" l="1"/>
  <c r="U17" i="17"/>
  <c r="AA17" i="17"/>
  <c r="O17" i="17"/>
  <c r="X31" i="17"/>
  <c r="U31" i="17"/>
  <c r="AA31" i="17"/>
  <c r="O31" i="17"/>
  <c r="F12" i="25"/>
  <c r="BZ17" i="17"/>
  <c r="F26" i="25"/>
  <c r="BZ31" i="17"/>
  <c r="I12" i="25"/>
  <c r="I12" i="24"/>
  <c r="I26" i="25"/>
  <c r="AP31" i="17" l="1"/>
  <c r="AP17" i="17"/>
  <c r="AH63" i="23"/>
  <c r="AH62" i="23"/>
  <c r="AH61" i="23"/>
  <c r="AH60" i="23"/>
  <c r="AH59" i="23"/>
  <c r="AH58" i="23"/>
  <c r="AH57" i="23"/>
  <c r="AH56" i="23"/>
  <c r="AH52" i="23"/>
  <c r="AH51" i="23"/>
  <c r="AH50" i="23"/>
  <c r="AH49" i="23"/>
  <c r="AH48" i="23"/>
  <c r="AH47" i="23"/>
  <c r="AH46" i="23"/>
  <c r="AH45" i="23"/>
  <c r="AH44" i="23"/>
  <c r="AH43" i="23"/>
  <c r="AH42" i="23"/>
  <c r="AH38" i="23"/>
  <c r="AH36" i="23"/>
  <c r="AH35" i="23"/>
  <c r="AH34" i="23"/>
  <c r="AH33" i="23"/>
  <c r="AH31" i="23"/>
  <c r="AH30" i="23"/>
  <c r="AH29" i="23"/>
  <c r="AH27" i="23"/>
  <c r="AH26" i="23"/>
  <c r="AH25" i="23"/>
  <c r="AH24" i="23"/>
  <c r="AH23" i="23"/>
  <c r="AH20" i="23"/>
  <c r="AH19" i="23"/>
  <c r="AH14" i="23"/>
  <c r="AH12" i="23"/>
  <c r="AH11" i="23"/>
  <c r="AG64" i="23"/>
  <c r="AG53" i="23"/>
  <c r="AE64" i="23"/>
  <c r="AD64" i="23"/>
  <c r="AC64" i="23"/>
  <c r="AB64" i="23"/>
  <c r="AA64" i="23"/>
  <c r="Z64" i="23"/>
  <c r="Y64" i="23"/>
  <c r="X64" i="23"/>
  <c r="W64" i="23"/>
  <c r="V64" i="23"/>
  <c r="U64" i="23"/>
  <c r="T64" i="23"/>
  <c r="S64" i="23"/>
  <c r="R64" i="23"/>
  <c r="Q64" i="23"/>
  <c r="J64" i="23"/>
  <c r="H64" i="23"/>
  <c r="F64" i="23"/>
  <c r="D64" i="23"/>
  <c r="B64" i="23"/>
  <c r="AC36" i="17"/>
  <c r="AC35" i="17"/>
  <c r="AC30" i="17"/>
  <c r="AC29" i="17"/>
  <c r="AC25" i="17"/>
  <c r="AC24" i="17"/>
  <c r="AC23" i="17"/>
  <c r="AC22" i="17"/>
  <c r="AC21" i="17"/>
  <c r="AC16" i="17"/>
  <c r="AC15" i="17"/>
  <c r="BY23" i="17" l="1"/>
  <c r="Z23" i="17"/>
  <c r="F18" i="47" s="1"/>
  <c r="I18" i="47" s="1"/>
  <c r="W23" i="17"/>
  <c r="F18" i="46" s="1"/>
  <c r="I18" i="46" s="1"/>
  <c r="T23" i="17"/>
  <c r="F18" i="45" s="1"/>
  <c r="I18" i="45" s="1"/>
  <c r="BY21" i="17"/>
  <c r="Z21" i="17"/>
  <c r="F16" i="47" s="1"/>
  <c r="W21" i="17"/>
  <c r="F16" i="46" s="1"/>
  <c r="T21" i="17"/>
  <c r="BY25" i="17"/>
  <c r="Z25" i="17"/>
  <c r="F20" i="47" s="1"/>
  <c r="I20" i="47" s="1"/>
  <c r="W25" i="17"/>
  <c r="F20" i="46" s="1"/>
  <c r="I20" i="46" s="1"/>
  <c r="T25" i="17"/>
  <c r="F20" i="45" s="1"/>
  <c r="I20" i="45" s="1"/>
  <c r="BY36" i="17"/>
  <c r="Z36" i="17"/>
  <c r="F31" i="47" s="1"/>
  <c r="I31" i="47" s="1"/>
  <c r="W36" i="17"/>
  <c r="F31" i="46" s="1"/>
  <c r="I31" i="46" s="1"/>
  <c r="T36" i="17"/>
  <c r="BY22" i="17"/>
  <c r="Z22" i="17"/>
  <c r="F17" i="47" s="1"/>
  <c r="I17" i="47" s="1"/>
  <c r="W22" i="17"/>
  <c r="F17" i="46" s="1"/>
  <c r="I17" i="46" s="1"/>
  <c r="T22" i="17"/>
  <c r="F17" i="45" s="1"/>
  <c r="I17" i="45" s="1"/>
  <c r="BY29" i="17"/>
  <c r="Z29" i="17"/>
  <c r="F24" i="47" s="1"/>
  <c r="W29" i="17"/>
  <c r="F24" i="46" s="1"/>
  <c r="T29" i="17"/>
  <c r="BY15" i="17"/>
  <c r="Z15" i="17"/>
  <c r="F10" i="47" s="1"/>
  <c r="W15" i="17"/>
  <c r="F10" i="46" s="1"/>
  <c r="T15" i="17"/>
  <c r="BY30" i="17"/>
  <c r="Z30" i="17"/>
  <c r="F25" i="47" s="1"/>
  <c r="I25" i="47" s="1"/>
  <c r="W30" i="17"/>
  <c r="F25" i="46" s="1"/>
  <c r="I25" i="46" s="1"/>
  <c r="T30" i="17"/>
  <c r="F25" i="45" s="1"/>
  <c r="I25" i="45" s="1"/>
  <c r="BY16" i="17"/>
  <c r="Z16" i="17"/>
  <c r="F11" i="47" s="1"/>
  <c r="I11" i="47" s="1"/>
  <c r="W16" i="17"/>
  <c r="F11" i="46" s="1"/>
  <c r="I11" i="46" s="1"/>
  <c r="T16" i="17"/>
  <c r="F11" i="45" s="1"/>
  <c r="I11" i="45" s="1"/>
  <c r="BY24" i="17"/>
  <c r="BY26" i="17" s="1"/>
  <c r="Z24" i="17"/>
  <c r="F19" i="47" s="1"/>
  <c r="I19" i="47" s="1"/>
  <c r="W24" i="17"/>
  <c r="F19" i="46" s="1"/>
  <c r="I19" i="46" s="1"/>
  <c r="T24" i="17"/>
  <c r="F19" i="45" s="1"/>
  <c r="I19" i="45" s="1"/>
  <c r="Z35" i="17"/>
  <c r="W35" i="17"/>
  <c r="T35" i="17"/>
  <c r="BY18" i="17"/>
  <c r="BP35" i="17"/>
  <c r="F30" i="38" s="1"/>
  <c r="BY35" i="17"/>
  <c r="BY37" i="17" s="1"/>
  <c r="BY32" i="17"/>
  <c r="BA35" i="17"/>
  <c r="F30" i="33" s="1"/>
  <c r="I30" i="33" s="1"/>
  <c r="AG66" i="23"/>
  <c r="AF35" i="17"/>
  <c r="I30" i="38"/>
  <c r="AR35" i="17"/>
  <c r="F30" i="30" s="1"/>
  <c r="AO35" i="17"/>
  <c r="BD35" i="17"/>
  <c r="F30" i="34" s="1"/>
  <c r="BM35" i="17"/>
  <c r="F30" i="37" s="1"/>
  <c r="BV36" i="17"/>
  <c r="BD36" i="17"/>
  <c r="F31" i="34" s="1"/>
  <c r="I31" i="34" s="1"/>
  <c r="AU36" i="17"/>
  <c r="F31" i="31" s="1"/>
  <c r="I31" i="31" s="1"/>
  <c r="BP36" i="17"/>
  <c r="F31" i="38" s="1"/>
  <c r="I31" i="38" s="1"/>
  <c r="BG36" i="17"/>
  <c r="F31" i="35" s="1"/>
  <c r="I31" i="35" s="1"/>
  <c r="AF36" i="17"/>
  <c r="BS36" i="17"/>
  <c r="F31" i="39" s="1"/>
  <c r="I31" i="39" s="1"/>
  <c r="AR36" i="17"/>
  <c r="AI36" i="17"/>
  <c r="F31" i="27" s="1"/>
  <c r="I31" i="27" s="1"/>
  <c r="AI35" i="17"/>
  <c r="F30" i="27" s="1"/>
  <c r="AL35" i="17"/>
  <c r="F30" i="28" s="1"/>
  <c r="AO36" i="17"/>
  <c r="AX35" i="17"/>
  <c r="F30" i="32" s="1"/>
  <c r="BA36" i="17"/>
  <c r="BJ35" i="17"/>
  <c r="F30" i="36" s="1"/>
  <c r="BM36" i="17"/>
  <c r="F31" i="37" s="1"/>
  <c r="I31" i="37" s="1"/>
  <c r="BV35" i="17"/>
  <c r="AL36" i="17"/>
  <c r="F31" i="28" s="1"/>
  <c r="I31" i="28" s="1"/>
  <c r="AU35" i="17"/>
  <c r="AX36" i="17"/>
  <c r="F31" i="32" s="1"/>
  <c r="I31" i="32" s="1"/>
  <c r="BG35" i="17"/>
  <c r="BJ36" i="17"/>
  <c r="F31" i="36" s="1"/>
  <c r="I31" i="36" s="1"/>
  <c r="BS35" i="17"/>
  <c r="T37" i="17" l="1"/>
  <c r="F30" i="45"/>
  <c r="T18" i="17"/>
  <c r="F10" i="45"/>
  <c r="T32" i="17"/>
  <c r="F24" i="45"/>
  <c r="F31" i="45"/>
  <c r="I31" i="45" s="1"/>
  <c r="T26" i="17"/>
  <c r="F16" i="45"/>
  <c r="F30" i="46"/>
  <c r="I10" i="46"/>
  <c r="I13" i="46" s="1"/>
  <c r="F13" i="46"/>
  <c r="I24" i="46"/>
  <c r="I27" i="46" s="1"/>
  <c r="F27" i="46"/>
  <c r="I16" i="46"/>
  <c r="I21" i="46" s="1"/>
  <c r="F21" i="46"/>
  <c r="F30" i="47"/>
  <c r="F13" i="47"/>
  <c r="I10" i="47"/>
  <c r="I13" i="47" s="1"/>
  <c r="F27" i="47"/>
  <c r="I24" i="47"/>
  <c r="I27" i="47" s="1"/>
  <c r="I16" i="47"/>
  <c r="I21" i="47" s="1"/>
  <c r="F21" i="47"/>
  <c r="BP37" i="17"/>
  <c r="F30" i="26"/>
  <c r="I30" i="26" s="1"/>
  <c r="F30" i="40"/>
  <c r="F31" i="40"/>
  <c r="I31" i="40" s="1"/>
  <c r="I31" i="44"/>
  <c r="F32" i="36"/>
  <c r="I30" i="36"/>
  <c r="I32" i="36" s="1"/>
  <c r="BS37" i="17"/>
  <c r="F30" i="39"/>
  <c r="BA37" i="17"/>
  <c r="F31" i="33"/>
  <c r="I30" i="28"/>
  <c r="I32" i="28" s="1"/>
  <c r="F32" i="28"/>
  <c r="I30" i="34"/>
  <c r="I32" i="34" s="1"/>
  <c r="F32" i="34"/>
  <c r="BG37" i="17"/>
  <c r="F30" i="35"/>
  <c r="I30" i="40"/>
  <c r="AP36" i="17"/>
  <c r="F31" i="29"/>
  <c r="I31" i="29" s="1"/>
  <c r="AF37" i="17"/>
  <c r="F31" i="26"/>
  <c r="I30" i="30"/>
  <c r="F32" i="38"/>
  <c r="AU37" i="17"/>
  <c r="F30" i="31"/>
  <c r="AP35" i="17"/>
  <c r="AP37" i="17" s="1"/>
  <c r="F30" i="29"/>
  <c r="I30" i="32"/>
  <c r="I32" i="32" s="1"/>
  <c r="F32" i="32"/>
  <c r="I30" i="27"/>
  <c r="I32" i="27" s="1"/>
  <c r="F32" i="27"/>
  <c r="AR37" i="17"/>
  <c r="F31" i="30"/>
  <c r="I31" i="30" s="1"/>
  <c r="I32" i="38"/>
  <c r="F32" i="37"/>
  <c r="I30" i="37"/>
  <c r="I32" i="37" s="1"/>
  <c r="AO37" i="17"/>
  <c r="BD37" i="17"/>
  <c r="BM37" i="17"/>
  <c r="AI37" i="17"/>
  <c r="BV37" i="17"/>
  <c r="AL37" i="17"/>
  <c r="AX37" i="17"/>
  <c r="BJ37" i="17"/>
  <c r="I34" i="46" l="1"/>
  <c r="I16" i="45"/>
  <c r="I21" i="45" s="1"/>
  <c r="F21" i="45"/>
  <c r="L28" i="23"/>
  <c r="I30" i="47"/>
  <c r="I32" i="47" s="1"/>
  <c r="I34" i="47" s="1"/>
  <c r="F32" i="47"/>
  <c r="F34" i="47" s="1"/>
  <c r="I30" i="45"/>
  <c r="I32" i="45" s="1"/>
  <c r="F32" i="45"/>
  <c r="F32" i="46"/>
  <c r="F34" i="46" s="1"/>
  <c r="I30" i="46"/>
  <c r="I32" i="46" s="1"/>
  <c r="T39" i="17"/>
  <c r="L15" i="23"/>
  <c r="L73" i="23" s="1"/>
  <c r="L79" i="23" s="1"/>
  <c r="L82" i="23" s="1"/>
  <c r="L84" i="23" s="1"/>
  <c r="L86" i="23" s="1"/>
  <c r="L32" i="23" s="1"/>
  <c r="L37" i="23" s="1"/>
  <c r="L39" i="23" s="1"/>
  <c r="I24" i="45"/>
  <c r="I27" i="45" s="1"/>
  <c r="F27" i="45"/>
  <c r="I10" i="45"/>
  <c r="I13" i="45" s="1"/>
  <c r="F13" i="45"/>
  <c r="F34" i="45" s="1"/>
  <c r="T18" i="23"/>
  <c r="I32" i="40"/>
  <c r="I30" i="44"/>
  <c r="I32" i="44" s="1"/>
  <c r="F32" i="44"/>
  <c r="F32" i="40"/>
  <c r="I32" i="30"/>
  <c r="I30" i="29"/>
  <c r="I32" i="29" s="1"/>
  <c r="F32" i="29"/>
  <c r="I31" i="26"/>
  <c r="I32" i="26" s="1"/>
  <c r="F32" i="26"/>
  <c r="I31" i="33"/>
  <c r="I32" i="33" s="1"/>
  <c r="F32" i="33"/>
  <c r="F32" i="35"/>
  <c r="I30" i="35"/>
  <c r="I32" i="35" s="1"/>
  <c r="F32" i="31"/>
  <c r="I30" i="31"/>
  <c r="I32" i="31" s="1"/>
  <c r="F32" i="30"/>
  <c r="I30" i="39"/>
  <c r="I32" i="39" s="1"/>
  <c r="F32" i="39"/>
  <c r="I34" i="45" l="1"/>
  <c r="L70" i="23"/>
  <c r="L69" i="23"/>
  <c r="BW36" i="17"/>
  <c r="BW35" i="17"/>
  <c r="BW31" i="17"/>
  <c r="BW17" i="17"/>
  <c r="BT36" i="17"/>
  <c r="BT35" i="17"/>
  <c r="AD18" i="23" s="1"/>
  <c r="BT31" i="17"/>
  <c r="BT17" i="17"/>
  <c r="BQ36" i="17"/>
  <c r="BQ35" i="17"/>
  <c r="AC18" i="23" s="1"/>
  <c r="BQ31" i="17"/>
  <c r="BQ17" i="17"/>
  <c r="BN36" i="17"/>
  <c r="BN35" i="17"/>
  <c r="AB18" i="23" s="1"/>
  <c r="BN31" i="17"/>
  <c r="BN17" i="17"/>
  <c r="BK36" i="17"/>
  <c r="BK35" i="17"/>
  <c r="BK31" i="17"/>
  <c r="BK17" i="17"/>
  <c r="BH36" i="17"/>
  <c r="BH35" i="17"/>
  <c r="Z18" i="23" s="1"/>
  <c r="BH31" i="17"/>
  <c r="BH17" i="17"/>
  <c r="BE36" i="17"/>
  <c r="BE35" i="17"/>
  <c r="Y18" i="23" s="1"/>
  <c r="BE31" i="17"/>
  <c r="BE17" i="17"/>
  <c r="BB36" i="17"/>
  <c r="BB35" i="17"/>
  <c r="X18" i="23" s="1"/>
  <c r="BB31" i="17"/>
  <c r="BB17" i="17"/>
  <c r="AY36" i="17"/>
  <c r="AY35" i="17"/>
  <c r="AY31" i="17"/>
  <c r="AY17" i="17"/>
  <c r="AV36" i="17"/>
  <c r="AV35" i="17"/>
  <c r="V18" i="23" s="1"/>
  <c r="AV31" i="17"/>
  <c r="AV17" i="17"/>
  <c r="AS36" i="17"/>
  <c r="AS35" i="17"/>
  <c r="U18" i="23" s="1"/>
  <c r="AS31" i="17"/>
  <c r="AS17" i="17"/>
  <c r="AM36" i="17"/>
  <c r="AM35" i="17"/>
  <c r="S18" i="23" s="1"/>
  <c r="AM31" i="17"/>
  <c r="AM17" i="17"/>
  <c r="AJ36" i="17"/>
  <c r="AJ35" i="17"/>
  <c r="R18" i="23" s="1"/>
  <c r="AJ31" i="17"/>
  <c r="AJ17" i="17"/>
  <c r="AG36" i="17"/>
  <c r="AG35" i="17"/>
  <c r="Q18" i="23" s="1"/>
  <c r="AG31" i="17"/>
  <c r="AG17" i="17"/>
  <c r="C5" i="17"/>
  <c r="BV7" i="17"/>
  <c r="BS7" i="17"/>
  <c r="BP7" i="17"/>
  <c r="BM7" i="17"/>
  <c r="BJ7" i="17"/>
  <c r="BG7" i="17"/>
  <c r="BD7" i="17"/>
  <c r="BA7" i="17"/>
  <c r="AX7" i="17"/>
  <c r="AU7" i="17"/>
  <c r="AR7" i="17"/>
  <c r="AO7" i="17"/>
  <c r="AL7" i="17"/>
  <c r="AI7" i="17"/>
  <c r="AF7" i="17"/>
  <c r="D5" i="17" l="1"/>
  <c r="AV37" i="17"/>
  <c r="AY37" i="17"/>
  <c r="W18" i="23"/>
  <c r="BK37" i="17"/>
  <c r="AA18" i="23"/>
  <c r="BW37" i="17"/>
  <c r="AE18" i="23"/>
  <c r="AJ37" i="17"/>
  <c r="BH37" i="17"/>
  <c r="BT37" i="17"/>
  <c r="BB37" i="17"/>
  <c r="BN37" i="17"/>
  <c r="BE37" i="17"/>
  <c r="AM37" i="17"/>
  <c r="AS37" i="17"/>
  <c r="BQ37" i="17"/>
  <c r="H53" i="23"/>
  <c r="H66" i="23" s="1"/>
  <c r="J53" i="23"/>
  <c r="J66" i="23" s="1"/>
  <c r="D53" i="23"/>
  <c r="D66" i="23" s="1"/>
  <c r="F53" i="23"/>
  <c r="F66" i="23" s="1"/>
  <c r="AJ63" i="23"/>
  <c r="AJ62" i="23"/>
  <c r="AJ61" i="23"/>
  <c r="AJ60" i="23"/>
  <c r="AJ59" i="23"/>
  <c r="AJ58" i="23"/>
  <c r="AJ57" i="23"/>
  <c r="AE53" i="23"/>
  <c r="AE66" i="23" s="1"/>
  <c r="AD53" i="23"/>
  <c r="AD66" i="23" s="1"/>
  <c r="AC53" i="23"/>
  <c r="AC66" i="23" s="1"/>
  <c r="AB53" i="23"/>
  <c r="AB66" i="23" s="1"/>
  <c r="AA53" i="23"/>
  <c r="AA66" i="23" s="1"/>
  <c r="Z53" i="23"/>
  <c r="Z66" i="23" s="1"/>
  <c r="Y53" i="23"/>
  <c r="Y66" i="23" s="1"/>
  <c r="X53" i="23"/>
  <c r="X66" i="23" s="1"/>
  <c r="W53" i="23"/>
  <c r="W66" i="23" s="1"/>
  <c r="V53" i="23"/>
  <c r="V66" i="23" s="1"/>
  <c r="U53" i="23"/>
  <c r="U66" i="23" s="1"/>
  <c r="T53" i="23"/>
  <c r="T66" i="23" s="1"/>
  <c r="S53" i="23"/>
  <c r="S66" i="23" s="1"/>
  <c r="R53" i="23"/>
  <c r="R66" i="23" s="1"/>
  <c r="Q53" i="23"/>
  <c r="Q66" i="23" s="1"/>
  <c r="B53" i="23"/>
  <c r="B66" i="23" s="1"/>
  <c r="AJ52" i="23"/>
  <c r="AJ51" i="23"/>
  <c r="AJ50" i="23"/>
  <c r="AJ49" i="23"/>
  <c r="AJ48" i="23"/>
  <c r="AJ47" i="23"/>
  <c r="AJ46" i="23"/>
  <c r="AJ45" i="23"/>
  <c r="AJ44" i="23"/>
  <c r="AJ43" i="23"/>
  <c r="AJ42" i="23"/>
  <c r="AJ36" i="23"/>
  <c r="AJ35" i="23"/>
  <c r="AJ34" i="23"/>
  <c r="AJ33" i="23"/>
  <c r="AJ31" i="23"/>
  <c r="AJ30" i="23"/>
  <c r="AJ29" i="23"/>
  <c r="AJ27" i="23"/>
  <c r="AJ26" i="23"/>
  <c r="AJ25" i="23"/>
  <c r="AJ24" i="23"/>
  <c r="AJ23" i="23"/>
  <c r="AJ20" i="23"/>
  <c r="AJ19" i="23"/>
  <c r="AJ14" i="23"/>
  <c r="AJ12" i="23"/>
  <c r="F8" i="22"/>
  <c r="I10" i="22"/>
  <c r="I16" i="22" s="1"/>
  <c r="F12" i="22"/>
  <c r="F16" i="22" s="1"/>
  <c r="CH15" i="17" s="1"/>
  <c r="H14" i="22"/>
  <c r="H16" i="22" s="1"/>
  <c r="D16" i="22"/>
  <c r="G16" i="22"/>
  <c r="P18" i="22"/>
  <c r="F20" i="22"/>
  <c r="O20" i="22"/>
  <c r="F21" i="22"/>
  <c r="F27" i="22" s="1"/>
  <c r="CH21" i="17" s="1"/>
  <c r="O21" i="22"/>
  <c r="G31" i="22" s="1"/>
  <c r="F22" i="22"/>
  <c r="G22" i="22"/>
  <c r="F23" i="22"/>
  <c r="G23" i="22"/>
  <c r="F24" i="22"/>
  <c r="I24" i="22"/>
  <c r="I27" i="22" s="1"/>
  <c r="L24" i="22"/>
  <c r="G24" i="22" s="1"/>
  <c r="G25" i="22"/>
  <c r="H27" i="22"/>
  <c r="N27" i="22"/>
  <c r="D24" i="22" s="1"/>
  <c r="D27" i="22" s="1"/>
  <c r="G29" i="22"/>
  <c r="G30" i="22"/>
  <c r="L31" i="22"/>
  <c r="F32" i="22"/>
  <c r="N32" i="22"/>
  <c r="D31" i="22" s="1"/>
  <c r="D36" i="22" s="1"/>
  <c r="G33" i="22"/>
  <c r="H36" i="22"/>
  <c r="I38" i="22"/>
  <c r="I39" i="22"/>
  <c r="I40" i="22"/>
  <c r="I41" i="22"/>
  <c r="I42" i="22"/>
  <c r="I43" i="22"/>
  <c r="I44" i="22"/>
  <c r="I45" i="22"/>
  <c r="I46" i="22"/>
  <c r="I47" i="22"/>
  <c r="I48" i="22"/>
  <c r="I49" i="22"/>
  <c r="I50" i="22"/>
  <c r="I51" i="22"/>
  <c r="I52" i="22"/>
  <c r="I53" i="22"/>
  <c r="I54" i="22"/>
  <c r="I55" i="22"/>
  <c r="I56" i="22"/>
  <c r="I57" i="22"/>
  <c r="I58" i="22"/>
  <c r="I59" i="22"/>
  <c r="I60" i="22"/>
  <c r="I61" i="22"/>
  <c r="I62" i="22"/>
  <c r="I63" i="22"/>
  <c r="I64" i="22"/>
  <c r="I65" i="22"/>
  <c r="I68" i="22"/>
  <c r="I70" i="22"/>
  <c r="D72" i="22"/>
  <c r="F72" i="22"/>
  <c r="G72" i="22"/>
  <c r="H72" i="22"/>
  <c r="I73" i="22"/>
  <c r="H74" i="22"/>
  <c r="F81" i="22"/>
  <c r="D81" i="22" s="1"/>
  <c r="F83" i="22"/>
  <c r="D83" i="22" s="1"/>
  <c r="O84" i="22"/>
  <c r="H87" i="22"/>
  <c r="H90" i="22" s="1"/>
  <c r="G90" i="22"/>
  <c r="H93" i="22"/>
  <c r="H94" i="22"/>
  <c r="H95" i="22"/>
  <c r="H96" i="22"/>
  <c r="H97" i="22"/>
  <c r="H98" i="22"/>
  <c r="H99" i="22"/>
  <c r="H100" i="22"/>
  <c r="H101" i="22"/>
  <c r="H102" i="22"/>
  <c r="H103" i="22"/>
  <c r="H104" i="22"/>
  <c r="H105" i="22"/>
  <c r="H106" i="22"/>
  <c r="H107" i="22"/>
  <c r="H109" i="22"/>
  <c r="H110" i="22"/>
  <c r="H111" i="22"/>
  <c r="H113" i="22"/>
  <c r="D115" i="22"/>
  <c r="F115" i="22"/>
  <c r="G115" i="22"/>
  <c r="I115" i="22"/>
  <c r="H118" i="22"/>
  <c r="F120" i="22"/>
  <c r="G120" i="22"/>
  <c r="H120" i="22"/>
  <c r="I120" i="22"/>
  <c r="CH36" i="17"/>
  <c r="K36" i="17"/>
  <c r="E36" i="17"/>
  <c r="CH35" i="17"/>
  <c r="CB35" i="17" s="1"/>
  <c r="CE35" i="17" s="1"/>
  <c r="AD35" i="17"/>
  <c r="O18" i="23" s="1"/>
  <c r="K35" i="17"/>
  <c r="E35" i="17"/>
  <c r="CH31" i="17"/>
  <c r="E31" i="17"/>
  <c r="F31" i="17" s="1"/>
  <c r="L31" i="17"/>
  <c r="AD30" i="17"/>
  <c r="K30" i="17"/>
  <c r="E30" i="17"/>
  <c r="CH29" i="17"/>
  <c r="AC32" i="17"/>
  <c r="K29" i="17"/>
  <c r="O29" i="17" s="1"/>
  <c r="E29" i="17"/>
  <c r="E32" i="17" s="1"/>
  <c r="CH25" i="17"/>
  <c r="K25" i="17"/>
  <c r="E25" i="17"/>
  <c r="K24" i="17"/>
  <c r="E24" i="17"/>
  <c r="F24" i="17" s="1"/>
  <c r="K23" i="17"/>
  <c r="E23" i="17"/>
  <c r="K22" i="17"/>
  <c r="E22" i="17"/>
  <c r="F22" i="17" s="1"/>
  <c r="K21" i="17"/>
  <c r="E21" i="17"/>
  <c r="CH17" i="17"/>
  <c r="CB17" i="17" s="1"/>
  <c r="CE17" i="17" s="1"/>
  <c r="AD17" i="17"/>
  <c r="H17" i="17"/>
  <c r="I17" i="17" s="1"/>
  <c r="L17" i="17"/>
  <c r="F17" i="17"/>
  <c r="AD16" i="17"/>
  <c r="K16" i="17"/>
  <c r="E16" i="17"/>
  <c r="AC18" i="17"/>
  <c r="K15" i="17"/>
  <c r="O15" i="17" s="1"/>
  <c r="E15" i="17"/>
  <c r="F11" i="25" l="1"/>
  <c r="I11" i="25" s="1"/>
  <c r="O16" i="17"/>
  <c r="O18" i="17" s="1"/>
  <c r="F16" i="25"/>
  <c r="O21" i="17"/>
  <c r="F18" i="25"/>
  <c r="I18" i="25" s="1"/>
  <c r="O23" i="17"/>
  <c r="F20" i="25"/>
  <c r="I20" i="25" s="1"/>
  <c r="O25" i="17"/>
  <c r="O35" i="17"/>
  <c r="F31" i="25"/>
  <c r="I31" i="25" s="1"/>
  <c r="O36" i="17"/>
  <c r="AA36" i="17"/>
  <c r="X36" i="17"/>
  <c r="U36" i="17"/>
  <c r="F25" i="25"/>
  <c r="I25" i="25" s="1"/>
  <c r="O30" i="17"/>
  <c r="O32" i="17" s="1"/>
  <c r="CB31" i="17"/>
  <c r="CE31" i="17" s="1"/>
  <c r="F17" i="25"/>
  <c r="I17" i="25" s="1"/>
  <c r="O22" i="17"/>
  <c r="F19" i="25"/>
  <c r="I19" i="25" s="1"/>
  <c r="O24" i="17"/>
  <c r="CB36" i="17"/>
  <c r="CE36" i="17" s="1"/>
  <c r="E5" i="17"/>
  <c r="N32" i="17"/>
  <c r="F24" i="25"/>
  <c r="I16" i="25"/>
  <c r="I21" i="25" s="1"/>
  <c r="N18" i="17"/>
  <c r="F10" i="25"/>
  <c r="N37" i="17"/>
  <c r="F30" i="25"/>
  <c r="O22" i="22"/>
  <c r="I31" i="22" s="1"/>
  <c r="I36" i="22" s="1"/>
  <c r="D76" i="22"/>
  <c r="F31" i="22"/>
  <c r="F36" i="22" s="1"/>
  <c r="F76" i="22" s="1"/>
  <c r="I72" i="22"/>
  <c r="M72" i="22" s="1"/>
  <c r="D85" i="22"/>
  <c r="I85" i="22" s="1"/>
  <c r="CH30" i="17" s="1"/>
  <c r="F90" i="22"/>
  <c r="H115" i="22"/>
  <c r="G36" i="22"/>
  <c r="G76" i="22" s="1"/>
  <c r="G122" i="22" s="1"/>
  <c r="G27" i="22"/>
  <c r="CH22" i="17" s="1"/>
  <c r="M16" i="22"/>
  <c r="H76" i="22"/>
  <c r="H122" i="22" s="1"/>
  <c r="CH23" i="17"/>
  <c r="N26" i="17"/>
  <c r="CI25" i="17"/>
  <c r="CC31" i="17"/>
  <c r="F12" i="41"/>
  <c r="I12" i="41" s="1"/>
  <c r="F5" i="17"/>
  <c r="AJ56" i="23"/>
  <c r="AJ64" i="23" s="1"/>
  <c r="AH64" i="23"/>
  <c r="CI35" i="17"/>
  <c r="CI22" i="17"/>
  <c r="H36" i="17"/>
  <c r="CI15" i="17"/>
  <c r="H16" i="17"/>
  <c r="AD29" i="17"/>
  <c r="H21" i="17"/>
  <c r="E18" i="17"/>
  <c r="CI17" i="17"/>
  <c r="H31" i="17"/>
  <c r="K37" i="17"/>
  <c r="AJ53" i="23"/>
  <c r="AJ66" i="23" s="1"/>
  <c r="AJ11" i="23"/>
  <c r="AH53" i="23"/>
  <c r="M115" i="22"/>
  <c r="D122" i="22"/>
  <c r="CI21" i="17"/>
  <c r="K90" i="22"/>
  <c r="CI36" i="17"/>
  <c r="CI29" i="17"/>
  <c r="CH16" i="17"/>
  <c r="AC37" i="17"/>
  <c r="AC26" i="17"/>
  <c r="AD23" i="17"/>
  <c r="AD22" i="17"/>
  <c r="H22" i="17"/>
  <c r="H29" i="17"/>
  <c r="E26" i="17"/>
  <c r="F16" i="17"/>
  <c r="F23" i="17"/>
  <c r="F29" i="17"/>
  <c r="F35" i="17"/>
  <c r="B18" i="23" s="1"/>
  <c r="F30" i="17"/>
  <c r="K18" i="17"/>
  <c r="H15" i="17"/>
  <c r="I15" i="17" s="1"/>
  <c r="H23" i="17"/>
  <c r="L24" i="17"/>
  <c r="AD24" i="17"/>
  <c r="K26" i="17"/>
  <c r="H30" i="17"/>
  <c r="H35" i="17"/>
  <c r="I35" i="17" s="1"/>
  <c r="L36" i="17"/>
  <c r="AD36" i="17"/>
  <c r="L15" i="17"/>
  <c r="L21" i="17"/>
  <c r="AD21" i="17"/>
  <c r="CI23" i="17"/>
  <c r="H24" i="17"/>
  <c r="L25" i="17"/>
  <c r="K32" i="17"/>
  <c r="E37" i="17"/>
  <c r="CH37" i="17"/>
  <c r="L16" i="17"/>
  <c r="L22" i="17"/>
  <c r="H25" i="17"/>
  <c r="L29" i="17"/>
  <c r="AD31" i="17"/>
  <c r="F36" i="17"/>
  <c r="CI31" i="17"/>
  <c r="AD15" i="17"/>
  <c r="AD25" i="17"/>
  <c r="F15" i="17"/>
  <c r="F21" i="17"/>
  <c r="L23" i="17"/>
  <c r="F25" i="17"/>
  <c r="L30" i="17"/>
  <c r="L35" i="17"/>
  <c r="CC36" i="17" l="1"/>
  <c r="O37" i="17"/>
  <c r="F31" i="41"/>
  <c r="I31" i="41" s="1"/>
  <c r="F6" i="17"/>
  <c r="F17" i="24"/>
  <c r="I17" i="24" s="1"/>
  <c r="I22" i="17"/>
  <c r="I37" i="17"/>
  <c r="F11" i="24"/>
  <c r="I11" i="24" s="1"/>
  <c r="I16" i="17"/>
  <c r="U35" i="17"/>
  <c r="F19" i="24"/>
  <c r="I19" i="24" s="1"/>
  <c r="I24" i="17"/>
  <c r="F25" i="24"/>
  <c r="I25" i="24" s="1"/>
  <c r="I30" i="17"/>
  <c r="F18" i="24"/>
  <c r="I18" i="24" s="1"/>
  <c r="I23" i="17"/>
  <c r="F26" i="41"/>
  <c r="I26" i="41" s="1"/>
  <c r="F26" i="24"/>
  <c r="I26" i="24" s="1"/>
  <c r="I31" i="17"/>
  <c r="Z37" i="17"/>
  <c r="AA35" i="17"/>
  <c r="AA37" i="17" s="1"/>
  <c r="W37" i="17"/>
  <c r="X35" i="17"/>
  <c r="X37" i="17" s="1"/>
  <c r="F20" i="24"/>
  <c r="I20" i="24" s="1"/>
  <c r="I25" i="17"/>
  <c r="I18" i="17"/>
  <c r="F24" i="24"/>
  <c r="F27" i="24" s="1"/>
  <c r="I29" i="17"/>
  <c r="F16" i="24"/>
  <c r="I21" i="17"/>
  <c r="F31" i="24"/>
  <c r="I31" i="24" s="1"/>
  <c r="I36" i="17"/>
  <c r="F21" i="25"/>
  <c r="O26" i="17"/>
  <c r="O39" i="17" s="1"/>
  <c r="F31" i="42"/>
  <c r="I31" i="42" s="1"/>
  <c r="BZ36" i="17"/>
  <c r="N39" i="17"/>
  <c r="I30" i="25"/>
  <c r="I32" i="25" s="1"/>
  <c r="F32" i="25"/>
  <c r="F27" i="25"/>
  <c r="I24" i="25"/>
  <c r="I27" i="25" s="1"/>
  <c r="CF31" i="17"/>
  <c r="F26" i="42"/>
  <c r="I26" i="42" s="1"/>
  <c r="I10" i="25"/>
  <c r="I13" i="25" s="1"/>
  <c r="F13" i="25"/>
  <c r="I76" i="22"/>
  <c r="CH24" i="17" s="1"/>
  <c r="I90" i="22"/>
  <c r="I122" i="22" s="1"/>
  <c r="F30" i="41"/>
  <c r="F122" i="22"/>
  <c r="AD18" i="17"/>
  <c r="CF36" i="17"/>
  <c r="H37" i="17"/>
  <c r="F30" i="24"/>
  <c r="I16" i="24"/>
  <c r="F21" i="24"/>
  <c r="CC17" i="17"/>
  <c r="CI37" i="17"/>
  <c r="H18" i="17"/>
  <c r="F10" i="24"/>
  <c r="AH66" i="23"/>
  <c r="CB37" i="17"/>
  <c r="CC35" i="17"/>
  <c r="CH32" i="17"/>
  <c r="CI16" i="17"/>
  <c r="CI18" i="17" s="1"/>
  <c r="AD32" i="17"/>
  <c r="CI30" i="17"/>
  <c r="E39" i="17"/>
  <c r="AC39" i="17"/>
  <c r="AD37" i="17"/>
  <c r="CH18" i="17"/>
  <c r="F37" i="17"/>
  <c r="F18" i="23"/>
  <c r="F26" i="17"/>
  <c r="B21" i="23" s="1"/>
  <c r="F18" i="17"/>
  <c r="B13" i="23" s="1"/>
  <c r="B15" i="23" s="1"/>
  <c r="H32" i="17"/>
  <c r="H26" i="17"/>
  <c r="F32" i="17"/>
  <c r="B22" i="23" s="1"/>
  <c r="AD26" i="17"/>
  <c r="O21" i="23" s="1"/>
  <c r="L32" i="17"/>
  <c r="F22" i="23" s="1"/>
  <c r="L18" i="17"/>
  <c r="F13" i="23" s="1"/>
  <c r="L37" i="17"/>
  <c r="L26" i="17"/>
  <c r="F21" i="23" s="1"/>
  <c r="K39" i="17"/>
  <c r="O22" i="23" l="1"/>
  <c r="O28" i="23" s="1"/>
  <c r="I21" i="24"/>
  <c r="J15" i="23"/>
  <c r="O13" i="23"/>
  <c r="O15" i="23" s="1"/>
  <c r="I24" i="24"/>
  <c r="U37" i="17"/>
  <c r="I26" i="17"/>
  <c r="I39" i="17" s="1"/>
  <c r="I32" i="17"/>
  <c r="I27" i="24"/>
  <c r="F30" i="42"/>
  <c r="F32" i="42" s="1"/>
  <c r="I34" i="25"/>
  <c r="F34" i="25"/>
  <c r="CF17" i="17"/>
  <c r="F12" i="42"/>
  <c r="I12" i="42" s="1"/>
  <c r="M122" i="22"/>
  <c r="M76" i="22"/>
  <c r="CH26" i="17"/>
  <c r="CH39" i="17" s="1"/>
  <c r="CI24" i="17"/>
  <c r="F32" i="41"/>
  <c r="I30" i="41"/>
  <c r="I32" i="41" s="1"/>
  <c r="M90" i="22"/>
  <c r="CC37" i="17"/>
  <c r="AG18" i="23"/>
  <c r="I10" i="24"/>
  <c r="I13" i="24" s="1"/>
  <c r="F13" i="24"/>
  <c r="F32" i="24"/>
  <c r="I30" i="24"/>
  <c r="I32" i="24" s="1"/>
  <c r="D22" i="23"/>
  <c r="F39" i="17"/>
  <c r="AD39" i="17"/>
  <c r="H39" i="17"/>
  <c r="CF35" i="17"/>
  <c r="CF37" i="17" s="1"/>
  <c r="CE37" i="17"/>
  <c r="CI32" i="17"/>
  <c r="H5" i="17"/>
  <c r="B28" i="23"/>
  <c r="B73" i="23" s="1"/>
  <c r="B79" i="23" s="1"/>
  <c r="B82" i="23" s="1"/>
  <c r="B84" i="23" s="1"/>
  <c r="B86" i="23" s="1"/>
  <c r="B32" i="23" s="1"/>
  <c r="B37" i="23" s="1"/>
  <c r="B39" i="23" s="1"/>
  <c r="F15" i="23"/>
  <c r="D13" i="23"/>
  <c r="D15" i="23" s="1"/>
  <c r="D18" i="23"/>
  <c r="F28" i="23"/>
  <c r="H18" i="23"/>
  <c r="D21" i="23"/>
  <c r="H22" i="23"/>
  <c r="AG37" i="17"/>
  <c r="L39" i="17"/>
  <c r="H13" i="23" l="1"/>
  <c r="H15" i="23" s="1"/>
  <c r="I30" i="42"/>
  <c r="I32" i="42" s="1"/>
  <c r="O73" i="23"/>
  <c r="O79" i="23" s="1"/>
  <c r="O82" i="23" s="1"/>
  <c r="O84" i="23" s="1"/>
  <c r="O86" i="23" s="1"/>
  <c r="O32" i="23" s="1"/>
  <c r="O37" i="23" s="1"/>
  <c r="O39" i="23" s="1"/>
  <c r="I6" i="17"/>
  <c r="BZ35" i="17"/>
  <c r="F34" i="24"/>
  <c r="CI26" i="17"/>
  <c r="CI39" i="17" s="1"/>
  <c r="I5" i="17"/>
  <c r="I34" i="24"/>
  <c r="D28" i="23"/>
  <c r="D73" i="23" s="1"/>
  <c r="D79" i="23" s="1"/>
  <c r="D82" i="23" s="1"/>
  <c r="D84" i="23" s="1"/>
  <c r="D86" i="23" s="1"/>
  <c r="D32" i="23" s="1"/>
  <c r="D37" i="23" s="1"/>
  <c r="D39" i="23" s="1"/>
  <c r="J28" i="23"/>
  <c r="H21" i="23"/>
  <c r="H28" i="23" s="1"/>
  <c r="F73" i="23"/>
  <c r="F79" i="23" s="1"/>
  <c r="F82" i="23" s="1"/>
  <c r="F84" i="23" s="1"/>
  <c r="F86" i="23" s="1"/>
  <c r="F32" i="23" s="1"/>
  <c r="F37" i="23" s="1"/>
  <c r="F39" i="23" s="1"/>
  <c r="BZ37" i="17" l="1"/>
  <c r="AF18" i="23"/>
  <c r="AH18" i="23" s="1"/>
  <c r="D70" i="23"/>
  <c r="D69" i="23"/>
  <c r="K5" i="17"/>
  <c r="H73" i="23"/>
  <c r="H79" i="23" s="1"/>
  <c r="H82" i="23" s="1"/>
  <c r="H84" i="23" s="1"/>
  <c r="H86" i="23" s="1"/>
  <c r="H32" i="23" s="1"/>
  <c r="H37" i="23" s="1"/>
  <c r="H39" i="23" s="1"/>
  <c r="J73" i="23"/>
  <c r="J79" i="23" s="1"/>
  <c r="J82" i="23" s="1"/>
  <c r="J84" i="23" s="1"/>
  <c r="J86" i="23" s="1"/>
  <c r="J32" i="23" s="1"/>
  <c r="J37" i="23" s="1"/>
  <c r="J39" i="23" s="1"/>
  <c r="L5" i="17" l="1"/>
  <c r="L6" i="17"/>
  <c r="H70" i="23"/>
  <c r="H69" i="23"/>
  <c r="N5" i="17" l="1"/>
  <c r="W5" i="17"/>
  <c r="X5" i="17" s="1"/>
  <c r="Z5" i="17" s="1"/>
  <c r="AA5" i="17" s="1"/>
  <c r="AC5" i="17" s="1"/>
  <c r="AD5" i="17" s="1"/>
  <c r="AF5" i="17" s="1"/>
  <c r="AG5" i="17" s="1"/>
  <c r="AI5" i="17" s="1"/>
  <c r="AJ5" i="17" s="1"/>
  <c r="AL5" i="17" s="1"/>
  <c r="AM5" i="17" s="1"/>
  <c r="AO5" i="17" s="1"/>
  <c r="AP5" i="17" s="1"/>
  <c r="AR5" i="17" s="1"/>
  <c r="AS5" i="17" s="1"/>
  <c r="AU5" i="17" s="1"/>
  <c r="AV5" i="17" s="1"/>
  <c r="AX5" i="17" s="1"/>
  <c r="AY5" i="17" s="1"/>
  <c r="BA5" i="17" s="1"/>
  <c r="BB5" i="17" s="1"/>
  <c r="BD5" i="17" s="1"/>
  <c r="BE5" i="17" s="1"/>
  <c r="BG5" i="17" s="1"/>
  <c r="BH5" i="17" s="1"/>
  <c r="BJ5" i="17" s="1"/>
  <c r="BK5" i="17" s="1"/>
  <c r="BM5" i="17" s="1"/>
  <c r="BN5" i="17" s="1"/>
  <c r="BP5" i="17" s="1"/>
  <c r="BQ5" i="17" s="1"/>
  <c r="BS5" i="17" s="1"/>
  <c r="BT5" i="17" s="1"/>
  <c r="BV5" i="17" s="1"/>
  <c r="BW5" i="17" s="1"/>
  <c r="BY5" i="17" s="1"/>
  <c r="BZ5" i="17" s="1"/>
  <c r="CB5" i="17" s="1"/>
  <c r="CC5" i="17" s="1"/>
  <c r="CE5" i="17" s="1"/>
  <c r="CF5" i="17" s="1"/>
  <c r="CH5" i="17" s="1"/>
  <c r="CI5" i="17" s="1"/>
  <c r="O5" i="17"/>
  <c r="Q5" i="17" s="1"/>
  <c r="R5" i="17" s="1"/>
  <c r="T5" i="17" s="1"/>
  <c r="U5" i="17" s="1"/>
  <c r="O6" i="17"/>
  <c r="P18" i="16"/>
  <c r="I10" i="16"/>
  <c r="F12" i="16"/>
  <c r="H14" i="16"/>
  <c r="H16" i="16" s="1"/>
  <c r="G16" i="16"/>
  <c r="O21" i="16"/>
  <c r="O22" i="16" s="1"/>
  <c r="L24" i="16"/>
  <c r="G24" i="16" s="1"/>
  <c r="O20" i="16"/>
  <c r="G25" i="16"/>
  <c r="H27" i="16"/>
  <c r="N27" i="16"/>
  <c r="D24" i="16" s="1"/>
  <c r="G29" i="16"/>
  <c r="L31" i="16"/>
  <c r="F32" i="16"/>
  <c r="G33" i="16"/>
  <c r="H36" i="16"/>
  <c r="I38" i="16"/>
  <c r="I40" i="16"/>
  <c r="I41" i="16"/>
  <c r="I42" i="16"/>
  <c r="I43" i="16"/>
  <c r="I44" i="16"/>
  <c r="I45" i="16"/>
  <c r="I46" i="16"/>
  <c r="I48" i="16"/>
  <c r="I49" i="16"/>
  <c r="I50" i="16"/>
  <c r="I51" i="16"/>
  <c r="I52" i="16"/>
  <c r="I53" i="16"/>
  <c r="I54" i="16"/>
  <c r="I56" i="16"/>
  <c r="I57" i="16"/>
  <c r="I58" i="16"/>
  <c r="I59" i="16"/>
  <c r="I60" i="16"/>
  <c r="I61" i="16"/>
  <c r="I62" i="16"/>
  <c r="I64" i="16"/>
  <c r="I65" i="16"/>
  <c r="I68" i="16"/>
  <c r="I70" i="16"/>
  <c r="D72" i="16"/>
  <c r="F72" i="16"/>
  <c r="G72" i="16"/>
  <c r="H72" i="16"/>
  <c r="I73" i="16"/>
  <c r="AF25" i="17" s="1"/>
  <c r="H74" i="16"/>
  <c r="F81" i="16"/>
  <c r="D81" i="16" s="1"/>
  <c r="F83" i="16"/>
  <c r="D83" i="16" s="1"/>
  <c r="O84" i="16"/>
  <c r="H87" i="16"/>
  <c r="H90" i="16" s="1"/>
  <c r="G90" i="16"/>
  <c r="H93" i="16"/>
  <c r="H94" i="16"/>
  <c r="H95" i="16"/>
  <c r="H96" i="16"/>
  <c r="H97" i="16"/>
  <c r="H98" i="16"/>
  <c r="H99" i="16"/>
  <c r="H100" i="16"/>
  <c r="H101" i="16"/>
  <c r="H102" i="16"/>
  <c r="H103" i="16"/>
  <c r="H104" i="16"/>
  <c r="H105" i="16"/>
  <c r="H106" i="16"/>
  <c r="H107" i="16"/>
  <c r="H109" i="16"/>
  <c r="H110" i="16"/>
  <c r="H111" i="16"/>
  <c r="H113" i="16"/>
  <c r="F115" i="16"/>
  <c r="G115" i="16"/>
  <c r="I115" i="16"/>
  <c r="H118" i="16"/>
  <c r="H120" i="16" s="1"/>
  <c r="F120" i="16"/>
  <c r="G120" i="16"/>
  <c r="I120" i="16"/>
  <c r="X25" i="17" l="1"/>
  <c r="U25" i="17"/>
  <c r="AA25" i="17"/>
  <c r="AD6" i="17"/>
  <c r="F20" i="26"/>
  <c r="I20" i="26" s="1"/>
  <c r="AG25" i="17"/>
  <c r="I16" i="16"/>
  <c r="AF16" i="17"/>
  <c r="F90" i="16"/>
  <c r="AF29" i="17" s="1"/>
  <c r="H76" i="16"/>
  <c r="I24" i="16"/>
  <c r="I63" i="16"/>
  <c r="I55" i="16"/>
  <c r="I47" i="16"/>
  <c r="I39" i="16"/>
  <c r="I72" i="16" s="1"/>
  <c r="M72" i="16" s="1"/>
  <c r="H115" i="16"/>
  <c r="N32" i="16"/>
  <c r="D31" i="16" s="1"/>
  <c r="D36" i="16" s="1"/>
  <c r="F31" i="16"/>
  <c r="F36" i="16" s="1"/>
  <c r="F20" i="16"/>
  <c r="D27" i="16"/>
  <c r="F8" i="16"/>
  <c r="F16" i="16" s="1"/>
  <c r="AF15" i="17" s="1"/>
  <c r="D16" i="16"/>
  <c r="D115" i="16"/>
  <c r="G31" i="16"/>
  <c r="F22" i="16"/>
  <c r="G22" i="16"/>
  <c r="F21" i="16"/>
  <c r="F23" i="16"/>
  <c r="G23" i="16" s="1"/>
  <c r="I31" i="16"/>
  <c r="I36" i="16" s="1"/>
  <c r="G30" i="16"/>
  <c r="F24" i="16"/>
  <c r="D85" i="16"/>
  <c r="I85" i="16" s="1"/>
  <c r="I90" i="16" s="1"/>
  <c r="AF30" i="17" s="1"/>
  <c r="P18" i="15"/>
  <c r="I10" i="15"/>
  <c r="F12" i="15"/>
  <c r="H14" i="15"/>
  <c r="H16" i="15" s="1"/>
  <c r="G16" i="15"/>
  <c r="O21" i="15"/>
  <c r="O22" i="15" s="1"/>
  <c r="L24" i="15"/>
  <c r="G25" i="15"/>
  <c r="H27" i="15"/>
  <c r="G29" i="15"/>
  <c r="L31" i="15"/>
  <c r="F32" i="15"/>
  <c r="G33" i="15"/>
  <c r="H36" i="15"/>
  <c r="I38" i="15"/>
  <c r="I39" i="15"/>
  <c r="I40" i="15"/>
  <c r="I42" i="15"/>
  <c r="I43" i="15"/>
  <c r="I44" i="15"/>
  <c r="I46" i="15"/>
  <c r="I47" i="15"/>
  <c r="I48" i="15"/>
  <c r="I50" i="15"/>
  <c r="I51" i="15"/>
  <c r="I52" i="15"/>
  <c r="I54" i="15"/>
  <c r="I55" i="15"/>
  <c r="I56" i="15"/>
  <c r="I58" i="15"/>
  <c r="I59" i="15"/>
  <c r="I60" i="15"/>
  <c r="I62" i="15"/>
  <c r="I63" i="15"/>
  <c r="I64" i="15"/>
  <c r="I68" i="15"/>
  <c r="I70" i="15"/>
  <c r="D72" i="15"/>
  <c r="F72" i="15"/>
  <c r="G72" i="15"/>
  <c r="H72" i="15"/>
  <c r="I73" i="15"/>
  <c r="BV25" i="17" s="1"/>
  <c r="H74" i="15"/>
  <c r="F81" i="15"/>
  <c r="D81" i="15" s="1"/>
  <c r="F83" i="15"/>
  <c r="D83" i="15" s="1"/>
  <c r="O84" i="15"/>
  <c r="H87" i="15"/>
  <c r="H90" i="15" s="1"/>
  <c r="G90" i="15"/>
  <c r="H93" i="15"/>
  <c r="H94" i="15"/>
  <c r="H95" i="15"/>
  <c r="H96" i="15"/>
  <c r="H97" i="15"/>
  <c r="H98" i="15"/>
  <c r="H99" i="15"/>
  <c r="H100" i="15"/>
  <c r="H101" i="15"/>
  <c r="H102" i="15"/>
  <c r="H103" i="15"/>
  <c r="H104" i="15"/>
  <c r="H105" i="15"/>
  <c r="H106" i="15"/>
  <c r="H107" i="15"/>
  <c r="H109" i="15"/>
  <c r="H110" i="15"/>
  <c r="H111" i="15"/>
  <c r="H113" i="15"/>
  <c r="F115" i="15"/>
  <c r="G115" i="15"/>
  <c r="I115" i="15"/>
  <c r="H118" i="15"/>
  <c r="H120" i="15" s="1"/>
  <c r="F120" i="15"/>
  <c r="G120" i="15"/>
  <c r="I120" i="15"/>
  <c r="U16" i="17" l="1"/>
  <c r="AA16" i="17"/>
  <c r="X16" i="17"/>
  <c r="X6" i="17"/>
  <c r="I20" i="44"/>
  <c r="R6" i="17"/>
  <c r="U6" i="17"/>
  <c r="AA30" i="17"/>
  <c r="X30" i="17"/>
  <c r="U30" i="17"/>
  <c r="AA6" i="17"/>
  <c r="G36" i="16"/>
  <c r="F25" i="26"/>
  <c r="I25" i="26" s="1"/>
  <c r="AG30" i="17"/>
  <c r="I16" i="15"/>
  <c r="BV16" i="17"/>
  <c r="I27" i="16"/>
  <c r="I76" i="16" s="1"/>
  <c r="AF23" i="17"/>
  <c r="F11" i="26"/>
  <c r="I11" i="26" s="1"/>
  <c r="AG16" i="17"/>
  <c r="AF18" i="17"/>
  <c r="F10" i="26"/>
  <c r="AG15" i="17"/>
  <c r="F24" i="26"/>
  <c r="AF32" i="17"/>
  <c r="AG29" i="17"/>
  <c r="AG32" i="17" s="1"/>
  <c r="Q22" i="23" s="1"/>
  <c r="F20" i="40"/>
  <c r="I20" i="40" s="1"/>
  <c r="BW25" i="17"/>
  <c r="G27" i="16"/>
  <c r="G76" i="16" s="1"/>
  <c r="D76" i="16"/>
  <c r="H122" i="16"/>
  <c r="M16" i="16"/>
  <c r="M115" i="16"/>
  <c r="D122" i="16"/>
  <c r="F27" i="16"/>
  <c r="K90" i="16"/>
  <c r="M90" i="16"/>
  <c r="O20" i="15"/>
  <c r="N27" i="15"/>
  <c r="D24" i="15" s="1"/>
  <c r="I24" i="15"/>
  <c r="G24" i="15"/>
  <c r="F90" i="15"/>
  <c r="BV29" i="17" s="1"/>
  <c r="H76" i="15"/>
  <c r="I65" i="15"/>
  <c r="I57" i="15"/>
  <c r="I49" i="15"/>
  <c r="I41" i="15"/>
  <c r="I61" i="15"/>
  <c r="I53" i="15"/>
  <c r="I45" i="15"/>
  <c r="H115" i="15"/>
  <c r="H122" i="15" s="1"/>
  <c r="N32" i="15"/>
  <c r="D31" i="15" s="1"/>
  <c r="D36" i="15" s="1"/>
  <c r="D76" i="15" s="1"/>
  <c r="F31" i="15"/>
  <c r="F36" i="15" s="1"/>
  <c r="F20" i="15"/>
  <c r="D27" i="15"/>
  <c r="F8" i="15"/>
  <c r="F16" i="15" s="1"/>
  <c r="BV15" i="17" s="1"/>
  <c r="D16" i="15"/>
  <c r="D115" i="15"/>
  <c r="G31" i="15"/>
  <c r="F22" i="15"/>
  <c r="G22" i="15"/>
  <c r="F21" i="15"/>
  <c r="F23" i="15"/>
  <c r="G23" i="15" s="1"/>
  <c r="I31" i="15"/>
  <c r="I36" i="15" s="1"/>
  <c r="G30" i="15"/>
  <c r="D85" i="15"/>
  <c r="I85" i="15" s="1"/>
  <c r="I90" i="15" s="1"/>
  <c r="BV30" i="17" s="1"/>
  <c r="P18" i="14"/>
  <c r="I10" i="14"/>
  <c r="F12" i="14"/>
  <c r="H14" i="14"/>
  <c r="H16" i="14" s="1"/>
  <c r="G16" i="14"/>
  <c r="O21" i="14"/>
  <c r="O22" i="14" s="1"/>
  <c r="L24" i="14"/>
  <c r="G25" i="14"/>
  <c r="H27" i="14"/>
  <c r="G29" i="14"/>
  <c r="L31" i="14"/>
  <c r="F32" i="14"/>
  <c r="G33" i="14"/>
  <c r="H36" i="14"/>
  <c r="I38" i="14"/>
  <c r="I39" i="14"/>
  <c r="I40" i="14"/>
  <c r="I41" i="14"/>
  <c r="I42" i="14"/>
  <c r="I43" i="14"/>
  <c r="I44" i="14"/>
  <c r="I46" i="14"/>
  <c r="I47" i="14"/>
  <c r="I48" i="14"/>
  <c r="I49" i="14"/>
  <c r="I50" i="14"/>
  <c r="I51" i="14"/>
  <c r="I52" i="14"/>
  <c r="I54" i="14"/>
  <c r="I55" i="14"/>
  <c r="I56" i="14"/>
  <c r="I57" i="14"/>
  <c r="I58" i="14"/>
  <c r="I59" i="14"/>
  <c r="I60" i="14"/>
  <c r="I62" i="14"/>
  <c r="I63" i="14"/>
  <c r="I64" i="14"/>
  <c r="I65" i="14"/>
  <c r="I68" i="14"/>
  <c r="I70" i="14"/>
  <c r="F72" i="14"/>
  <c r="G72" i="14"/>
  <c r="H72" i="14"/>
  <c r="I73" i="14"/>
  <c r="BS25" i="17" s="1"/>
  <c r="H74" i="14"/>
  <c r="F81" i="14"/>
  <c r="D81" i="14" s="1"/>
  <c r="F83" i="14"/>
  <c r="D83" i="14" s="1"/>
  <c r="O84" i="14"/>
  <c r="H87" i="14"/>
  <c r="H90" i="14" s="1"/>
  <c r="G90" i="14"/>
  <c r="H93" i="14"/>
  <c r="H94" i="14"/>
  <c r="H95" i="14"/>
  <c r="H96" i="14"/>
  <c r="H97" i="14"/>
  <c r="H98" i="14"/>
  <c r="H99" i="14"/>
  <c r="H100" i="14"/>
  <c r="H101" i="14"/>
  <c r="H102" i="14"/>
  <c r="H103" i="14"/>
  <c r="H104" i="14"/>
  <c r="H105" i="14"/>
  <c r="H106" i="14"/>
  <c r="H107" i="14"/>
  <c r="H109" i="14"/>
  <c r="H110" i="14"/>
  <c r="H111" i="14"/>
  <c r="H113" i="14"/>
  <c r="F115" i="14"/>
  <c r="G115" i="14"/>
  <c r="I115" i="14"/>
  <c r="H118" i="14"/>
  <c r="H120" i="14" s="1"/>
  <c r="F120" i="14"/>
  <c r="G120" i="14"/>
  <c r="I120" i="14"/>
  <c r="AG6" i="17" l="1"/>
  <c r="U29" i="17"/>
  <c r="I24" i="44"/>
  <c r="I27" i="44" s="1"/>
  <c r="I11" i="44"/>
  <c r="X29" i="17"/>
  <c r="X32" i="17" s="1"/>
  <c r="W32" i="17"/>
  <c r="U15" i="17"/>
  <c r="Z32" i="17"/>
  <c r="AA29" i="17"/>
  <c r="AA32" i="17" s="1"/>
  <c r="Z18" i="17"/>
  <c r="N15" i="23" s="1"/>
  <c r="AA15" i="17"/>
  <c r="AA18" i="17" s="1"/>
  <c r="X15" i="17"/>
  <c r="X18" i="17" s="1"/>
  <c r="W18" i="17"/>
  <c r="M15" i="23" s="1"/>
  <c r="I10" i="44"/>
  <c r="X23" i="17"/>
  <c r="U23" i="17"/>
  <c r="AA23" i="17"/>
  <c r="I25" i="44"/>
  <c r="F10" i="40"/>
  <c r="I10" i="40" s="1"/>
  <c r="BV18" i="17"/>
  <c r="BW15" i="17"/>
  <c r="I27" i="15"/>
  <c r="BV23" i="17"/>
  <c r="F25" i="40"/>
  <c r="BW30" i="17"/>
  <c r="F24" i="40"/>
  <c r="I24" i="40" s="1"/>
  <c r="BV32" i="17"/>
  <c r="BW29" i="17"/>
  <c r="F27" i="26"/>
  <c r="I24" i="26"/>
  <c r="I27" i="26" s="1"/>
  <c r="F11" i="40"/>
  <c r="BW16" i="17"/>
  <c r="G36" i="15"/>
  <c r="I72" i="15"/>
  <c r="I76" i="15" s="1"/>
  <c r="AG18" i="17"/>
  <c r="I16" i="14"/>
  <c r="BS16" i="17"/>
  <c r="G122" i="16"/>
  <c r="AF22" i="17"/>
  <c r="F13" i="26"/>
  <c r="I10" i="26"/>
  <c r="I13" i="26" s="1"/>
  <c r="F18" i="26"/>
  <c r="AG23" i="17"/>
  <c r="F20" i="39"/>
  <c r="I20" i="39" s="1"/>
  <c r="BT25" i="17"/>
  <c r="F76" i="16"/>
  <c r="M76" i="16" s="1"/>
  <c r="AF21" i="17"/>
  <c r="I122" i="16"/>
  <c r="AF24" i="17"/>
  <c r="M72" i="15"/>
  <c r="F24" i="15"/>
  <c r="F27" i="15" s="1"/>
  <c r="G27" i="15"/>
  <c r="M16" i="15"/>
  <c r="M90" i="15"/>
  <c r="M115" i="15"/>
  <c r="D122" i="15"/>
  <c r="K90" i="15"/>
  <c r="O20" i="14"/>
  <c r="N27" i="14"/>
  <c r="D24" i="14" s="1"/>
  <c r="D27" i="14" s="1"/>
  <c r="G24" i="14"/>
  <c r="F90" i="14"/>
  <c r="BS29" i="17" s="1"/>
  <c r="I24" i="14"/>
  <c r="D72" i="14"/>
  <c r="H76" i="14"/>
  <c r="I61" i="14"/>
  <c r="I53" i="14"/>
  <c r="I45" i="14"/>
  <c r="H115" i="14"/>
  <c r="H122" i="14" s="1"/>
  <c r="N32" i="14"/>
  <c r="D31" i="14" s="1"/>
  <c r="D36" i="14" s="1"/>
  <c r="F31" i="14"/>
  <c r="F36" i="14" s="1"/>
  <c r="F20" i="14"/>
  <c r="F8" i="14"/>
  <c r="F16" i="14" s="1"/>
  <c r="BS15" i="17" s="1"/>
  <c r="D16" i="14"/>
  <c r="D115" i="14"/>
  <c r="G31" i="14"/>
  <c r="F22" i="14"/>
  <c r="G22" i="14"/>
  <c r="F21" i="14"/>
  <c r="M90" i="14"/>
  <c r="F23" i="14"/>
  <c r="G23" i="14" s="1"/>
  <c r="I31" i="14"/>
  <c r="I36" i="14" s="1"/>
  <c r="G30" i="14"/>
  <c r="D85" i="14"/>
  <c r="I85" i="14" s="1"/>
  <c r="I90" i="14" s="1"/>
  <c r="BS30" i="17" s="1"/>
  <c r="I10" i="13"/>
  <c r="F12" i="13"/>
  <c r="H14" i="13"/>
  <c r="H16" i="13" s="1"/>
  <c r="G16" i="13"/>
  <c r="P18" i="13"/>
  <c r="L24" i="13"/>
  <c r="O20" i="13"/>
  <c r="G25" i="13"/>
  <c r="H27" i="13"/>
  <c r="G30" i="13"/>
  <c r="L31" i="13"/>
  <c r="F32" i="13"/>
  <c r="G33" i="13"/>
  <c r="H36" i="13"/>
  <c r="I38" i="13"/>
  <c r="I39" i="13"/>
  <c r="I43" i="13"/>
  <c r="I46" i="13"/>
  <c r="I48" i="13"/>
  <c r="I50" i="13"/>
  <c r="I52" i="13"/>
  <c r="I54" i="13"/>
  <c r="I55" i="13"/>
  <c r="I59" i="13"/>
  <c r="I62" i="13"/>
  <c r="I64" i="13"/>
  <c r="I68" i="13"/>
  <c r="I70" i="13"/>
  <c r="F72" i="13"/>
  <c r="G72" i="13"/>
  <c r="H72" i="13"/>
  <c r="I73" i="13"/>
  <c r="BP25" i="17" s="1"/>
  <c r="H74" i="13"/>
  <c r="F81" i="13"/>
  <c r="F90" i="13" s="1"/>
  <c r="BP29" i="17" s="1"/>
  <c r="F83" i="13"/>
  <c r="D83" i="13" s="1"/>
  <c r="O84" i="13"/>
  <c r="H87" i="13"/>
  <c r="H90" i="13" s="1"/>
  <c r="G90" i="13"/>
  <c r="H93" i="13"/>
  <c r="H94" i="13"/>
  <c r="H95" i="13"/>
  <c r="H96" i="13"/>
  <c r="H97" i="13"/>
  <c r="H98" i="13"/>
  <c r="H99" i="13"/>
  <c r="H100" i="13"/>
  <c r="H101" i="13"/>
  <c r="H102" i="13"/>
  <c r="H103" i="13"/>
  <c r="H104" i="13"/>
  <c r="H105" i="13"/>
  <c r="H106" i="13"/>
  <c r="H107" i="13"/>
  <c r="H109" i="13"/>
  <c r="H110" i="13"/>
  <c r="H111" i="13"/>
  <c r="H113" i="13"/>
  <c r="F115" i="13"/>
  <c r="G115" i="13"/>
  <c r="I115" i="13"/>
  <c r="H118" i="13"/>
  <c r="H120" i="13" s="1"/>
  <c r="F120" i="13"/>
  <c r="G120" i="13"/>
  <c r="I120" i="13"/>
  <c r="F27" i="44" l="1"/>
  <c r="I13" i="44"/>
  <c r="U18" i="17"/>
  <c r="U32" i="17"/>
  <c r="AA22" i="17"/>
  <c r="U22" i="17"/>
  <c r="X22" i="17"/>
  <c r="I18" i="44"/>
  <c r="AA24" i="17"/>
  <c r="X24" i="17"/>
  <c r="U24" i="17"/>
  <c r="F13" i="44"/>
  <c r="BW32" i="17"/>
  <c r="AE22" i="23" s="1"/>
  <c r="G76" i="15"/>
  <c r="F122" i="16"/>
  <c r="F76" i="15"/>
  <c r="M76" i="15" s="1"/>
  <c r="BV21" i="17"/>
  <c r="I122" i="15"/>
  <c r="BV24" i="17"/>
  <c r="F20" i="38"/>
  <c r="I20" i="38" s="1"/>
  <c r="BQ25" i="17"/>
  <c r="I16" i="13"/>
  <c r="BP16" i="17"/>
  <c r="F24" i="39"/>
  <c r="BS32" i="17"/>
  <c r="BT29" i="17"/>
  <c r="F19" i="26"/>
  <c r="I19" i="26" s="1"/>
  <c r="AG24" i="17"/>
  <c r="F13" i="40"/>
  <c r="I11" i="40"/>
  <c r="I13" i="40" s="1"/>
  <c r="F25" i="39"/>
  <c r="I25" i="39" s="1"/>
  <c r="BT30" i="17"/>
  <c r="F10" i="39"/>
  <c r="BS18" i="17"/>
  <c r="BT15" i="17"/>
  <c r="F11" i="39"/>
  <c r="I11" i="39" s="1"/>
  <c r="BT16" i="17"/>
  <c r="F27" i="40"/>
  <c r="I25" i="40"/>
  <c r="I27" i="40" s="1"/>
  <c r="BW18" i="17"/>
  <c r="F24" i="38"/>
  <c r="BQ29" i="17"/>
  <c r="G122" i="15"/>
  <c r="BV22" i="17"/>
  <c r="F16" i="26"/>
  <c r="I16" i="26" s="1"/>
  <c r="AF26" i="17"/>
  <c r="AF39" i="17" s="1"/>
  <c r="AG21" i="17"/>
  <c r="F18" i="40"/>
  <c r="I18" i="40" s="1"/>
  <c r="BW23" i="17"/>
  <c r="I27" i="14"/>
  <c r="BS23" i="17"/>
  <c r="M122" i="16"/>
  <c r="I18" i="26"/>
  <c r="F17" i="26"/>
  <c r="I17" i="26" s="1"/>
  <c r="AG22" i="17"/>
  <c r="Q13" i="23"/>
  <c r="D76" i="14"/>
  <c r="I72" i="14"/>
  <c r="I76" i="14" s="1"/>
  <c r="BS24" i="17" s="1"/>
  <c r="F122" i="15"/>
  <c r="I42" i="13"/>
  <c r="I58" i="13"/>
  <c r="M122" i="15"/>
  <c r="I53" i="13"/>
  <c r="I49" i="13"/>
  <c r="F24" i="14"/>
  <c r="G27" i="14"/>
  <c r="I65" i="13"/>
  <c r="G36" i="14"/>
  <c r="M16" i="14"/>
  <c r="I122" i="14"/>
  <c r="M115" i="14"/>
  <c r="D122" i="14"/>
  <c r="F27" i="14"/>
  <c r="BS21" i="17" s="1"/>
  <c r="K90" i="14"/>
  <c r="G24" i="13"/>
  <c r="F23" i="13"/>
  <c r="G23" i="13" s="1"/>
  <c r="D81" i="13"/>
  <c r="D85" i="13" s="1"/>
  <c r="I85" i="13" s="1"/>
  <c r="I90" i="13" s="1"/>
  <c r="I61" i="13"/>
  <c r="I45" i="13"/>
  <c r="H76" i="13"/>
  <c r="I60" i="13"/>
  <c r="I57" i="13"/>
  <c r="I51" i="13"/>
  <c r="I44" i="13"/>
  <c r="I41" i="13"/>
  <c r="O21" i="13"/>
  <c r="O22" i="13" s="1"/>
  <c r="I31" i="13" s="1"/>
  <c r="I36" i="13" s="1"/>
  <c r="I63" i="13"/>
  <c r="I56" i="13"/>
  <c r="I47" i="13"/>
  <c r="I40" i="13"/>
  <c r="G29" i="13"/>
  <c r="F8" i="13"/>
  <c r="F16" i="13" s="1"/>
  <c r="BP15" i="17" s="1"/>
  <c r="D16" i="13"/>
  <c r="H115" i="13"/>
  <c r="F22" i="13"/>
  <c r="G22" i="13"/>
  <c r="F20" i="13"/>
  <c r="I24" i="13"/>
  <c r="N27" i="13"/>
  <c r="D24" i="13" s="1"/>
  <c r="D27" i="13" s="1"/>
  <c r="D115" i="13"/>
  <c r="N32" i="13"/>
  <c r="D31" i="13" s="1"/>
  <c r="D36" i="13" s="1"/>
  <c r="D72" i="13"/>
  <c r="F24" i="13"/>
  <c r="I10" i="12"/>
  <c r="F12" i="12"/>
  <c r="H14" i="12"/>
  <c r="G16" i="12"/>
  <c r="H16" i="12"/>
  <c r="P18" i="12"/>
  <c r="L24" i="12"/>
  <c r="O20" i="12"/>
  <c r="G25" i="12"/>
  <c r="H27" i="12"/>
  <c r="G30" i="12"/>
  <c r="L31" i="12"/>
  <c r="F32" i="12"/>
  <c r="G33" i="12"/>
  <c r="H36" i="12"/>
  <c r="I38" i="12"/>
  <c r="I39" i="12"/>
  <c r="I43" i="12"/>
  <c r="I46" i="12"/>
  <c r="I48" i="12"/>
  <c r="I50" i="12"/>
  <c r="I52" i="12"/>
  <c r="I54" i="12"/>
  <c r="I55" i="12"/>
  <c r="I59" i="12"/>
  <c r="I62" i="12"/>
  <c r="I64" i="12"/>
  <c r="I68" i="12"/>
  <c r="I70" i="12"/>
  <c r="F72" i="12"/>
  <c r="G72" i="12"/>
  <c r="H72" i="12"/>
  <c r="I73" i="12"/>
  <c r="BM25" i="17" s="1"/>
  <c r="H74" i="12"/>
  <c r="F81" i="12"/>
  <c r="F83" i="12"/>
  <c r="D83" i="12" s="1"/>
  <c r="O84" i="12"/>
  <c r="H87" i="12"/>
  <c r="H90" i="12" s="1"/>
  <c r="G90" i="12"/>
  <c r="H93" i="12"/>
  <c r="H94" i="12"/>
  <c r="H95" i="12"/>
  <c r="H96" i="12"/>
  <c r="H97" i="12"/>
  <c r="H98" i="12"/>
  <c r="H99" i="12"/>
  <c r="H100" i="12"/>
  <c r="H101" i="12"/>
  <c r="H102" i="12"/>
  <c r="H103" i="12"/>
  <c r="H104" i="12"/>
  <c r="H105" i="12"/>
  <c r="H106" i="12"/>
  <c r="H107" i="12"/>
  <c r="H109" i="12"/>
  <c r="H110" i="12"/>
  <c r="H111" i="12"/>
  <c r="H113" i="12"/>
  <c r="F115" i="12"/>
  <c r="G115" i="12"/>
  <c r="I115" i="12"/>
  <c r="H118" i="12"/>
  <c r="H120" i="12" s="1"/>
  <c r="F120" i="12"/>
  <c r="G120" i="12"/>
  <c r="I120" i="12"/>
  <c r="X21" i="17" l="1"/>
  <c r="X26" i="17" s="1"/>
  <c r="X39" i="17" s="1"/>
  <c r="W26" i="17"/>
  <c r="I16" i="44"/>
  <c r="I19" i="44"/>
  <c r="U21" i="17"/>
  <c r="AJ6" i="17"/>
  <c r="Z26" i="17"/>
  <c r="AA21" i="17"/>
  <c r="AA26" i="17" s="1"/>
  <c r="AA39" i="17" s="1"/>
  <c r="I17" i="44"/>
  <c r="F31" i="13"/>
  <c r="F36" i="13" s="1"/>
  <c r="BP30" i="17"/>
  <c r="M90" i="13"/>
  <c r="I27" i="13"/>
  <c r="BP23" i="17"/>
  <c r="H122" i="13"/>
  <c r="F17" i="40"/>
  <c r="I17" i="40" s="1"/>
  <c r="BW22" i="17"/>
  <c r="F11" i="38"/>
  <c r="I11" i="38" s="1"/>
  <c r="BQ16" i="17"/>
  <c r="F19" i="40"/>
  <c r="I19" i="40" s="1"/>
  <c r="BW24" i="17"/>
  <c r="F90" i="12"/>
  <c r="BM29" i="17" s="1"/>
  <c r="F76" i="14"/>
  <c r="F122" i="14" s="1"/>
  <c r="AG26" i="17"/>
  <c r="AE13" i="23"/>
  <c r="AE15" i="23" s="1"/>
  <c r="I10" i="39"/>
  <c r="I13" i="39" s="1"/>
  <c r="F13" i="39"/>
  <c r="BT32" i="17"/>
  <c r="AD22" i="23" s="1"/>
  <c r="F10" i="38"/>
  <c r="BP18" i="17"/>
  <c r="BQ15" i="17"/>
  <c r="BQ18" i="17" s="1"/>
  <c r="F18" i="39"/>
  <c r="I18" i="39" s="1"/>
  <c r="BT23" i="17"/>
  <c r="F16" i="40"/>
  <c r="BV26" i="17"/>
  <c r="BV39" i="17" s="1"/>
  <c r="BW21" i="17"/>
  <c r="F20" i="37"/>
  <c r="I20" i="37" s="1"/>
  <c r="BN25" i="17"/>
  <c r="I16" i="12"/>
  <c r="BM16" i="17"/>
  <c r="F16" i="39"/>
  <c r="BT21" i="17"/>
  <c r="F19" i="39"/>
  <c r="I19" i="39" s="1"/>
  <c r="BT24" i="17"/>
  <c r="Q15" i="23"/>
  <c r="F21" i="26"/>
  <c r="F34" i="26" s="1"/>
  <c r="I21" i="26"/>
  <c r="I34" i="26" s="1"/>
  <c r="I24" i="38"/>
  <c r="BT18" i="17"/>
  <c r="F27" i="39"/>
  <c r="I24" i="39"/>
  <c r="I27" i="39" s="1"/>
  <c r="G76" i="14"/>
  <c r="M72" i="14"/>
  <c r="I42" i="12"/>
  <c r="I65" i="12"/>
  <c r="I72" i="13"/>
  <c r="M76" i="14"/>
  <c r="I58" i="12"/>
  <c r="G31" i="13"/>
  <c r="G36" i="13" s="1"/>
  <c r="I53" i="12"/>
  <c r="I49" i="12"/>
  <c r="G27" i="13"/>
  <c r="K90" i="13"/>
  <c r="M16" i="13"/>
  <c r="M72" i="13"/>
  <c r="D76" i="13"/>
  <c r="D122" i="13" s="1"/>
  <c r="M115" i="13"/>
  <c r="F21" i="13"/>
  <c r="F27" i="13"/>
  <c r="F24" i="12"/>
  <c r="F23" i="12"/>
  <c r="G23" i="12" s="1"/>
  <c r="I60" i="12"/>
  <c r="I57" i="12"/>
  <c r="I51" i="12"/>
  <c r="I44" i="12"/>
  <c r="I41" i="12"/>
  <c r="O21" i="12"/>
  <c r="O22" i="12" s="1"/>
  <c r="I31" i="12" s="1"/>
  <c r="I36" i="12" s="1"/>
  <c r="D81" i="12"/>
  <c r="D85" i="12" s="1"/>
  <c r="I85" i="12" s="1"/>
  <c r="I90" i="12" s="1"/>
  <c r="BM30" i="17" s="1"/>
  <c r="I61" i="12"/>
  <c r="I45" i="12"/>
  <c r="H76" i="12"/>
  <c r="I63" i="12"/>
  <c r="I56" i="12"/>
  <c r="I47" i="12"/>
  <c r="I40" i="12"/>
  <c r="I24" i="12"/>
  <c r="N27" i="12"/>
  <c r="D24" i="12" s="1"/>
  <c r="D27" i="12" s="1"/>
  <c r="G29" i="12"/>
  <c r="F8" i="12"/>
  <c r="F16" i="12" s="1"/>
  <c r="BM15" i="17" s="1"/>
  <c r="D16" i="12"/>
  <c r="H115" i="12"/>
  <c r="F22" i="12"/>
  <c r="G22" i="12"/>
  <c r="F20" i="12"/>
  <c r="D115" i="12"/>
  <c r="F31" i="12"/>
  <c r="F36" i="12" s="1"/>
  <c r="N32" i="12"/>
  <c r="D31" i="12" s="1"/>
  <c r="D36" i="12" s="1"/>
  <c r="G24" i="12"/>
  <c r="D72" i="12"/>
  <c r="I10" i="11"/>
  <c r="F12" i="11"/>
  <c r="H14" i="11"/>
  <c r="H16" i="11" s="1"/>
  <c r="G16" i="11"/>
  <c r="P18" i="11"/>
  <c r="L24" i="11"/>
  <c r="O20" i="11"/>
  <c r="G25" i="11"/>
  <c r="H27" i="11"/>
  <c r="G30" i="11"/>
  <c r="L31" i="11"/>
  <c r="F32" i="11"/>
  <c r="G33" i="11"/>
  <c r="H36" i="11"/>
  <c r="I38" i="11"/>
  <c r="I39" i="11"/>
  <c r="I43" i="11"/>
  <c r="I46" i="11"/>
  <c r="I48" i="11"/>
  <c r="I50" i="11"/>
  <c r="I52" i="11"/>
  <c r="I54" i="11"/>
  <c r="I55" i="11"/>
  <c r="I59" i="11"/>
  <c r="I62" i="11"/>
  <c r="I64" i="11"/>
  <c r="I68" i="11"/>
  <c r="I70" i="11"/>
  <c r="F72" i="11"/>
  <c r="G72" i="11"/>
  <c r="H72" i="11"/>
  <c r="I73" i="11"/>
  <c r="BJ25" i="17" s="1"/>
  <c r="H74" i="11"/>
  <c r="F81" i="11"/>
  <c r="D81" i="11" s="1"/>
  <c r="F83" i="11"/>
  <c r="D83" i="11" s="1"/>
  <c r="O84" i="11"/>
  <c r="H87" i="11"/>
  <c r="H90" i="11" s="1"/>
  <c r="G90" i="11"/>
  <c r="H93" i="11"/>
  <c r="H94" i="11"/>
  <c r="H95" i="11"/>
  <c r="H96" i="11"/>
  <c r="H97" i="11"/>
  <c r="H98" i="11"/>
  <c r="H99" i="11"/>
  <c r="H100" i="11"/>
  <c r="H101" i="11"/>
  <c r="H102" i="11"/>
  <c r="H103" i="11"/>
  <c r="H104" i="11"/>
  <c r="H105" i="11"/>
  <c r="H106" i="11"/>
  <c r="H107" i="11"/>
  <c r="H109" i="11"/>
  <c r="H110" i="11"/>
  <c r="H111" i="11"/>
  <c r="H113" i="11"/>
  <c r="F115" i="11"/>
  <c r="G115" i="11"/>
  <c r="I115" i="11"/>
  <c r="H118" i="11"/>
  <c r="H120" i="11" s="1"/>
  <c r="F120" i="11"/>
  <c r="G120" i="11"/>
  <c r="I120" i="11"/>
  <c r="I21" i="44" l="1"/>
  <c r="I34" i="44" s="1"/>
  <c r="F21" i="44"/>
  <c r="F34" i="44" s="1"/>
  <c r="Z39" i="17"/>
  <c r="N28" i="23"/>
  <c r="N73" i="23" s="1"/>
  <c r="N79" i="23" s="1"/>
  <c r="N82" i="23" s="1"/>
  <c r="N84" i="23" s="1"/>
  <c r="N86" i="23" s="1"/>
  <c r="N32" i="23" s="1"/>
  <c r="N37" i="23" s="1"/>
  <c r="N39" i="23" s="1"/>
  <c r="W39" i="17"/>
  <c r="M28" i="23"/>
  <c r="M73" i="23" s="1"/>
  <c r="M79" i="23" s="1"/>
  <c r="M82" i="23" s="1"/>
  <c r="M84" i="23" s="1"/>
  <c r="M86" i="23" s="1"/>
  <c r="M32" i="23" s="1"/>
  <c r="M37" i="23" s="1"/>
  <c r="M39" i="23" s="1"/>
  <c r="U26" i="17"/>
  <c r="U39" i="17" s="1"/>
  <c r="G31" i="12"/>
  <c r="I76" i="13"/>
  <c r="BP24" i="17" s="1"/>
  <c r="F76" i="13"/>
  <c r="F122" i="13" s="1"/>
  <c r="BP21" i="17"/>
  <c r="I27" i="12"/>
  <c r="BM23" i="17"/>
  <c r="F25" i="37"/>
  <c r="I25" i="37" s="1"/>
  <c r="BN30" i="17"/>
  <c r="AD13" i="23"/>
  <c r="AD15" i="23" s="1"/>
  <c r="F11" i="37"/>
  <c r="BN16" i="17"/>
  <c r="AC13" i="23"/>
  <c r="AC15" i="23" s="1"/>
  <c r="Q21" i="23"/>
  <c r="AG39" i="17"/>
  <c r="F20" i="36"/>
  <c r="I20" i="36" s="1"/>
  <c r="BK25" i="17"/>
  <c r="I16" i="11"/>
  <c r="BJ16" i="17"/>
  <c r="BM18" i="17"/>
  <c r="F10" i="37"/>
  <c r="I10" i="37" s="1"/>
  <c r="BN15" i="17"/>
  <c r="BW26" i="17"/>
  <c r="I10" i="38"/>
  <c r="I13" i="38" s="1"/>
  <c r="F13" i="38"/>
  <c r="F24" i="37"/>
  <c r="BM32" i="17"/>
  <c r="BN29" i="17"/>
  <c r="F18" i="38"/>
  <c r="I18" i="38" s="1"/>
  <c r="BQ23" i="17"/>
  <c r="I122" i="13"/>
  <c r="G122" i="14"/>
  <c r="M122" i="14" s="1"/>
  <c r="BS22" i="17"/>
  <c r="I16" i="39"/>
  <c r="I16" i="40"/>
  <c r="I21" i="40" s="1"/>
  <c r="I34" i="40" s="1"/>
  <c r="F21" i="40"/>
  <c r="F34" i="40" s="1"/>
  <c r="F25" i="38"/>
  <c r="BQ30" i="17"/>
  <c r="BQ32" i="17" s="1"/>
  <c r="AC22" i="23" s="1"/>
  <c r="BP32" i="17"/>
  <c r="G76" i="13"/>
  <c r="I58" i="11"/>
  <c r="I72" i="12"/>
  <c r="I76" i="12" s="1"/>
  <c r="M76" i="13"/>
  <c r="G27" i="12"/>
  <c r="I65" i="11"/>
  <c r="G36" i="12"/>
  <c r="I42" i="11"/>
  <c r="I53" i="11"/>
  <c r="I49" i="11"/>
  <c r="H122" i="12"/>
  <c r="M16" i="12"/>
  <c r="M90" i="12"/>
  <c r="M115" i="12"/>
  <c r="D76" i="12"/>
  <c r="F21" i="12"/>
  <c r="F27" i="12" s="1"/>
  <c r="K90" i="12"/>
  <c r="G24" i="11"/>
  <c r="F23" i="11"/>
  <c r="G23" i="11" s="1"/>
  <c r="I61" i="11"/>
  <c r="I45" i="11"/>
  <c r="F90" i="11"/>
  <c r="H76" i="11"/>
  <c r="I60" i="11"/>
  <c r="I57" i="11"/>
  <c r="I51" i="11"/>
  <c r="I44" i="11"/>
  <c r="I41" i="11"/>
  <c r="O21" i="11"/>
  <c r="O22" i="11" s="1"/>
  <c r="I31" i="11" s="1"/>
  <c r="I36" i="11" s="1"/>
  <c r="I63" i="11"/>
  <c r="I56" i="11"/>
  <c r="I47" i="11"/>
  <c r="I40" i="11"/>
  <c r="G29" i="11"/>
  <c r="F8" i="11"/>
  <c r="F16" i="11" s="1"/>
  <c r="BJ15" i="17" s="1"/>
  <c r="D16" i="11"/>
  <c r="H115" i="11"/>
  <c r="F22" i="11"/>
  <c r="G22" i="11"/>
  <c r="F20" i="11"/>
  <c r="I24" i="11"/>
  <c r="N27" i="11"/>
  <c r="D24" i="11" s="1"/>
  <c r="D27" i="11" s="1"/>
  <c r="D115" i="11"/>
  <c r="G31" i="11"/>
  <c r="F31" i="11"/>
  <c r="F36" i="11" s="1"/>
  <c r="N32" i="11"/>
  <c r="D31" i="11" s="1"/>
  <c r="D36" i="11" s="1"/>
  <c r="D72" i="11"/>
  <c r="F24" i="11"/>
  <c r="D85" i="11"/>
  <c r="I85" i="11" s="1"/>
  <c r="I90" i="11" s="1"/>
  <c r="BJ30" i="17" s="1"/>
  <c r="I10" i="10"/>
  <c r="F12" i="10"/>
  <c r="H14" i="10"/>
  <c r="H16" i="10" s="1"/>
  <c r="G16" i="10"/>
  <c r="P18" i="10"/>
  <c r="L24" i="10"/>
  <c r="O20" i="10"/>
  <c r="G25" i="10"/>
  <c r="H27" i="10"/>
  <c r="G30" i="10"/>
  <c r="L31" i="10"/>
  <c r="F32" i="10"/>
  <c r="G33" i="10"/>
  <c r="H36" i="10"/>
  <c r="I38" i="10"/>
  <c r="I39" i="10"/>
  <c r="I43" i="10"/>
  <c r="I46" i="10"/>
  <c r="I48" i="10"/>
  <c r="I50" i="10"/>
  <c r="I52" i="10"/>
  <c r="I54" i="10"/>
  <c r="I55" i="10"/>
  <c r="I59" i="10"/>
  <c r="I62" i="10"/>
  <c r="I64" i="10"/>
  <c r="I68" i="10"/>
  <c r="I70" i="10"/>
  <c r="F72" i="10"/>
  <c r="G72" i="10"/>
  <c r="H72" i="10"/>
  <c r="I73" i="10"/>
  <c r="BG25" i="17" s="1"/>
  <c r="H74" i="10"/>
  <c r="F81" i="10"/>
  <c r="D81" i="10" s="1"/>
  <c r="F83" i="10"/>
  <c r="D83" i="10" s="1"/>
  <c r="O84" i="10"/>
  <c r="H87" i="10"/>
  <c r="H90" i="10" s="1"/>
  <c r="G90" i="10"/>
  <c r="H93" i="10"/>
  <c r="H94" i="10"/>
  <c r="H95" i="10"/>
  <c r="H96" i="10"/>
  <c r="H97" i="10"/>
  <c r="H98" i="10"/>
  <c r="H99" i="10"/>
  <c r="H100" i="10"/>
  <c r="H101" i="10"/>
  <c r="H102" i="10"/>
  <c r="H103" i="10"/>
  <c r="H104" i="10"/>
  <c r="H105" i="10"/>
  <c r="H106" i="10"/>
  <c r="H107" i="10"/>
  <c r="H109" i="10"/>
  <c r="H110" i="10"/>
  <c r="H111" i="10"/>
  <c r="H113" i="10"/>
  <c r="F115" i="10"/>
  <c r="G115" i="10"/>
  <c r="I115" i="10"/>
  <c r="H118" i="10"/>
  <c r="H120" i="10" s="1"/>
  <c r="F120" i="10"/>
  <c r="G120" i="10"/>
  <c r="I120" i="10"/>
  <c r="N70" i="23" l="1"/>
  <c r="N69" i="23"/>
  <c r="M69" i="23"/>
  <c r="M70" i="23"/>
  <c r="AM6" i="17"/>
  <c r="BN32" i="17"/>
  <c r="AB22" i="23" s="1"/>
  <c r="BN18" i="17"/>
  <c r="AB13" i="23" s="1"/>
  <c r="AB15" i="23" s="1"/>
  <c r="F20" i="35"/>
  <c r="I20" i="35" s="1"/>
  <c r="BH25" i="17"/>
  <c r="I16" i="10"/>
  <c r="BG16" i="17"/>
  <c r="M90" i="11"/>
  <c r="BJ29" i="17"/>
  <c r="I122" i="12"/>
  <c r="BM24" i="17"/>
  <c r="F19" i="38"/>
  <c r="I19" i="38" s="1"/>
  <c r="BQ24" i="17"/>
  <c r="F25" i="36"/>
  <c r="I25" i="36" s="1"/>
  <c r="BK30" i="17"/>
  <c r="I27" i="11"/>
  <c r="BJ23" i="17"/>
  <c r="H122" i="11"/>
  <c r="G76" i="12"/>
  <c r="Q28" i="23"/>
  <c r="F16" i="38"/>
  <c r="I16" i="38" s="1"/>
  <c r="BQ21" i="17"/>
  <c r="F76" i="12"/>
  <c r="F122" i="12" s="1"/>
  <c r="BM21" i="17"/>
  <c r="G122" i="13"/>
  <c r="M122" i="13" s="1"/>
  <c r="BP22" i="17"/>
  <c r="BP26" i="17" s="1"/>
  <c r="BP39" i="17" s="1"/>
  <c r="F17" i="39"/>
  <c r="BT22" i="17"/>
  <c r="BT26" i="17" s="1"/>
  <c r="BS26" i="17"/>
  <c r="BS39" i="17" s="1"/>
  <c r="AE21" i="23"/>
  <c r="AE28" i="23" s="1"/>
  <c r="AE73" i="23" s="1"/>
  <c r="AE79" i="23" s="1"/>
  <c r="AE82" i="23" s="1"/>
  <c r="AE84" i="23" s="1"/>
  <c r="AE86" i="23" s="1"/>
  <c r="AE32" i="23" s="1"/>
  <c r="AE37" i="23" s="1"/>
  <c r="AE39" i="23" s="1"/>
  <c r="BW39" i="17"/>
  <c r="F13" i="37"/>
  <c r="I11" i="37"/>
  <c r="I13" i="37" s="1"/>
  <c r="F10" i="36"/>
  <c r="BJ18" i="17"/>
  <c r="BK15" i="17"/>
  <c r="I25" i="38"/>
  <c r="I27" i="38" s="1"/>
  <c r="F27" i="38"/>
  <c r="F27" i="37"/>
  <c r="I24" i="37"/>
  <c r="I27" i="37" s="1"/>
  <c r="F11" i="36"/>
  <c r="I11" i="36" s="1"/>
  <c r="BK16" i="17"/>
  <c r="F18" i="37"/>
  <c r="I18" i="37" s="1"/>
  <c r="BN23" i="17"/>
  <c r="M72" i="12"/>
  <c r="I53" i="10"/>
  <c r="I49" i="10"/>
  <c r="I72" i="11"/>
  <c r="M72" i="11" s="1"/>
  <c r="M76" i="12"/>
  <c r="D122" i="12"/>
  <c r="I58" i="10"/>
  <c r="I42" i="10"/>
  <c r="G27" i="11"/>
  <c r="K90" i="11"/>
  <c r="I65" i="10"/>
  <c r="M16" i="11"/>
  <c r="D76" i="11"/>
  <c r="D122" i="11" s="1"/>
  <c r="M115" i="11"/>
  <c r="F21" i="11"/>
  <c r="F27" i="11" s="1"/>
  <c r="G36" i="11"/>
  <c r="G24" i="10"/>
  <c r="F23" i="10"/>
  <c r="G23" i="10" s="1"/>
  <c r="F90" i="10"/>
  <c r="BG29" i="17" s="1"/>
  <c r="H76" i="10"/>
  <c r="I60" i="10"/>
  <c r="I57" i="10"/>
  <c r="I51" i="10"/>
  <c r="I44" i="10"/>
  <c r="I41" i="10"/>
  <c r="O21" i="10"/>
  <c r="O22" i="10" s="1"/>
  <c r="I31" i="10" s="1"/>
  <c r="I36" i="10" s="1"/>
  <c r="I61" i="10"/>
  <c r="I45" i="10"/>
  <c r="I63" i="10"/>
  <c r="I56" i="10"/>
  <c r="I47" i="10"/>
  <c r="I40" i="10"/>
  <c r="G29" i="10"/>
  <c r="F8" i="10"/>
  <c r="F16" i="10" s="1"/>
  <c r="BG15" i="17" s="1"/>
  <c r="D16" i="10"/>
  <c r="H115" i="10"/>
  <c r="H122" i="10" s="1"/>
  <c r="F22" i="10"/>
  <c r="G22" i="10"/>
  <c r="F20" i="10"/>
  <c r="D27" i="10"/>
  <c r="I24" i="10"/>
  <c r="N27" i="10"/>
  <c r="D24" i="10" s="1"/>
  <c r="D115" i="10"/>
  <c r="M90" i="10"/>
  <c r="N32" i="10"/>
  <c r="D31" i="10" s="1"/>
  <c r="D36" i="10" s="1"/>
  <c r="F24" i="10"/>
  <c r="D85" i="10"/>
  <c r="I85" i="10" s="1"/>
  <c r="I90" i="10" s="1"/>
  <c r="BG30" i="17" s="1"/>
  <c r="D72" i="10"/>
  <c r="P18" i="9"/>
  <c r="I10" i="9"/>
  <c r="F12" i="9"/>
  <c r="H14" i="9"/>
  <c r="H16" i="9" s="1"/>
  <c r="G16" i="9"/>
  <c r="O21" i="9"/>
  <c r="O22" i="9" s="1"/>
  <c r="F23" i="9"/>
  <c r="L24" i="9"/>
  <c r="G24" i="9" s="1"/>
  <c r="O20" i="9"/>
  <c r="G25" i="9"/>
  <c r="H27" i="9"/>
  <c r="G30" i="9"/>
  <c r="L31" i="9"/>
  <c r="F32" i="9"/>
  <c r="G33" i="9"/>
  <c r="H36" i="9"/>
  <c r="I38" i="9"/>
  <c r="I42" i="9"/>
  <c r="I43" i="9"/>
  <c r="I44" i="9"/>
  <c r="I46" i="9"/>
  <c r="I50" i="9"/>
  <c r="I51" i="9"/>
  <c r="I52" i="9"/>
  <c r="I54" i="9"/>
  <c r="I58" i="9"/>
  <c r="I59" i="9"/>
  <c r="I60" i="9"/>
  <c r="I62" i="9"/>
  <c r="I68" i="9"/>
  <c r="I70" i="9"/>
  <c r="F72" i="9"/>
  <c r="G72" i="9"/>
  <c r="H72" i="9"/>
  <c r="I73" i="9"/>
  <c r="BD25" i="17" s="1"/>
  <c r="H74" i="9"/>
  <c r="F81" i="9"/>
  <c r="D81" i="9" s="1"/>
  <c r="F83" i="9"/>
  <c r="D83" i="9" s="1"/>
  <c r="O84" i="9"/>
  <c r="H87" i="9"/>
  <c r="H90" i="9" s="1"/>
  <c r="F90" i="9"/>
  <c r="BD29" i="17" s="1"/>
  <c r="G90" i="9"/>
  <c r="H93" i="9"/>
  <c r="H94" i="9"/>
  <c r="H95" i="9"/>
  <c r="H96" i="9"/>
  <c r="H97" i="9"/>
  <c r="H98" i="9"/>
  <c r="H99" i="9"/>
  <c r="H100" i="9"/>
  <c r="H101" i="9"/>
  <c r="H102" i="9"/>
  <c r="H103" i="9"/>
  <c r="H104" i="9"/>
  <c r="H105" i="9"/>
  <c r="H106" i="9"/>
  <c r="H107" i="9"/>
  <c r="H109" i="9"/>
  <c r="H110" i="9"/>
  <c r="H111" i="9"/>
  <c r="H113" i="9"/>
  <c r="F115" i="9"/>
  <c r="G115" i="9"/>
  <c r="I115" i="9"/>
  <c r="H118" i="9"/>
  <c r="H120" i="9" s="1"/>
  <c r="F120" i="9"/>
  <c r="G120" i="9"/>
  <c r="I120" i="9"/>
  <c r="AP6" i="17" l="1"/>
  <c r="BK18" i="17"/>
  <c r="G76" i="11"/>
  <c r="F76" i="11"/>
  <c r="F122" i="11" s="1"/>
  <c r="BJ21" i="17"/>
  <c r="F20" i="34"/>
  <c r="I20" i="34" s="1"/>
  <c r="BE25" i="17"/>
  <c r="G122" i="11"/>
  <c r="BJ22" i="17"/>
  <c r="AD21" i="23"/>
  <c r="AD28" i="23" s="1"/>
  <c r="AD73" i="23" s="1"/>
  <c r="AD79" i="23" s="1"/>
  <c r="AD82" i="23" s="1"/>
  <c r="AD84" i="23" s="1"/>
  <c r="AD86" i="23" s="1"/>
  <c r="AD32" i="23" s="1"/>
  <c r="AD37" i="23" s="1"/>
  <c r="AD39" i="23" s="1"/>
  <c r="BT39" i="17"/>
  <c r="F16" i="37"/>
  <c r="BN21" i="17"/>
  <c r="G122" i="12"/>
  <c r="BM22" i="17"/>
  <c r="BM26" i="17" s="1"/>
  <c r="BM39" i="17" s="1"/>
  <c r="F24" i="34"/>
  <c r="BE29" i="17"/>
  <c r="I16" i="9"/>
  <c r="BD16" i="17"/>
  <c r="F10" i="35"/>
  <c r="BG18" i="17"/>
  <c r="BH15" i="17"/>
  <c r="F17" i="38"/>
  <c r="BQ22" i="17"/>
  <c r="BQ26" i="17" s="1"/>
  <c r="Q73" i="23"/>
  <c r="Q79" i="23" s="1"/>
  <c r="Q82" i="23" s="1"/>
  <c r="Q84" i="23" s="1"/>
  <c r="Q86" i="23" s="1"/>
  <c r="Q32" i="23" s="1"/>
  <c r="F18" i="36"/>
  <c r="I18" i="36" s="1"/>
  <c r="BK23" i="17"/>
  <c r="F24" i="36"/>
  <c r="BJ32" i="17"/>
  <c r="BK29" i="17"/>
  <c r="BK32" i="17" s="1"/>
  <c r="AA22" i="23" s="1"/>
  <c r="I27" i="10"/>
  <c r="BG23" i="17"/>
  <c r="I10" i="36"/>
  <c r="I13" i="36" s="1"/>
  <c r="F13" i="36"/>
  <c r="F19" i="37"/>
  <c r="I19" i="37" s="1"/>
  <c r="BN24" i="17"/>
  <c r="F11" i="35"/>
  <c r="I11" i="35" s="1"/>
  <c r="BH16" i="17"/>
  <c r="F25" i="35"/>
  <c r="I25" i="35" s="1"/>
  <c r="BH30" i="17"/>
  <c r="F24" i="35"/>
  <c r="BG32" i="17"/>
  <c r="BH29" i="17"/>
  <c r="AA13" i="23"/>
  <c r="AA15" i="23" s="1"/>
  <c r="AE70" i="23"/>
  <c r="AE69" i="23"/>
  <c r="I17" i="39"/>
  <c r="I21" i="39" s="1"/>
  <c r="I34" i="39" s="1"/>
  <c r="F21" i="39"/>
  <c r="F34" i="39" s="1"/>
  <c r="I76" i="11"/>
  <c r="I72" i="10"/>
  <c r="I76" i="10" s="1"/>
  <c r="M122" i="12"/>
  <c r="I41" i="9"/>
  <c r="M76" i="11"/>
  <c r="I65" i="9"/>
  <c r="G27" i="10"/>
  <c r="I57" i="9"/>
  <c r="I49" i="9"/>
  <c r="F31" i="10"/>
  <c r="F36" i="10" s="1"/>
  <c r="G31" i="10"/>
  <c r="G36" i="10" s="1"/>
  <c r="G76" i="10" s="1"/>
  <c r="M115" i="10"/>
  <c r="D76" i="10"/>
  <c r="D122" i="10" s="1"/>
  <c r="F21" i="10"/>
  <c r="F27" i="10" s="1"/>
  <c r="M16" i="10"/>
  <c r="K90" i="10"/>
  <c r="I64" i="9"/>
  <c r="I61" i="9"/>
  <c r="I55" i="9"/>
  <c r="I48" i="9"/>
  <c r="I45" i="9"/>
  <c r="I39" i="9"/>
  <c r="I31" i="9"/>
  <c r="I36" i="9" s="1"/>
  <c r="H76" i="9"/>
  <c r="G23" i="9"/>
  <c r="I63" i="9"/>
  <c r="I56" i="9"/>
  <c r="I53" i="9"/>
  <c r="I47" i="9"/>
  <c r="I40" i="9"/>
  <c r="I24" i="9"/>
  <c r="N27" i="9"/>
  <c r="D24" i="9" s="1"/>
  <c r="G29" i="9"/>
  <c r="F8" i="9"/>
  <c r="F16" i="9" s="1"/>
  <c r="BD15" i="17" s="1"/>
  <c r="D16" i="9"/>
  <c r="H115" i="9"/>
  <c r="H122" i="9" s="1"/>
  <c r="F22" i="9"/>
  <c r="G22" i="9"/>
  <c r="F20" i="9"/>
  <c r="D27" i="9"/>
  <c r="D115" i="9"/>
  <c r="G31" i="9"/>
  <c r="F31" i="9"/>
  <c r="F36" i="9" s="1"/>
  <c r="N32" i="9"/>
  <c r="D31" i="9" s="1"/>
  <c r="D36" i="9" s="1"/>
  <c r="D72" i="9"/>
  <c r="F24" i="9"/>
  <c r="D85" i="9"/>
  <c r="I85" i="9" s="1"/>
  <c r="I90" i="9" s="1"/>
  <c r="BD30" i="17" s="1"/>
  <c r="P18" i="8"/>
  <c r="I10" i="8"/>
  <c r="F12" i="8"/>
  <c r="H14" i="8"/>
  <c r="H16" i="8" s="1"/>
  <c r="G16" i="8"/>
  <c r="O21" i="8"/>
  <c r="O22" i="8" s="1"/>
  <c r="L24" i="8"/>
  <c r="G25" i="8"/>
  <c r="H27" i="8"/>
  <c r="G29" i="8"/>
  <c r="L31" i="8"/>
  <c r="F32" i="8"/>
  <c r="G33" i="8"/>
  <c r="H36" i="8"/>
  <c r="I38" i="8"/>
  <c r="I39" i="8"/>
  <c r="I40" i="8"/>
  <c r="I41" i="8"/>
  <c r="I42" i="8"/>
  <c r="I43" i="8"/>
  <c r="I44" i="8"/>
  <c r="I46" i="8"/>
  <c r="I47" i="8"/>
  <c r="I48" i="8"/>
  <c r="I49" i="8"/>
  <c r="I50" i="8"/>
  <c r="I51" i="8"/>
  <c r="I52" i="8"/>
  <c r="I54" i="8"/>
  <c r="I55" i="8"/>
  <c r="I56" i="8"/>
  <c r="I57" i="8"/>
  <c r="I58" i="8"/>
  <c r="I59" i="8"/>
  <c r="I60" i="8"/>
  <c r="I62" i="8"/>
  <c r="I63" i="8"/>
  <c r="I64" i="8"/>
  <c r="I65" i="8"/>
  <c r="I68" i="8"/>
  <c r="I70" i="8"/>
  <c r="F72" i="8"/>
  <c r="G72" i="8"/>
  <c r="H72" i="8"/>
  <c r="I73" i="8"/>
  <c r="BA25" i="17" s="1"/>
  <c r="H74" i="8"/>
  <c r="F81" i="8"/>
  <c r="D81" i="8" s="1"/>
  <c r="F83" i="8"/>
  <c r="D83" i="8" s="1"/>
  <c r="O84" i="8"/>
  <c r="H87" i="8"/>
  <c r="H90" i="8" s="1"/>
  <c r="G90" i="8"/>
  <c r="H93" i="8"/>
  <c r="H94" i="8"/>
  <c r="H95" i="8"/>
  <c r="H96" i="8"/>
  <c r="H97" i="8"/>
  <c r="H98" i="8"/>
  <c r="H99" i="8"/>
  <c r="H100" i="8"/>
  <c r="H101" i="8"/>
  <c r="H102" i="8"/>
  <c r="H103" i="8"/>
  <c r="H104" i="8"/>
  <c r="H105" i="8"/>
  <c r="H106" i="8"/>
  <c r="H107" i="8"/>
  <c r="H109" i="8"/>
  <c r="H110" i="8"/>
  <c r="H111" i="8"/>
  <c r="H113" i="8"/>
  <c r="F115" i="8"/>
  <c r="G115" i="8"/>
  <c r="I115" i="8"/>
  <c r="H118" i="8"/>
  <c r="H120" i="8" s="1"/>
  <c r="F120" i="8"/>
  <c r="G120" i="8"/>
  <c r="I120" i="8"/>
  <c r="AS6" i="17" l="1"/>
  <c r="BH32" i="17"/>
  <c r="Z22" i="23" s="1"/>
  <c r="F76" i="10"/>
  <c r="F122" i="10" s="1"/>
  <c r="BG21" i="17"/>
  <c r="I16" i="8"/>
  <c r="BA16" i="17"/>
  <c r="F25" i="34"/>
  <c r="I25" i="34" s="1"/>
  <c r="BE30" i="17"/>
  <c r="BE32" i="17" s="1"/>
  <c r="Y22" i="23" s="1"/>
  <c r="I27" i="9"/>
  <c r="BD23" i="17"/>
  <c r="I122" i="11"/>
  <c r="M122" i="11" s="1"/>
  <c r="BJ24" i="17"/>
  <c r="I24" i="35"/>
  <c r="I27" i="35" s="1"/>
  <c r="F27" i="35"/>
  <c r="F11" i="34"/>
  <c r="I11" i="34" s="1"/>
  <c r="BE16" i="17"/>
  <c r="I24" i="34"/>
  <c r="F17" i="36"/>
  <c r="BK22" i="17"/>
  <c r="F10" i="34"/>
  <c r="BD18" i="17"/>
  <c r="BE15" i="17"/>
  <c r="AC21" i="23"/>
  <c r="AC28" i="23" s="1"/>
  <c r="AC73" i="23" s="1"/>
  <c r="AC79" i="23" s="1"/>
  <c r="AC82" i="23" s="1"/>
  <c r="AC84" i="23" s="1"/>
  <c r="AC86" i="23" s="1"/>
  <c r="AC32" i="23" s="1"/>
  <c r="AC37" i="23" s="1"/>
  <c r="AC39" i="23" s="1"/>
  <c r="BQ39" i="17"/>
  <c r="BH18" i="17"/>
  <c r="F17" i="37"/>
  <c r="I17" i="37" s="1"/>
  <c r="BN22" i="17"/>
  <c r="BN26" i="17" s="1"/>
  <c r="I16" i="37"/>
  <c r="G122" i="10"/>
  <c r="BG22" i="17"/>
  <c r="F18" i="35"/>
  <c r="I18" i="35" s="1"/>
  <c r="BH23" i="17"/>
  <c r="F21" i="38"/>
  <c r="F34" i="38" s="1"/>
  <c r="I17" i="38"/>
  <c r="I21" i="38" s="1"/>
  <c r="I34" i="38" s="1"/>
  <c r="F16" i="36"/>
  <c r="I16" i="36" s="1"/>
  <c r="BK21" i="17"/>
  <c r="F20" i="33"/>
  <c r="I20" i="33" s="1"/>
  <c r="BB25" i="17"/>
  <c r="I122" i="10"/>
  <c r="BG24" i="17"/>
  <c r="I24" i="36"/>
  <c r="I27" i="36" s="1"/>
  <c r="F27" i="36"/>
  <c r="Q37" i="23"/>
  <c r="I10" i="35"/>
  <c r="I13" i="35" s="1"/>
  <c r="F13" i="35"/>
  <c r="BD32" i="17"/>
  <c r="AD70" i="23"/>
  <c r="AD69" i="23"/>
  <c r="M72" i="10"/>
  <c r="I72" i="9"/>
  <c r="I76" i="9" s="1"/>
  <c r="G27" i="9"/>
  <c r="G36" i="9"/>
  <c r="M90" i="9"/>
  <c r="D76" i="9"/>
  <c r="D122" i="9" s="1"/>
  <c r="M115" i="9"/>
  <c r="F21" i="9"/>
  <c r="F27" i="9" s="1"/>
  <c r="M16" i="9"/>
  <c r="K90" i="9"/>
  <c r="O20" i="8"/>
  <c r="N27" i="8"/>
  <c r="D24" i="8" s="1"/>
  <c r="D27" i="8" s="1"/>
  <c r="F90" i="8"/>
  <c r="BA29" i="17" s="1"/>
  <c r="D72" i="8"/>
  <c r="H76" i="8"/>
  <c r="I61" i="8"/>
  <c r="I53" i="8"/>
  <c r="I45" i="8"/>
  <c r="H115" i="8"/>
  <c r="H122" i="8" s="1"/>
  <c r="N32" i="8"/>
  <c r="D31" i="8" s="1"/>
  <c r="D36" i="8" s="1"/>
  <c r="F31" i="8"/>
  <c r="F36" i="8" s="1"/>
  <c r="F20" i="8"/>
  <c r="F8" i="8"/>
  <c r="F16" i="8" s="1"/>
  <c r="BA15" i="17" s="1"/>
  <c r="D16" i="8"/>
  <c r="D115" i="8"/>
  <c r="G31" i="8"/>
  <c r="I24" i="8"/>
  <c r="F22" i="8"/>
  <c r="G22" i="8"/>
  <c r="F21" i="8"/>
  <c r="F23" i="8"/>
  <c r="G23" i="8" s="1"/>
  <c r="I31" i="8"/>
  <c r="I36" i="8" s="1"/>
  <c r="G30" i="8"/>
  <c r="F24" i="8"/>
  <c r="D85" i="8"/>
  <c r="I85" i="8" s="1"/>
  <c r="I90" i="8" s="1"/>
  <c r="BA30" i="17" s="1"/>
  <c r="P18" i="7"/>
  <c r="I10" i="7"/>
  <c r="F12" i="7"/>
  <c r="H14" i="7"/>
  <c r="H16" i="7" s="1"/>
  <c r="G16" i="7"/>
  <c r="O21" i="7"/>
  <c r="O22" i="7" s="1"/>
  <c r="F23" i="7"/>
  <c r="L24" i="7"/>
  <c r="G24" i="7" s="1"/>
  <c r="O20" i="7"/>
  <c r="G25" i="7"/>
  <c r="H27" i="7"/>
  <c r="G30" i="7"/>
  <c r="L31" i="7"/>
  <c r="F32" i="7"/>
  <c r="G33" i="7"/>
  <c r="H36" i="7"/>
  <c r="I38" i="7"/>
  <c r="I42" i="7"/>
  <c r="I43" i="7"/>
  <c r="I44" i="7"/>
  <c r="I46" i="7"/>
  <c r="I50" i="7"/>
  <c r="I51" i="7"/>
  <c r="I52" i="7"/>
  <c r="I54" i="7"/>
  <c r="I58" i="7"/>
  <c r="I59" i="7"/>
  <c r="I60" i="7"/>
  <c r="I62" i="7"/>
  <c r="I68" i="7"/>
  <c r="I70" i="7"/>
  <c r="F72" i="7"/>
  <c r="G72" i="7"/>
  <c r="H72" i="7"/>
  <c r="I73" i="7"/>
  <c r="AX25" i="17" s="1"/>
  <c r="H74" i="7"/>
  <c r="F81" i="7"/>
  <c r="D81" i="7" s="1"/>
  <c r="F83" i="7"/>
  <c r="D83" i="7" s="1"/>
  <c r="O84" i="7"/>
  <c r="H87" i="7"/>
  <c r="H90" i="7" s="1"/>
  <c r="F90" i="7"/>
  <c r="AX29" i="17" s="1"/>
  <c r="G90" i="7"/>
  <c r="H93" i="7"/>
  <c r="H94" i="7"/>
  <c r="H95" i="7"/>
  <c r="H96" i="7"/>
  <c r="H97" i="7"/>
  <c r="H98" i="7"/>
  <c r="H99" i="7"/>
  <c r="H100" i="7"/>
  <c r="H101" i="7"/>
  <c r="H102" i="7"/>
  <c r="H103" i="7"/>
  <c r="H104" i="7"/>
  <c r="H105" i="7"/>
  <c r="H106" i="7"/>
  <c r="H107" i="7"/>
  <c r="H109" i="7"/>
  <c r="H110" i="7"/>
  <c r="H111" i="7"/>
  <c r="H113" i="7"/>
  <c r="F115" i="7"/>
  <c r="G115" i="7"/>
  <c r="I115" i="7"/>
  <c r="H118" i="7"/>
  <c r="H120" i="7" s="1"/>
  <c r="F120" i="7"/>
  <c r="G120" i="7"/>
  <c r="I120" i="7"/>
  <c r="AV6" i="17" l="1"/>
  <c r="AY6" i="17"/>
  <c r="BJ26" i="17"/>
  <c r="BJ39" i="17" s="1"/>
  <c r="F27" i="34"/>
  <c r="I21" i="37"/>
  <c r="I34" i="37" s="1"/>
  <c r="BE18" i="17"/>
  <c r="G36" i="8"/>
  <c r="M122" i="10"/>
  <c r="AB21" i="23"/>
  <c r="AB28" i="23" s="1"/>
  <c r="AB73" i="23" s="1"/>
  <c r="AB79" i="23" s="1"/>
  <c r="AB82" i="23" s="1"/>
  <c r="AB84" i="23" s="1"/>
  <c r="AB86" i="23" s="1"/>
  <c r="AB32" i="23" s="1"/>
  <c r="AB37" i="23" s="1"/>
  <c r="AB39" i="23" s="1"/>
  <c r="BN39" i="17"/>
  <c r="I122" i="9"/>
  <c r="BD24" i="17"/>
  <c r="F17" i="35"/>
  <c r="BH22" i="17"/>
  <c r="I10" i="34"/>
  <c r="I13" i="34" s="1"/>
  <c r="F13" i="34"/>
  <c r="F10" i="33"/>
  <c r="BA18" i="17"/>
  <c r="BB15" i="17"/>
  <c r="G76" i="9"/>
  <c r="M76" i="9" s="1"/>
  <c r="Q39" i="23"/>
  <c r="F19" i="35"/>
  <c r="I19" i="35" s="1"/>
  <c r="BH24" i="17"/>
  <c r="F21" i="37"/>
  <c r="F34" i="37" s="1"/>
  <c r="Z13" i="23"/>
  <c r="Z15" i="23" s="1"/>
  <c r="Y13" i="23"/>
  <c r="Y15" i="23" s="1"/>
  <c r="F76" i="9"/>
  <c r="F122" i="9" s="1"/>
  <c r="BD21" i="17"/>
  <c r="AC69" i="23"/>
  <c r="AC70" i="23"/>
  <c r="F16" i="35"/>
  <c r="I16" i="35" s="1"/>
  <c r="BG26" i="17"/>
  <c r="BG39" i="17" s="1"/>
  <c r="BH21" i="17"/>
  <c r="F20" i="32"/>
  <c r="I20" i="32" s="1"/>
  <c r="AY25" i="17"/>
  <c r="BA32" i="17"/>
  <c r="F25" i="33"/>
  <c r="I25" i="33" s="1"/>
  <c r="BB30" i="17"/>
  <c r="I27" i="8"/>
  <c r="BA23" i="17"/>
  <c r="I27" i="34"/>
  <c r="F18" i="34"/>
  <c r="I18" i="34" s="1"/>
  <c r="BE23" i="17"/>
  <c r="F11" i="33"/>
  <c r="I11" i="33" s="1"/>
  <c r="BB16" i="17"/>
  <c r="F24" i="32"/>
  <c r="AY29" i="17"/>
  <c r="I16" i="7"/>
  <c r="AX16" i="17"/>
  <c r="F24" i="33"/>
  <c r="BB29" i="17"/>
  <c r="M76" i="10"/>
  <c r="I17" i="36"/>
  <c r="F19" i="36"/>
  <c r="I19" i="36" s="1"/>
  <c r="BK24" i="17"/>
  <c r="BK26" i="17" s="1"/>
  <c r="D76" i="8"/>
  <c r="D122" i="8" s="1"/>
  <c r="M72" i="9"/>
  <c r="I57" i="7"/>
  <c r="I72" i="8"/>
  <c r="I41" i="7"/>
  <c r="I65" i="7"/>
  <c r="G24" i="8"/>
  <c r="G27" i="8" s="1"/>
  <c r="G76" i="8" s="1"/>
  <c r="I49" i="7"/>
  <c r="M115" i="8"/>
  <c r="M90" i="8"/>
  <c r="M16" i="8"/>
  <c r="K90" i="8"/>
  <c r="F27" i="8"/>
  <c r="I64" i="7"/>
  <c r="I61" i="7"/>
  <c r="I55" i="7"/>
  <c r="I48" i="7"/>
  <c r="I45" i="7"/>
  <c r="I39" i="7"/>
  <c r="I31" i="7"/>
  <c r="I36" i="7" s="1"/>
  <c r="H76" i="7"/>
  <c r="G23" i="7"/>
  <c r="I63" i="7"/>
  <c r="I56" i="7"/>
  <c r="I53" i="7"/>
  <c r="I47" i="7"/>
  <c r="I40" i="7"/>
  <c r="G29" i="7"/>
  <c r="F8" i="7"/>
  <c r="F16" i="7" s="1"/>
  <c r="AX15" i="17" s="1"/>
  <c r="D16" i="7"/>
  <c r="H115" i="7"/>
  <c r="F22" i="7"/>
  <c r="G22" i="7"/>
  <c r="F20" i="7"/>
  <c r="I24" i="7"/>
  <c r="N27" i="7"/>
  <c r="D24" i="7" s="1"/>
  <c r="D27" i="7" s="1"/>
  <c r="D115" i="7"/>
  <c r="G31" i="7"/>
  <c r="F31" i="7"/>
  <c r="F36" i="7" s="1"/>
  <c r="N32" i="7"/>
  <c r="D31" i="7" s="1"/>
  <c r="D36" i="7" s="1"/>
  <c r="F21" i="7"/>
  <c r="D72" i="7"/>
  <c r="F24" i="7"/>
  <c r="D85" i="7"/>
  <c r="I85" i="7" s="1"/>
  <c r="I90" i="7" s="1"/>
  <c r="P18" i="6"/>
  <c r="I10" i="6"/>
  <c r="F12" i="6"/>
  <c r="H14" i="6"/>
  <c r="H16" i="6" s="1"/>
  <c r="G16" i="6"/>
  <c r="F23" i="6"/>
  <c r="L24" i="6"/>
  <c r="G25" i="6"/>
  <c r="H27" i="6"/>
  <c r="G30" i="6"/>
  <c r="L31" i="6"/>
  <c r="F32" i="6"/>
  <c r="G33" i="6"/>
  <c r="H36" i="6"/>
  <c r="I38" i="6"/>
  <c r="I39" i="6"/>
  <c r="I42" i="6"/>
  <c r="I43" i="6"/>
  <c r="I44" i="6"/>
  <c r="I46" i="6"/>
  <c r="I48" i="6"/>
  <c r="I50" i="6"/>
  <c r="I51" i="6"/>
  <c r="I52" i="6"/>
  <c r="I54" i="6"/>
  <c r="I55" i="6"/>
  <c r="I58" i="6"/>
  <c r="I59" i="6"/>
  <c r="I60" i="6"/>
  <c r="I62" i="6"/>
  <c r="I64" i="6"/>
  <c r="I68" i="6"/>
  <c r="I70" i="6"/>
  <c r="F72" i="6"/>
  <c r="G72" i="6"/>
  <c r="H72" i="6"/>
  <c r="I73" i="6"/>
  <c r="AU25" i="17" s="1"/>
  <c r="H74" i="6"/>
  <c r="F81" i="6"/>
  <c r="D81" i="6" s="1"/>
  <c r="F83" i="6"/>
  <c r="D83" i="6" s="1"/>
  <c r="O84" i="6"/>
  <c r="H87" i="6"/>
  <c r="H90" i="6" s="1"/>
  <c r="G90" i="6"/>
  <c r="H93" i="6"/>
  <c r="H94" i="6"/>
  <c r="H95" i="6"/>
  <c r="H96" i="6"/>
  <c r="H97" i="6"/>
  <c r="H98" i="6"/>
  <c r="H99" i="6"/>
  <c r="H100" i="6"/>
  <c r="H101" i="6"/>
  <c r="H102" i="6"/>
  <c r="H103" i="6"/>
  <c r="H104" i="6"/>
  <c r="H105" i="6"/>
  <c r="H106" i="6"/>
  <c r="H107" i="6"/>
  <c r="H109" i="6"/>
  <c r="H110" i="6"/>
  <c r="H111" i="6"/>
  <c r="H113" i="6"/>
  <c r="F115" i="6"/>
  <c r="G115" i="6"/>
  <c r="I115" i="6"/>
  <c r="H118" i="6"/>
  <c r="H120" i="6" s="1"/>
  <c r="F120" i="6"/>
  <c r="G120" i="6"/>
  <c r="I120" i="6"/>
  <c r="BH26" i="17" l="1"/>
  <c r="Z21" i="23" s="1"/>
  <c r="Z28" i="23" s="1"/>
  <c r="Z73" i="23" s="1"/>
  <c r="Z79" i="23" s="1"/>
  <c r="Z82" i="23" s="1"/>
  <c r="Z84" i="23" s="1"/>
  <c r="Z86" i="23" s="1"/>
  <c r="Z32" i="23" s="1"/>
  <c r="Z37" i="23" s="1"/>
  <c r="Z39" i="23" s="1"/>
  <c r="AA21" i="23"/>
  <c r="AA28" i="23" s="1"/>
  <c r="BK39" i="17"/>
  <c r="F10" i="32"/>
  <c r="AX18" i="17"/>
  <c r="AY15" i="17"/>
  <c r="F76" i="8"/>
  <c r="BA21" i="17"/>
  <c r="F11" i="32"/>
  <c r="I11" i="32" s="1"/>
  <c r="AY16" i="17"/>
  <c r="I24" i="32"/>
  <c r="I27" i="7"/>
  <c r="AX23" i="17"/>
  <c r="H122" i="7"/>
  <c r="G122" i="8"/>
  <c r="BA22" i="17"/>
  <c r="F21" i="36"/>
  <c r="F34" i="36" s="1"/>
  <c r="BB32" i="17"/>
  <c r="X22" i="23" s="1"/>
  <c r="F19" i="34"/>
  <c r="I19" i="34" s="1"/>
  <c r="BE24" i="17"/>
  <c r="F21" i="35"/>
  <c r="F34" i="35" s="1"/>
  <c r="I17" i="35"/>
  <c r="I21" i="35" s="1"/>
  <c r="I34" i="35" s="1"/>
  <c r="M90" i="7"/>
  <c r="AX30" i="17"/>
  <c r="I21" i="36"/>
  <c r="I34" i="36" s="1"/>
  <c r="Q70" i="23"/>
  <c r="Q69" i="23"/>
  <c r="BB18" i="17"/>
  <c r="F20" i="31"/>
  <c r="I20" i="31" s="1"/>
  <c r="AV25" i="17"/>
  <c r="I16" i="6"/>
  <c r="AU16" i="17"/>
  <c r="G27" i="7"/>
  <c r="I76" i="8"/>
  <c r="I24" i="33"/>
  <c r="I27" i="33" s="1"/>
  <c r="F27" i="33"/>
  <c r="F18" i="33"/>
  <c r="I18" i="33" s="1"/>
  <c r="BB23" i="17"/>
  <c r="F16" i="34"/>
  <c r="BE21" i="17"/>
  <c r="BH39" i="17"/>
  <c r="G122" i="9"/>
  <c r="M122" i="9" s="1"/>
  <c r="BD22" i="17"/>
  <c r="I10" i="33"/>
  <c r="I13" i="33" s="1"/>
  <c r="F13" i="33"/>
  <c r="AB70" i="23"/>
  <c r="AB69" i="23"/>
  <c r="I72" i="7"/>
  <c r="M72" i="7" s="1"/>
  <c r="M72" i="8"/>
  <c r="I65" i="6"/>
  <c r="F122" i="8"/>
  <c r="M76" i="8"/>
  <c r="I49" i="6"/>
  <c r="M16" i="7"/>
  <c r="D76" i="7"/>
  <c r="D122" i="7" s="1"/>
  <c r="M115" i="7"/>
  <c r="F27" i="7"/>
  <c r="G36" i="7"/>
  <c r="K90" i="7"/>
  <c r="I61" i="6"/>
  <c r="F90" i="6"/>
  <c r="H76" i="6"/>
  <c r="I57" i="6"/>
  <c r="I41" i="6"/>
  <c r="O20" i="6"/>
  <c r="I24" i="6" s="1"/>
  <c r="G23" i="6"/>
  <c r="O21" i="6"/>
  <c r="O22" i="6" s="1"/>
  <c r="I31" i="6" s="1"/>
  <c r="I36" i="6" s="1"/>
  <c r="I45" i="6"/>
  <c r="I63" i="6"/>
  <c r="I56" i="6"/>
  <c r="I53" i="6"/>
  <c r="I47" i="6"/>
  <c r="I40" i="6"/>
  <c r="G29" i="6"/>
  <c r="F8" i="6"/>
  <c r="F16" i="6" s="1"/>
  <c r="AU15" i="17" s="1"/>
  <c r="D16" i="6"/>
  <c r="H115" i="6"/>
  <c r="H122" i="6" s="1"/>
  <c r="F22" i="6"/>
  <c r="G22" i="6"/>
  <c r="F20" i="6"/>
  <c r="N27" i="6"/>
  <c r="D24" i="6" s="1"/>
  <c r="D27" i="6" s="1"/>
  <c r="D115" i="6"/>
  <c r="G31" i="6"/>
  <c r="N32" i="6"/>
  <c r="D31" i="6" s="1"/>
  <c r="D36" i="6" s="1"/>
  <c r="F21" i="6"/>
  <c r="F24" i="6"/>
  <c r="D85" i="6"/>
  <c r="I85" i="6" s="1"/>
  <c r="I90" i="6" s="1"/>
  <c r="AU30" i="17" s="1"/>
  <c r="D72" i="6"/>
  <c r="P18" i="5"/>
  <c r="I10" i="5"/>
  <c r="F12" i="5"/>
  <c r="H14" i="5"/>
  <c r="H16" i="5" s="1"/>
  <c r="G16" i="5"/>
  <c r="O21" i="5"/>
  <c r="O22" i="5" s="1"/>
  <c r="L24" i="5"/>
  <c r="G25" i="5"/>
  <c r="H27" i="5"/>
  <c r="G29" i="5"/>
  <c r="L31" i="5"/>
  <c r="F32" i="5"/>
  <c r="G33" i="5"/>
  <c r="H36" i="5"/>
  <c r="I38" i="5"/>
  <c r="I39" i="5"/>
  <c r="I40" i="5"/>
  <c r="I42" i="5"/>
  <c r="I43" i="5"/>
  <c r="I44" i="5"/>
  <c r="I46" i="5"/>
  <c r="I47" i="5"/>
  <c r="I48" i="5"/>
  <c r="I50" i="5"/>
  <c r="I51" i="5"/>
  <c r="I52" i="5"/>
  <c r="I54" i="5"/>
  <c r="I55" i="5"/>
  <c r="I56" i="5"/>
  <c r="I58" i="5"/>
  <c r="I59" i="5"/>
  <c r="I60" i="5"/>
  <c r="I62" i="5"/>
  <c r="I63" i="5"/>
  <c r="I64" i="5"/>
  <c r="I68" i="5"/>
  <c r="I70" i="5"/>
  <c r="D72" i="5"/>
  <c r="F72" i="5"/>
  <c r="G72" i="5"/>
  <c r="H72" i="5"/>
  <c r="I73" i="5"/>
  <c r="AR25" i="17" s="1"/>
  <c r="H74" i="5"/>
  <c r="F81" i="5"/>
  <c r="D81" i="5" s="1"/>
  <c r="F83" i="5"/>
  <c r="D83" i="5" s="1"/>
  <c r="O84" i="5"/>
  <c r="H87" i="5"/>
  <c r="H90" i="5" s="1"/>
  <c r="G90" i="5"/>
  <c r="H93" i="5"/>
  <c r="H94" i="5"/>
  <c r="H95" i="5"/>
  <c r="H96" i="5"/>
  <c r="H97" i="5"/>
  <c r="H98" i="5"/>
  <c r="H99" i="5"/>
  <c r="H100" i="5"/>
  <c r="H101" i="5"/>
  <c r="H102" i="5"/>
  <c r="H103" i="5"/>
  <c r="H104" i="5"/>
  <c r="H105" i="5"/>
  <c r="H106" i="5"/>
  <c r="H107" i="5"/>
  <c r="H109" i="5"/>
  <c r="H110" i="5"/>
  <c r="H111" i="5"/>
  <c r="H113" i="5"/>
  <c r="F115" i="5"/>
  <c r="G115" i="5"/>
  <c r="I115" i="5"/>
  <c r="H118" i="5"/>
  <c r="H120" i="5" s="1"/>
  <c r="F120" i="5"/>
  <c r="G120" i="5"/>
  <c r="I120" i="5"/>
  <c r="BB6" i="17" l="1"/>
  <c r="G76" i="7"/>
  <c r="G122" i="7"/>
  <c r="AX22" i="17"/>
  <c r="I16" i="5"/>
  <c r="AR16" i="17"/>
  <c r="F10" i="31"/>
  <c r="AU18" i="17"/>
  <c r="AV15" i="17"/>
  <c r="I16" i="34"/>
  <c r="X13" i="23"/>
  <c r="X15" i="23" s="1"/>
  <c r="F25" i="32"/>
  <c r="AY30" i="17"/>
  <c r="AY32" i="17" s="1"/>
  <c r="W22" i="23" s="1"/>
  <c r="AX32" i="17"/>
  <c r="F18" i="32"/>
  <c r="I18" i="32" s="1"/>
  <c r="AY23" i="17"/>
  <c r="F16" i="33"/>
  <c r="I16" i="33" s="1"/>
  <c r="BB21" i="17"/>
  <c r="I10" i="32"/>
  <c r="I13" i="32" s="1"/>
  <c r="F13" i="32"/>
  <c r="I122" i="8"/>
  <c r="M122" i="8" s="1"/>
  <c r="BA24" i="17"/>
  <c r="Z70" i="23"/>
  <c r="Z69" i="23"/>
  <c r="F17" i="33"/>
  <c r="BB22" i="17"/>
  <c r="I27" i="6"/>
  <c r="AU23" i="17"/>
  <c r="M90" i="6"/>
  <c r="AU29" i="17"/>
  <c r="AY18" i="17"/>
  <c r="F20" i="30"/>
  <c r="I20" i="30" s="1"/>
  <c r="AS25" i="17"/>
  <c r="F25" i="31"/>
  <c r="I25" i="31" s="1"/>
  <c r="AV30" i="17"/>
  <c r="F31" i="6"/>
  <c r="F36" i="6" s="1"/>
  <c r="F76" i="7"/>
  <c r="F122" i="7" s="1"/>
  <c r="AX21" i="17"/>
  <c r="F17" i="34"/>
  <c r="I17" i="34" s="1"/>
  <c r="BE22" i="17"/>
  <c r="BE26" i="17" s="1"/>
  <c r="BD26" i="17"/>
  <c r="BD39" i="17" s="1"/>
  <c r="F11" i="31"/>
  <c r="I11" i="31" s="1"/>
  <c r="AV16" i="17"/>
  <c r="AA73" i="23"/>
  <c r="AA79" i="23" s="1"/>
  <c r="AA82" i="23" s="1"/>
  <c r="AA84" i="23" s="1"/>
  <c r="AA86" i="23" s="1"/>
  <c r="AA32" i="23" s="1"/>
  <c r="AA37" i="23" s="1"/>
  <c r="AA39" i="23" s="1"/>
  <c r="I76" i="7"/>
  <c r="I72" i="6"/>
  <c r="G27" i="6"/>
  <c r="G24" i="6"/>
  <c r="M115" i="6"/>
  <c r="D122" i="6"/>
  <c r="M16" i="6"/>
  <c r="M72" i="6"/>
  <c r="D76" i="6"/>
  <c r="F27" i="6"/>
  <c r="G36" i="6"/>
  <c r="G76" i="6" s="1"/>
  <c r="K90" i="6"/>
  <c r="O20" i="5"/>
  <c r="I24" i="5" s="1"/>
  <c r="N27" i="5"/>
  <c r="D24" i="5" s="1"/>
  <c r="D27" i="5" s="1"/>
  <c r="F90" i="5"/>
  <c r="AR29" i="17" s="1"/>
  <c r="H76" i="5"/>
  <c r="I65" i="5"/>
  <c r="I57" i="5"/>
  <c r="I49" i="5"/>
  <c r="I41" i="5"/>
  <c r="I61" i="5"/>
  <c r="I53" i="5"/>
  <c r="I45" i="5"/>
  <c r="N32" i="5"/>
  <c r="D31" i="5" s="1"/>
  <c r="D36" i="5" s="1"/>
  <c r="F31" i="5"/>
  <c r="F36" i="5" s="1"/>
  <c r="F20" i="5"/>
  <c r="F8" i="5"/>
  <c r="F16" i="5" s="1"/>
  <c r="AR15" i="17" s="1"/>
  <c r="D16" i="5"/>
  <c r="D115" i="5"/>
  <c r="G31" i="5"/>
  <c r="F22" i="5"/>
  <c r="G22" i="5"/>
  <c r="F21" i="5"/>
  <c r="F23" i="5"/>
  <c r="G23" i="5" s="1"/>
  <c r="H115" i="5"/>
  <c r="I31" i="5"/>
  <c r="I36" i="5" s="1"/>
  <c r="G30" i="5"/>
  <c r="D85" i="5"/>
  <c r="I85" i="5" s="1"/>
  <c r="I90" i="5" s="1"/>
  <c r="AR30" i="17" s="1"/>
  <c r="P18" i="4"/>
  <c r="I10" i="4"/>
  <c r="F12" i="4"/>
  <c r="H14" i="4"/>
  <c r="H16" i="4" s="1"/>
  <c r="G16" i="4"/>
  <c r="O21" i="4"/>
  <c r="O22" i="4" s="1"/>
  <c r="L24" i="4"/>
  <c r="G25" i="4"/>
  <c r="H27" i="4"/>
  <c r="G29" i="4"/>
  <c r="L31" i="4"/>
  <c r="F32" i="4"/>
  <c r="G33" i="4"/>
  <c r="H36" i="4"/>
  <c r="I38" i="4"/>
  <c r="I39" i="4"/>
  <c r="I40" i="4"/>
  <c r="I42" i="4"/>
  <c r="I43" i="4"/>
  <c r="I44" i="4"/>
  <c r="I46" i="4"/>
  <c r="I47" i="4"/>
  <c r="I48" i="4"/>
  <c r="I50" i="4"/>
  <c r="I51" i="4"/>
  <c r="I52" i="4"/>
  <c r="I54" i="4"/>
  <c r="I55" i="4"/>
  <c r="I56" i="4"/>
  <c r="I58" i="4"/>
  <c r="I59" i="4"/>
  <c r="I60" i="4"/>
  <c r="I62" i="4"/>
  <c r="I63" i="4"/>
  <c r="I64" i="4"/>
  <c r="I68" i="4"/>
  <c r="I70" i="4"/>
  <c r="D72" i="4"/>
  <c r="F72" i="4"/>
  <c r="G72" i="4"/>
  <c r="H72" i="4"/>
  <c r="I73" i="4"/>
  <c r="AO25" i="17" s="1"/>
  <c r="H74" i="4"/>
  <c r="F81" i="4"/>
  <c r="D81" i="4" s="1"/>
  <c r="F83" i="4"/>
  <c r="D83" i="4" s="1"/>
  <c r="O84" i="4"/>
  <c r="H87" i="4"/>
  <c r="H90" i="4" s="1"/>
  <c r="G90" i="4"/>
  <c r="H93" i="4"/>
  <c r="H94" i="4"/>
  <c r="H95" i="4"/>
  <c r="H96" i="4"/>
  <c r="H97" i="4"/>
  <c r="H98" i="4"/>
  <c r="H99" i="4"/>
  <c r="H100" i="4"/>
  <c r="H101" i="4"/>
  <c r="H102" i="4"/>
  <c r="H103" i="4"/>
  <c r="H104" i="4"/>
  <c r="H105" i="4"/>
  <c r="H106" i="4"/>
  <c r="H107" i="4"/>
  <c r="H109" i="4"/>
  <c r="H110" i="4"/>
  <c r="H111" i="4"/>
  <c r="H113" i="4"/>
  <c r="F115" i="4"/>
  <c r="G115" i="4"/>
  <c r="I115" i="4"/>
  <c r="H118" i="4"/>
  <c r="H120" i="4" s="1"/>
  <c r="F120" i="4"/>
  <c r="G120" i="4"/>
  <c r="I120" i="4"/>
  <c r="BE6" i="17" l="1"/>
  <c r="F21" i="34"/>
  <c r="F34" i="34" s="1"/>
  <c r="AA70" i="23"/>
  <c r="AA69" i="23"/>
  <c r="G122" i="6"/>
  <c r="AU22" i="17"/>
  <c r="Y21" i="23"/>
  <c r="Y28" i="23" s="1"/>
  <c r="Y73" i="23" s="1"/>
  <c r="Y79" i="23" s="1"/>
  <c r="Y82" i="23" s="1"/>
  <c r="Y84" i="23" s="1"/>
  <c r="Y86" i="23" s="1"/>
  <c r="Y32" i="23" s="1"/>
  <c r="Y37" i="23" s="1"/>
  <c r="Y39" i="23" s="1"/>
  <c r="BE39" i="17"/>
  <c r="AP25" i="17"/>
  <c r="F20" i="29"/>
  <c r="I20" i="29" s="1"/>
  <c r="G36" i="5"/>
  <c r="F76" i="6"/>
  <c r="F122" i="6" s="1"/>
  <c r="AU21" i="17"/>
  <c r="M76" i="7"/>
  <c r="F24" i="31"/>
  <c r="AU32" i="17"/>
  <c r="AV29" i="17"/>
  <c r="AV32" i="17" s="1"/>
  <c r="V22" i="23" s="1"/>
  <c r="F19" i="33"/>
  <c r="I19" i="33" s="1"/>
  <c r="BB24" i="17"/>
  <c r="BB26" i="17" s="1"/>
  <c r="BA26" i="17"/>
  <c r="BA39" i="17" s="1"/>
  <c r="I10" i="31"/>
  <c r="I13" i="31" s="1"/>
  <c r="F13" i="31"/>
  <c r="F17" i="32"/>
  <c r="AY22" i="17"/>
  <c r="I16" i="4"/>
  <c r="AO16" i="17"/>
  <c r="I27" i="5"/>
  <c r="AR23" i="17"/>
  <c r="I76" i="6"/>
  <c r="I17" i="33"/>
  <c r="I21" i="33" s="1"/>
  <c r="I34" i="33" s="1"/>
  <c r="I25" i="32"/>
  <c r="I27" i="32" s="1"/>
  <c r="F27" i="32"/>
  <c r="I21" i="34"/>
  <c r="I34" i="34" s="1"/>
  <c r="F11" i="30"/>
  <c r="I11" i="30" s="1"/>
  <c r="AS16" i="17"/>
  <c r="F25" i="30"/>
  <c r="I25" i="30" s="1"/>
  <c r="AS30" i="17"/>
  <c r="F24" i="30"/>
  <c r="AR32" i="17"/>
  <c r="AS29" i="17"/>
  <c r="AR18" i="17"/>
  <c r="F10" i="30"/>
  <c r="AS15" i="17"/>
  <c r="K90" i="5"/>
  <c r="I122" i="7"/>
  <c r="M122" i="7" s="1"/>
  <c r="AX24" i="17"/>
  <c r="AX26" i="17" s="1"/>
  <c r="AX39" i="17" s="1"/>
  <c r="F16" i="32"/>
  <c r="I16" i="32" s="1"/>
  <c r="AY21" i="17"/>
  <c r="W13" i="23"/>
  <c r="W15" i="23" s="1"/>
  <c r="F18" i="31"/>
  <c r="I18" i="31" s="1"/>
  <c r="AV23" i="17"/>
  <c r="AV18" i="17"/>
  <c r="I72" i="5"/>
  <c r="M72" i="5" s="1"/>
  <c r="H122" i="5"/>
  <c r="F24" i="5"/>
  <c r="F27" i="5" s="1"/>
  <c r="D76" i="5"/>
  <c r="D122" i="5" s="1"/>
  <c r="G24" i="5"/>
  <c r="G27" i="5" s="1"/>
  <c r="G76" i="5" s="1"/>
  <c r="M16" i="5"/>
  <c r="M90" i="5"/>
  <c r="M115" i="5"/>
  <c r="O20" i="4"/>
  <c r="I24" i="4" s="1"/>
  <c r="N27" i="4"/>
  <c r="D24" i="4" s="1"/>
  <c r="G24" i="4"/>
  <c r="F90" i="4"/>
  <c r="AO29" i="17" s="1"/>
  <c r="H76" i="4"/>
  <c r="I65" i="4"/>
  <c r="I57" i="4"/>
  <c r="I49" i="4"/>
  <c r="I41" i="4"/>
  <c r="I61" i="4"/>
  <c r="I53" i="4"/>
  <c r="I45" i="4"/>
  <c r="H115" i="4"/>
  <c r="H122" i="4" s="1"/>
  <c r="N32" i="4"/>
  <c r="D31" i="4" s="1"/>
  <c r="D36" i="4" s="1"/>
  <c r="F31" i="4"/>
  <c r="F36" i="4" s="1"/>
  <c r="F20" i="4"/>
  <c r="D27" i="4"/>
  <c r="F8" i="4"/>
  <c r="F16" i="4" s="1"/>
  <c r="AO15" i="17" s="1"/>
  <c r="D16" i="4"/>
  <c r="D115" i="4"/>
  <c r="G31" i="4"/>
  <c r="F22" i="4"/>
  <c r="G22" i="4"/>
  <c r="F21" i="4"/>
  <c r="F23" i="4"/>
  <c r="G23" i="4" s="1"/>
  <c r="I31" i="4"/>
  <c r="I36" i="4" s="1"/>
  <c r="G30" i="4"/>
  <c r="F24" i="4"/>
  <c r="D85" i="4"/>
  <c r="I85" i="4" s="1"/>
  <c r="I90" i="4" s="1"/>
  <c r="AO30" i="17" s="1"/>
  <c r="P18" i="3"/>
  <c r="I10" i="3"/>
  <c r="F12" i="3"/>
  <c r="H14" i="3"/>
  <c r="H16" i="3" s="1"/>
  <c r="G16" i="3"/>
  <c r="O21" i="3"/>
  <c r="O22" i="3" s="1"/>
  <c r="L24" i="3"/>
  <c r="G25" i="3"/>
  <c r="H27" i="3"/>
  <c r="G29" i="3"/>
  <c r="L31" i="3"/>
  <c r="F32" i="3"/>
  <c r="G33" i="3"/>
  <c r="H36" i="3"/>
  <c r="I38" i="3"/>
  <c r="I39" i="3"/>
  <c r="I40" i="3"/>
  <c r="I42" i="3"/>
  <c r="I43" i="3"/>
  <c r="I44" i="3"/>
  <c r="I46" i="3"/>
  <c r="I47" i="3"/>
  <c r="I48" i="3"/>
  <c r="I50" i="3"/>
  <c r="I51" i="3"/>
  <c r="I52" i="3"/>
  <c r="I54" i="3"/>
  <c r="I55" i="3"/>
  <c r="I56" i="3"/>
  <c r="I58" i="3"/>
  <c r="I59" i="3"/>
  <c r="I60" i="3"/>
  <c r="D72" i="3"/>
  <c r="I62" i="3"/>
  <c r="I63" i="3"/>
  <c r="I64" i="3"/>
  <c r="I68" i="3"/>
  <c r="I70" i="3"/>
  <c r="F72" i="3"/>
  <c r="G72" i="3"/>
  <c r="H72" i="3"/>
  <c r="I73" i="3"/>
  <c r="AL25" i="17" s="1"/>
  <c r="H74" i="3"/>
  <c r="F81" i="3"/>
  <c r="D81" i="3" s="1"/>
  <c r="F83" i="3"/>
  <c r="D83" i="3" s="1"/>
  <c r="O84" i="3"/>
  <c r="H87" i="3"/>
  <c r="H90" i="3" s="1"/>
  <c r="G90" i="3"/>
  <c r="H93" i="3"/>
  <c r="H94" i="3"/>
  <c r="H95" i="3"/>
  <c r="H96" i="3"/>
  <c r="H97" i="3"/>
  <c r="H98" i="3"/>
  <c r="H99" i="3"/>
  <c r="H100" i="3"/>
  <c r="H101" i="3"/>
  <c r="H102" i="3"/>
  <c r="H103" i="3"/>
  <c r="H104" i="3"/>
  <c r="H105" i="3"/>
  <c r="H106" i="3"/>
  <c r="H107" i="3"/>
  <c r="H109" i="3"/>
  <c r="H110" i="3"/>
  <c r="H111" i="3"/>
  <c r="H113" i="3"/>
  <c r="F115" i="3"/>
  <c r="G115" i="3"/>
  <c r="I115" i="3"/>
  <c r="H118" i="3"/>
  <c r="H120" i="3" s="1"/>
  <c r="F120" i="3"/>
  <c r="G120" i="3"/>
  <c r="I120" i="3"/>
  <c r="BH6" i="17" l="1"/>
  <c r="I27" i="4"/>
  <c r="AO23" i="17"/>
  <c r="X21" i="23"/>
  <c r="X28" i="23" s="1"/>
  <c r="X73" i="23" s="1"/>
  <c r="X79" i="23" s="1"/>
  <c r="X82" i="23" s="1"/>
  <c r="X84" i="23" s="1"/>
  <c r="X86" i="23" s="1"/>
  <c r="X32" i="23" s="1"/>
  <c r="X37" i="23" s="1"/>
  <c r="X39" i="23" s="1"/>
  <c r="BB39" i="17"/>
  <c r="F20" i="28"/>
  <c r="I20" i="28" s="1"/>
  <c r="AM25" i="17"/>
  <c r="I16" i="3"/>
  <c r="AL16" i="17"/>
  <c r="G36" i="4"/>
  <c r="G122" i="5"/>
  <c r="AR22" i="17"/>
  <c r="F19" i="32"/>
  <c r="I19" i="32" s="1"/>
  <c r="AY24" i="17"/>
  <c r="AY26" i="17" s="1"/>
  <c r="AS18" i="17"/>
  <c r="I17" i="32"/>
  <c r="F17" i="31"/>
  <c r="AV22" i="17"/>
  <c r="F10" i="29"/>
  <c r="I10" i="29" s="1"/>
  <c r="AP15" i="17"/>
  <c r="AO18" i="17"/>
  <c r="D76" i="4"/>
  <c r="D122" i="4" s="1"/>
  <c r="I76" i="5"/>
  <c r="M76" i="6"/>
  <c r="I10" i="30"/>
  <c r="I13" i="30" s="1"/>
  <c r="F13" i="30"/>
  <c r="AS32" i="17"/>
  <c r="U22" i="23" s="1"/>
  <c r="F21" i="33"/>
  <c r="F34" i="33" s="1"/>
  <c r="AP16" i="17"/>
  <c r="F11" i="29"/>
  <c r="F16" i="31"/>
  <c r="I16" i="31" s="1"/>
  <c r="AV21" i="17"/>
  <c r="AP30" i="17"/>
  <c r="F25" i="29"/>
  <c r="V13" i="23"/>
  <c r="V15" i="23" s="1"/>
  <c r="I122" i="6"/>
  <c r="M122" i="6" s="1"/>
  <c r="AU24" i="17"/>
  <c r="F24" i="29"/>
  <c r="I24" i="29" s="1"/>
  <c r="AO32" i="17"/>
  <c r="AP29" i="17"/>
  <c r="F76" i="5"/>
  <c r="AR21" i="17"/>
  <c r="I24" i="30"/>
  <c r="I27" i="30" s="1"/>
  <c r="F27" i="30"/>
  <c r="F18" i="30"/>
  <c r="I18" i="30" s="1"/>
  <c r="AS23" i="17"/>
  <c r="I24" i="31"/>
  <c r="I27" i="31" s="1"/>
  <c r="F27" i="31"/>
  <c r="Y70" i="23"/>
  <c r="Y69" i="23"/>
  <c r="I72" i="4"/>
  <c r="M72" i="4" s="1"/>
  <c r="F122" i="5"/>
  <c r="G27" i="4"/>
  <c r="M115" i="4"/>
  <c r="M16" i="4"/>
  <c r="F27" i="4"/>
  <c r="K90" i="4"/>
  <c r="M90" i="4"/>
  <c r="O20" i="3"/>
  <c r="I24" i="3" s="1"/>
  <c r="N27" i="3"/>
  <c r="D24" i="3" s="1"/>
  <c r="F90" i="3"/>
  <c r="AL29" i="17" s="1"/>
  <c r="H76" i="3"/>
  <c r="I65" i="3"/>
  <c r="I57" i="3"/>
  <c r="I49" i="3"/>
  <c r="I41" i="3"/>
  <c r="H115" i="3"/>
  <c r="I61" i="3"/>
  <c r="I53" i="3"/>
  <c r="I45" i="3"/>
  <c r="N32" i="3"/>
  <c r="D31" i="3" s="1"/>
  <c r="D36" i="3" s="1"/>
  <c r="F31" i="3"/>
  <c r="F36" i="3" s="1"/>
  <c r="F20" i="3"/>
  <c r="D27" i="3"/>
  <c r="F8" i="3"/>
  <c r="F16" i="3" s="1"/>
  <c r="AL15" i="17" s="1"/>
  <c r="D16" i="3"/>
  <c r="D115" i="3"/>
  <c r="G31" i="3"/>
  <c r="F22" i="3"/>
  <c r="G22" i="3"/>
  <c r="F21" i="3"/>
  <c r="F23" i="3"/>
  <c r="G23" i="3" s="1"/>
  <c r="I31" i="3"/>
  <c r="I36" i="3" s="1"/>
  <c r="G30" i="3"/>
  <c r="D85" i="3"/>
  <c r="I85" i="3" s="1"/>
  <c r="I90" i="3" s="1"/>
  <c r="AL30" i="17" s="1"/>
  <c r="I10" i="2"/>
  <c r="F12" i="2"/>
  <c r="H14" i="2"/>
  <c r="G16" i="2"/>
  <c r="H16" i="2"/>
  <c r="P18" i="2"/>
  <c r="L24" i="2"/>
  <c r="O20" i="2"/>
  <c r="G25" i="2"/>
  <c r="H27" i="2"/>
  <c r="G30" i="2"/>
  <c r="L31" i="2"/>
  <c r="F32" i="2"/>
  <c r="G33" i="2"/>
  <c r="H36" i="2"/>
  <c r="I38" i="2"/>
  <c r="I39" i="2"/>
  <c r="I40" i="2"/>
  <c r="I42" i="2"/>
  <c r="I46" i="2"/>
  <c r="I47" i="2"/>
  <c r="I48" i="2"/>
  <c r="I50" i="2"/>
  <c r="I54" i="2"/>
  <c r="I55" i="2"/>
  <c r="I56" i="2"/>
  <c r="I58" i="2"/>
  <c r="I60" i="2"/>
  <c r="I62" i="2"/>
  <c r="I64" i="2"/>
  <c r="I68" i="2"/>
  <c r="I70" i="2"/>
  <c r="F72" i="2"/>
  <c r="G72" i="2"/>
  <c r="H72" i="2"/>
  <c r="I73" i="2"/>
  <c r="AI25" i="17" s="1"/>
  <c r="CB25" i="17" s="1"/>
  <c r="CE25" i="17" s="1"/>
  <c r="H74" i="2"/>
  <c r="F81" i="2"/>
  <c r="F90" i="2" s="1"/>
  <c r="AI29" i="17" s="1"/>
  <c r="F83" i="2"/>
  <c r="D83" i="2" s="1"/>
  <c r="O84" i="2"/>
  <c r="H87" i="2"/>
  <c r="H90" i="2" s="1"/>
  <c r="G90" i="2"/>
  <c r="H93" i="2"/>
  <c r="H94" i="2"/>
  <c r="H95" i="2"/>
  <c r="H96" i="2"/>
  <c r="H97" i="2"/>
  <c r="H98" i="2"/>
  <c r="H99" i="2"/>
  <c r="H100" i="2"/>
  <c r="H101" i="2"/>
  <c r="H102" i="2"/>
  <c r="H103" i="2"/>
  <c r="H104" i="2"/>
  <c r="H105" i="2"/>
  <c r="H106" i="2"/>
  <c r="H107" i="2"/>
  <c r="H109" i="2"/>
  <c r="H110" i="2"/>
  <c r="H111" i="2"/>
  <c r="H113" i="2"/>
  <c r="F115" i="2"/>
  <c r="G115" i="2"/>
  <c r="I115" i="2"/>
  <c r="H118" i="2"/>
  <c r="H120" i="2" s="1"/>
  <c r="F120" i="2"/>
  <c r="G120" i="2"/>
  <c r="I120" i="2"/>
  <c r="BK6" i="17" l="1"/>
  <c r="CB29" i="17"/>
  <c r="CE29" i="17" s="1"/>
  <c r="AP18" i="17"/>
  <c r="T13" i="23" s="1"/>
  <c r="T15" i="23" s="1"/>
  <c r="AP32" i="17"/>
  <c r="T22" i="23" s="1"/>
  <c r="I21" i="32"/>
  <c r="I34" i="32" s="1"/>
  <c r="M76" i="5"/>
  <c r="F21" i="32"/>
  <c r="F34" i="32" s="1"/>
  <c r="W21" i="23"/>
  <c r="W28" i="23" s="1"/>
  <c r="W73" i="23" s="1"/>
  <c r="W79" i="23" s="1"/>
  <c r="W82" i="23" s="1"/>
  <c r="W84" i="23" s="1"/>
  <c r="W86" i="23" s="1"/>
  <c r="W32" i="23" s="1"/>
  <c r="W37" i="23" s="1"/>
  <c r="W39" i="23" s="1"/>
  <c r="AY39" i="17"/>
  <c r="F20" i="41"/>
  <c r="I20" i="41" s="1"/>
  <c r="CC25" i="17"/>
  <c r="BZ25" i="17"/>
  <c r="I16" i="2"/>
  <c r="AI16" i="17"/>
  <c r="CB16" i="17" s="1"/>
  <c r="CE16" i="17" s="1"/>
  <c r="F19" i="31"/>
  <c r="I19" i="31" s="1"/>
  <c r="AV24" i="17"/>
  <c r="AV26" i="17" s="1"/>
  <c r="AU26" i="17"/>
  <c r="AU39" i="17" s="1"/>
  <c r="F24" i="27"/>
  <c r="AJ29" i="17"/>
  <c r="F76" i="4"/>
  <c r="F122" i="4" s="1"/>
  <c r="AO21" i="17"/>
  <c r="G76" i="4"/>
  <c r="F16" i="30"/>
  <c r="I16" i="30" s="1"/>
  <c r="AS21" i="17"/>
  <c r="F17" i="30"/>
  <c r="AS22" i="17"/>
  <c r="D81" i="2"/>
  <c r="F10" i="28"/>
  <c r="AL18" i="17"/>
  <c r="AM15" i="17"/>
  <c r="H122" i="3"/>
  <c r="I27" i="3"/>
  <c r="AL23" i="17"/>
  <c r="U13" i="23"/>
  <c r="U15" i="23" s="1"/>
  <c r="X70" i="23"/>
  <c r="X69" i="23"/>
  <c r="I17" i="31"/>
  <c r="AP23" i="17"/>
  <c r="F18" i="29"/>
  <c r="I18" i="29" s="1"/>
  <c r="F20" i="27"/>
  <c r="I20" i="27" s="1"/>
  <c r="AJ25" i="17"/>
  <c r="F25" i="28"/>
  <c r="I25" i="28" s="1"/>
  <c r="AM30" i="17"/>
  <c r="F24" i="28"/>
  <c r="AL32" i="17"/>
  <c r="AM29" i="17"/>
  <c r="F27" i="29"/>
  <c r="I25" i="29"/>
  <c r="I27" i="29" s="1"/>
  <c r="F13" i="29"/>
  <c r="I11" i="29"/>
  <c r="I13" i="29" s="1"/>
  <c r="I122" i="5"/>
  <c r="M122" i="5" s="1"/>
  <c r="AR24" i="17"/>
  <c r="AR26" i="17" s="1"/>
  <c r="AR39" i="17" s="1"/>
  <c r="F11" i="28"/>
  <c r="I11" i="28" s="1"/>
  <c r="AM16" i="17"/>
  <c r="D76" i="3"/>
  <c r="D122" i="3" s="1"/>
  <c r="G36" i="3"/>
  <c r="I76" i="4"/>
  <c r="I61" i="2"/>
  <c r="I72" i="3"/>
  <c r="M72" i="3" s="1"/>
  <c r="I45" i="2"/>
  <c r="K90" i="3"/>
  <c r="I65" i="2"/>
  <c r="I53" i="2"/>
  <c r="F24" i="3"/>
  <c r="G24" i="3"/>
  <c r="G27" i="3" s="1"/>
  <c r="M16" i="3"/>
  <c r="M90" i="3"/>
  <c r="M115" i="3"/>
  <c r="F27" i="3"/>
  <c r="F23" i="2"/>
  <c r="G23" i="2" s="1"/>
  <c r="I59" i="2"/>
  <c r="I52" i="2"/>
  <c r="I49" i="2"/>
  <c r="I43" i="2"/>
  <c r="I57" i="2"/>
  <c r="I51" i="2"/>
  <c r="I44" i="2"/>
  <c r="I41" i="2"/>
  <c r="O21" i="2"/>
  <c r="O22" i="2" s="1"/>
  <c r="I31" i="2"/>
  <c r="I36" i="2" s="1"/>
  <c r="H76" i="2"/>
  <c r="I63" i="2"/>
  <c r="F24" i="2"/>
  <c r="I24" i="2"/>
  <c r="N27" i="2"/>
  <c r="D24" i="2" s="1"/>
  <c r="D27" i="2" s="1"/>
  <c r="G29" i="2"/>
  <c r="F8" i="2"/>
  <c r="F16" i="2" s="1"/>
  <c r="AI15" i="17" s="1"/>
  <c r="CB15" i="17" s="1"/>
  <c r="CE15" i="17" s="1"/>
  <c r="D16" i="2"/>
  <c r="H115" i="2"/>
  <c r="H122" i="2" s="1"/>
  <c r="G22" i="2"/>
  <c r="F22" i="2"/>
  <c r="F20" i="2"/>
  <c r="D115" i="2"/>
  <c r="G31" i="2"/>
  <c r="F31" i="2"/>
  <c r="F36" i="2" s="1"/>
  <c r="N32" i="2"/>
  <c r="D31" i="2" s="1"/>
  <c r="D36" i="2" s="1"/>
  <c r="D85" i="2"/>
  <c r="I85" i="2" s="1"/>
  <c r="I90" i="2" s="1"/>
  <c r="AI30" i="17" s="1"/>
  <c r="CB30" i="17" s="1"/>
  <c r="CE30" i="17" s="1"/>
  <c r="D72" i="2"/>
  <c r="G24" i="2"/>
  <c r="F21" i="31" l="1"/>
  <c r="F34" i="31" s="1"/>
  <c r="BN6" i="17"/>
  <c r="AM18" i="17"/>
  <c r="S13" i="23" s="1"/>
  <c r="S15" i="23" s="1"/>
  <c r="CF25" i="17"/>
  <c r="F20" i="42"/>
  <c r="I20" i="42" s="1"/>
  <c r="AM32" i="17"/>
  <c r="S22" i="23" s="1"/>
  <c r="G76" i="3"/>
  <c r="BZ30" i="17"/>
  <c r="F25" i="41"/>
  <c r="CC30" i="17"/>
  <c r="I10" i="28"/>
  <c r="I13" i="28" s="1"/>
  <c r="F13" i="28"/>
  <c r="F25" i="27"/>
  <c r="I25" i="27" s="1"/>
  <c r="AJ30" i="17"/>
  <c r="AJ32" i="17" s="1"/>
  <c r="R22" i="23" s="1"/>
  <c r="I27" i="2"/>
  <c r="AI23" i="17"/>
  <c r="CB23" i="17" s="1"/>
  <c r="CE23" i="17" s="1"/>
  <c r="I122" i="4"/>
  <c r="AO24" i="17"/>
  <c r="F18" i="28"/>
  <c r="I18" i="28" s="1"/>
  <c r="AM23" i="17"/>
  <c r="G122" i="4"/>
  <c r="M122" i="4" s="1"/>
  <c r="AO22" i="17"/>
  <c r="AI32" i="17"/>
  <c r="F10" i="27"/>
  <c r="I10" i="27" s="1"/>
  <c r="AI18" i="17"/>
  <c r="AJ15" i="17"/>
  <c r="I21" i="31"/>
  <c r="I34" i="31" s="1"/>
  <c r="I17" i="30"/>
  <c r="F16" i="29"/>
  <c r="AP21" i="17"/>
  <c r="I24" i="27"/>
  <c r="F11" i="27"/>
  <c r="AJ16" i="17"/>
  <c r="I24" i="28"/>
  <c r="I27" i="28" s="1"/>
  <c r="F27" i="28"/>
  <c r="F76" i="3"/>
  <c r="F122" i="3" s="1"/>
  <c r="AL21" i="17"/>
  <c r="G122" i="3"/>
  <c r="AL22" i="17"/>
  <c r="F19" i="30"/>
  <c r="I19" i="30" s="1"/>
  <c r="AS24" i="17"/>
  <c r="AS26" i="17" s="1"/>
  <c r="F24" i="41"/>
  <c r="I24" i="41" s="1"/>
  <c r="CC29" i="17"/>
  <c r="CB32" i="17"/>
  <c r="V21" i="23"/>
  <c r="V28" i="23" s="1"/>
  <c r="AV39" i="17"/>
  <c r="F10" i="41"/>
  <c r="I10" i="41" s="1"/>
  <c r="CC15" i="17"/>
  <c r="CB18" i="17"/>
  <c r="W70" i="23"/>
  <c r="W69" i="23"/>
  <c r="M76" i="4"/>
  <c r="I76" i="3"/>
  <c r="I72" i="2"/>
  <c r="G27" i="2"/>
  <c r="G36" i="2"/>
  <c r="M115" i="2"/>
  <c r="F21" i="2"/>
  <c r="F27" i="2" s="1"/>
  <c r="M16" i="2"/>
  <c r="D76" i="2"/>
  <c r="D122" i="2" s="1"/>
  <c r="M90" i="2"/>
  <c r="K90" i="2"/>
  <c r="BQ6" i="17" l="1"/>
  <c r="F10" i="42"/>
  <c r="I10" i="42" s="1"/>
  <c r="F24" i="42"/>
  <c r="I24" i="42" s="1"/>
  <c r="I27" i="27"/>
  <c r="CC32" i="17"/>
  <c r="AG22" i="23" s="1"/>
  <c r="F27" i="27"/>
  <c r="CF30" i="17"/>
  <c r="F25" i="42"/>
  <c r="I25" i="42" s="1"/>
  <c r="U21" i="23"/>
  <c r="U28" i="23" s="1"/>
  <c r="U73" i="23" s="1"/>
  <c r="U79" i="23" s="1"/>
  <c r="U82" i="23" s="1"/>
  <c r="U84" i="23" s="1"/>
  <c r="U86" i="23" s="1"/>
  <c r="U32" i="23" s="1"/>
  <c r="U37" i="23" s="1"/>
  <c r="U39" i="23" s="1"/>
  <c r="AS39" i="17"/>
  <c r="CF29" i="17"/>
  <c r="CF32" i="17" s="1"/>
  <c r="CE32" i="17"/>
  <c r="I21" i="30"/>
  <c r="I34" i="30" s="1"/>
  <c r="AJ18" i="17"/>
  <c r="AP22" i="17"/>
  <c r="F17" i="29"/>
  <c r="I17" i="29" s="1"/>
  <c r="AP24" i="17"/>
  <c r="F19" i="29"/>
  <c r="I19" i="29" s="1"/>
  <c r="F76" i="2"/>
  <c r="F122" i="2" s="1"/>
  <c r="AI21" i="17"/>
  <c r="CB21" i="17" s="1"/>
  <c r="CE21" i="17" s="1"/>
  <c r="F13" i="27"/>
  <c r="I11" i="27"/>
  <c r="I13" i="27" s="1"/>
  <c r="AO26" i="17"/>
  <c r="AO39" i="17" s="1"/>
  <c r="F21" i="30"/>
  <c r="F34" i="30" s="1"/>
  <c r="F27" i="41"/>
  <c r="I25" i="41"/>
  <c r="I27" i="41" s="1"/>
  <c r="I122" i="3"/>
  <c r="AL24" i="17"/>
  <c r="AL26" i="17" s="1"/>
  <c r="AL39" i="17" s="1"/>
  <c r="F11" i="41"/>
  <c r="CC16" i="17"/>
  <c r="CC18" i="17" s="1"/>
  <c r="BZ16" i="17"/>
  <c r="G76" i="2"/>
  <c r="V73" i="23"/>
  <c r="V79" i="23" s="1"/>
  <c r="V82" i="23" s="1"/>
  <c r="V84" i="23" s="1"/>
  <c r="V86" i="23" s="1"/>
  <c r="V32" i="23" s="1"/>
  <c r="V37" i="23" s="1"/>
  <c r="V39" i="23" s="1"/>
  <c r="F17" i="28"/>
  <c r="I17" i="28" s="1"/>
  <c r="AM22" i="17"/>
  <c r="F18" i="41"/>
  <c r="I18" i="41" s="1"/>
  <c r="BZ23" i="17"/>
  <c r="CC23" i="17"/>
  <c r="I76" i="2"/>
  <c r="CF15" i="17"/>
  <c r="F16" i="28"/>
  <c r="AM21" i="17"/>
  <c r="I16" i="29"/>
  <c r="F18" i="27"/>
  <c r="I18" i="27" s="1"/>
  <c r="AJ23" i="17"/>
  <c r="M122" i="3"/>
  <c r="M76" i="3"/>
  <c r="M72" i="2"/>
  <c r="M76" i="2"/>
  <c r="BT6" i="17" l="1"/>
  <c r="CB24" i="17"/>
  <c r="CE24" i="17" s="1"/>
  <c r="BZ15" i="17"/>
  <c r="BZ18" i="17" s="1"/>
  <c r="AF13" i="23" s="1"/>
  <c r="AF15" i="23" s="1"/>
  <c r="BZ29" i="17"/>
  <c r="BZ32" i="17" s="1"/>
  <c r="AF22" i="23" s="1"/>
  <c r="AH22" i="23" s="1"/>
  <c r="CF23" i="17"/>
  <c r="F18" i="42"/>
  <c r="I18" i="42" s="1"/>
  <c r="AP26" i="17"/>
  <c r="T21" i="23" s="1"/>
  <c r="T28" i="23" s="1"/>
  <c r="F27" i="42"/>
  <c r="CF16" i="17"/>
  <c r="CF18" i="17" s="1"/>
  <c r="F11" i="42"/>
  <c r="I21" i="29"/>
  <c r="I34" i="29" s="1"/>
  <c r="CE18" i="17"/>
  <c r="I27" i="42"/>
  <c r="F21" i="29"/>
  <c r="F34" i="29" s="1"/>
  <c r="AG13" i="23"/>
  <c r="AG15" i="23" s="1"/>
  <c r="V70" i="23"/>
  <c r="V69" i="23"/>
  <c r="F16" i="41"/>
  <c r="I16" i="41" s="1"/>
  <c r="CC21" i="17"/>
  <c r="R13" i="23"/>
  <c r="I16" i="28"/>
  <c r="F19" i="28"/>
  <c r="I19" i="28" s="1"/>
  <c r="AM24" i="17"/>
  <c r="AM26" i="17" s="1"/>
  <c r="U70" i="23"/>
  <c r="U69" i="23"/>
  <c r="I122" i="2"/>
  <c r="AI24" i="17"/>
  <c r="AP39" i="17"/>
  <c r="F16" i="27"/>
  <c r="AJ21" i="17"/>
  <c r="F13" i="41"/>
  <c r="I11" i="41"/>
  <c r="I13" i="41" s="1"/>
  <c r="G122" i="2"/>
  <c r="M122" i="2" s="1"/>
  <c r="AI22" i="17"/>
  <c r="AI26" i="17" l="1"/>
  <c r="AI39" i="17" s="1"/>
  <c r="CB22" i="17"/>
  <c r="CE22" i="17" s="1"/>
  <c r="BW6" i="17"/>
  <c r="F21" i="28"/>
  <c r="F34" i="28" s="1"/>
  <c r="I21" i="28"/>
  <c r="I34" i="28" s="1"/>
  <c r="F16" i="42"/>
  <c r="I16" i="42"/>
  <c r="I11" i="42"/>
  <c r="I13" i="42" s="1"/>
  <c r="F13" i="42"/>
  <c r="F19" i="41"/>
  <c r="I19" i="41" s="1"/>
  <c r="CC24" i="17"/>
  <c r="BZ24" i="17"/>
  <c r="CF21" i="17"/>
  <c r="S21" i="23"/>
  <c r="S28" i="23" s="1"/>
  <c r="S73" i="23" s="1"/>
  <c r="S79" i="23" s="1"/>
  <c r="S82" i="23" s="1"/>
  <c r="S84" i="23" s="1"/>
  <c r="S86" i="23" s="1"/>
  <c r="S32" i="23" s="1"/>
  <c r="S37" i="23" s="1"/>
  <c r="S39" i="23" s="1"/>
  <c r="AM39" i="17"/>
  <c r="F17" i="27"/>
  <c r="I17" i="27" s="1"/>
  <c r="AJ22" i="17"/>
  <c r="T73" i="23"/>
  <c r="T79" i="23" s="1"/>
  <c r="T82" i="23" s="1"/>
  <c r="T84" i="23" s="1"/>
  <c r="T86" i="23" s="1"/>
  <c r="T32" i="23" s="1"/>
  <c r="T37" i="23" s="1"/>
  <c r="T39" i="23" s="1"/>
  <c r="F19" i="27"/>
  <c r="I19" i="27" s="1"/>
  <c r="AJ24" i="17"/>
  <c r="R15" i="23"/>
  <c r="AH13" i="23"/>
  <c r="I16" i="27"/>
  <c r="F21" i="27" l="1"/>
  <c r="F34" i="27" s="1"/>
  <c r="BZ6" i="17"/>
  <c r="AJ26" i="17"/>
  <c r="BZ21" i="17"/>
  <c r="CF24" i="17"/>
  <c r="F19" i="42"/>
  <c r="I19" i="42" s="1"/>
  <c r="R21" i="23"/>
  <c r="AJ39" i="17"/>
  <c r="AH15" i="23"/>
  <c r="AJ15" i="23"/>
  <c r="T69" i="23"/>
  <c r="T70" i="23"/>
  <c r="I21" i="27"/>
  <c r="I34" i="27" s="1"/>
  <c r="S70" i="23"/>
  <c r="S69" i="23"/>
  <c r="F17" i="41"/>
  <c r="CC22" i="17"/>
  <c r="CC26" i="17" s="1"/>
  <c r="CB26" i="17"/>
  <c r="CB39" i="17" s="1"/>
  <c r="CI6" i="17" l="1"/>
  <c r="F17" i="42"/>
  <c r="I17" i="42" s="1"/>
  <c r="I21" i="42" s="1"/>
  <c r="I34" i="42" s="1"/>
  <c r="F21" i="42"/>
  <c r="F34" i="42" s="1"/>
  <c r="F21" i="41"/>
  <c r="F34" i="41" s="1"/>
  <c r="I17" i="41"/>
  <c r="I21" i="41" s="1"/>
  <c r="I34" i="41" s="1"/>
  <c r="CF22" i="17"/>
  <c r="CF26" i="17" s="1"/>
  <c r="CF39" i="17" s="1"/>
  <c r="CE26" i="17"/>
  <c r="CE39" i="17" s="1"/>
  <c r="AG21" i="23"/>
  <c r="AG28" i="23" s="1"/>
  <c r="AG73" i="23" s="1"/>
  <c r="AG79" i="23" s="1"/>
  <c r="AG82" i="23" s="1"/>
  <c r="AG84" i="23" s="1"/>
  <c r="AG86" i="23" s="1"/>
  <c r="AG32" i="23" s="1"/>
  <c r="AG37" i="23" s="1"/>
  <c r="AG39" i="23" s="1"/>
  <c r="CC39" i="17"/>
  <c r="R28" i="23"/>
  <c r="R73" i="23" s="1"/>
  <c r="R79" i="23" s="1"/>
  <c r="R82" i="23" s="1"/>
  <c r="R84" i="23" s="1"/>
  <c r="R86" i="23" s="1"/>
  <c r="R32" i="23" s="1"/>
  <c r="CC6" i="17" l="1"/>
  <c r="BZ22" i="17"/>
  <c r="BZ26" i="17" s="1"/>
  <c r="BY39" i="17"/>
  <c r="AG70" i="23"/>
  <c r="AG69" i="23"/>
  <c r="R37" i="23"/>
  <c r="CF6" i="17" l="1"/>
  <c r="BZ39" i="17"/>
  <c r="AF21" i="23"/>
  <c r="R39" i="23"/>
  <c r="AF28" i="23" l="1"/>
  <c r="AF73" i="23" s="1"/>
  <c r="AF79" i="23" s="1"/>
  <c r="AF82" i="23" s="1"/>
  <c r="AF84" i="23" s="1"/>
  <c r="AF86" i="23" s="1"/>
  <c r="AF32" i="23" s="1"/>
  <c r="AH21" i="23"/>
  <c r="R70" i="23"/>
  <c r="R69" i="23"/>
  <c r="AH28" i="23" l="1"/>
  <c r="AH73" i="23" s="1"/>
  <c r="AH79" i="23" s="1"/>
  <c r="AH82" i="23" s="1"/>
  <c r="AH84" i="23" s="1"/>
  <c r="AH86" i="23" s="1"/>
  <c r="AJ28" i="23"/>
  <c r="AJ73" i="23" s="1"/>
  <c r="AJ79" i="23" s="1"/>
  <c r="AJ82" i="23" s="1"/>
  <c r="AJ84" i="23" s="1"/>
  <c r="AJ86" i="23" s="1"/>
  <c r="AF37" i="23"/>
  <c r="AH32" i="23"/>
  <c r="AF39" i="23" l="1"/>
  <c r="AH37" i="23"/>
  <c r="AH39" i="23" l="1"/>
  <c r="AF69" i="23"/>
  <c r="AF70" i="23"/>
  <c r="AH70" i="23" l="1"/>
  <c r="AH69" i="23"/>
  <c r="Q18" i="17"/>
  <c r="R15" i="17"/>
  <c r="R16" i="17"/>
  <c r="R17" i="17"/>
  <c r="Q26" i="17"/>
  <c r="R21" i="17"/>
  <c r="R22" i="17"/>
  <c r="R23" i="17"/>
  <c r="R24" i="17"/>
  <c r="R25" i="17"/>
  <c r="Q32" i="17"/>
  <c r="R29" i="17"/>
  <c r="R32" i="17" s="1"/>
  <c r="R30" i="17"/>
  <c r="R31" i="17"/>
  <c r="Q37" i="17"/>
  <c r="R35" i="17"/>
  <c r="R37" i="17" s="1"/>
  <c r="R36" i="17"/>
  <c r="R26" i="17" l="1"/>
  <c r="R18" i="17"/>
  <c r="R39" i="17" s="1"/>
  <c r="Q39" i="17"/>
</calcChain>
</file>

<file path=xl/sharedStrings.xml><?xml version="1.0" encoding="utf-8"?>
<sst xmlns="http://schemas.openxmlformats.org/spreadsheetml/2006/main" count="7349" uniqueCount="421">
  <si>
    <t>MERGED PEAK/ENERGY SPLIT</t>
  </si>
  <si>
    <t>($)</t>
  </si>
  <si>
    <t>Merged</t>
  </si>
  <si>
    <t xml:space="preserve">Pre-Merger </t>
  </si>
  <si>
    <t>Demand</t>
  </si>
  <si>
    <t>Energy</t>
  </si>
  <si>
    <t>Non-Firm</t>
  </si>
  <si>
    <t>Post-Merger</t>
  </si>
  <si>
    <t>SPECIAL SALES FOR RESALE</t>
  </si>
  <si>
    <t>Pacific Pre Merger</t>
  </si>
  <si>
    <t>Post Merger</t>
  </si>
  <si>
    <t>Utah Pre Merger</t>
  </si>
  <si>
    <t>NonFirm Sub Total</t>
  </si>
  <si>
    <t xml:space="preserve"> </t>
  </si>
  <si>
    <t>--------------------</t>
  </si>
  <si>
    <t>TOTAL SPECIAL SALES</t>
  </si>
  <si>
    <t>PURCHASED POWER &amp; NET INTERCHANGE</t>
  </si>
  <si>
    <t>BPA Peak Purchase</t>
  </si>
  <si>
    <t>Pacific Capacity</t>
  </si>
  <si>
    <t>Mid Columbia</t>
  </si>
  <si>
    <t>Misc/Pacific</t>
  </si>
  <si>
    <t>Q.F. Contracts/PPL</t>
  </si>
  <si>
    <t>Pacific Sub Total</t>
  </si>
  <si>
    <t>GSLM</t>
  </si>
  <si>
    <t>QF Contracts/UPL</t>
  </si>
  <si>
    <t>IPP Layoff</t>
  </si>
  <si>
    <t>UP&amp;L to PP&amp;L</t>
  </si>
  <si>
    <t>Utah Sub Total</t>
  </si>
  <si>
    <t>New Firm Sub Total</t>
  </si>
  <si>
    <t>Non Firm Sub Total</t>
  </si>
  <si>
    <t>TOTAL PURCHASED PW &amp; NET INT.</t>
  </si>
  <si>
    <t>WHEELING &amp; U. OF F. EXPENSE</t>
  </si>
  <si>
    <t>Pacific Firm Wheeling and Use of Facilities</t>
  </si>
  <si>
    <t>Utah Firm Wheeling and Use of Facilities</t>
  </si>
  <si>
    <t>Nonfirm Wheeling</t>
  </si>
  <si>
    <t>TOTAL WHEELING &amp; U. OF F. EXPENSE</t>
  </si>
  <si>
    <t>THERMAL FUEL BURN EXPENSE</t>
  </si>
  <si>
    <t>TOTAL FUEL BURN EXPENSE</t>
  </si>
  <si>
    <t>=</t>
  </si>
  <si>
    <t>NET POWER COST</t>
  </si>
  <si>
    <t>check</t>
  </si>
  <si>
    <t>Gemstate</t>
  </si>
  <si>
    <t>Study Results</t>
  </si>
  <si>
    <t>OTHER GENERATION EXPENSE</t>
  </si>
  <si>
    <t>TOTAL OTHER GEN. EXPENSE</t>
  </si>
  <si>
    <t>Kennecott Generation Incentive</t>
  </si>
  <si>
    <t>Georgia-Pacific Camas</t>
  </si>
  <si>
    <t>Currant Creek</t>
  </si>
  <si>
    <t>QF UPL Post Merger</t>
  </si>
  <si>
    <t>QF PPL Post Merger</t>
  </si>
  <si>
    <t>QF PPL Pre Merger</t>
  </si>
  <si>
    <t>QF UPL Pre Merger</t>
  </si>
  <si>
    <t>Period Ending</t>
  </si>
  <si>
    <t>QF by State PPL</t>
  </si>
  <si>
    <t>QF by State UPL</t>
  </si>
  <si>
    <t>Avoided Cost Resource</t>
  </si>
  <si>
    <t>Pre-Merger PPL</t>
  </si>
  <si>
    <t>Pre-Merger UPL</t>
  </si>
  <si>
    <t>Post-Merger PPL</t>
  </si>
  <si>
    <t>Post-Merger UPL</t>
  </si>
  <si>
    <t>Pre Mgr PPL</t>
  </si>
  <si>
    <t>Pre Mgr UPL</t>
  </si>
  <si>
    <t>Post Mgr Whl</t>
  </si>
  <si>
    <t>STF</t>
  </si>
  <si>
    <t>Seasonal Purchased Power</t>
  </si>
  <si>
    <t>---------------------------------------------------------</t>
  </si>
  <si>
    <t>Chehalis</t>
  </si>
  <si>
    <t>Test Year</t>
  </si>
  <si>
    <t>APS Supplemental p27875</t>
  </si>
  <si>
    <t>Blanding Purchase p379174</t>
  </si>
  <si>
    <t>Chehalis Station Service</t>
  </si>
  <si>
    <t xml:space="preserve">Combine Hills Wind p160595 </t>
  </si>
  <si>
    <t>Deseret Purchase p194277</t>
  </si>
  <si>
    <t>Hermiston Purchase p99563</t>
  </si>
  <si>
    <t>Hurricane Purchase p393045</t>
  </si>
  <si>
    <t>Idaho Power p278538</t>
  </si>
  <si>
    <t>LADWP p491303-4</t>
  </si>
  <si>
    <t>MagCorp p229846</t>
  </si>
  <si>
    <t>MagCorp Reserves p510378</t>
  </si>
  <si>
    <t>Nucor p346856</t>
  </si>
  <si>
    <t>P4 Production p137215/p145258</t>
  </si>
  <si>
    <t>Rock River Wind p100371</t>
  </si>
  <si>
    <t>Roseburg Forest Products p312292</t>
  </si>
  <si>
    <t>Three Buttes Wind p460457</t>
  </si>
  <si>
    <t>Tri-State Purchase p27057</t>
  </si>
  <si>
    <t>Wolverine Creek Wind p244520</t>
  </si>
  <si>
    <t>BPA So. Idaho p64885/p83975/p64705</t>
  </si>
  <si>
    <t>PSCo Exchange p340325</t>
  </si>
  <si>
    <t>BPA Reserve Purchase</t>
  </si>
  <si>
    <t>Small Purchases east</t>
  </si>
  <si>
    <t>Small Purchases west</t>
  </si>
  <si>
    <t>NF Whl</t>
  </si>
  <si>
    <t>Top of the World Wind p522807</t>
  </si>
  <si>
    <t>Shell p489963/s489962</t>
  </si>
  <si>
    <t>Cargill p483225/s6 p485390/s89</t>
  </si>
  <si>
    <t>West Valley Toll</t>
  </si>
  <si>
    <t>Constellation 2013-2016</t>
  </si>
  <si>
    <t>Blundell</t>
  </si>
  <si>
    <t>Carbon</t>
  </si>
  <si>
    <t>Cholla</t>
  </si>
  <si>
    <t>Colstrip</t>
  </si>
  <si>
    <t>Craig</t>
  </si>
  <si>
    <t>Dave Johnston</t>
  </si>
  <si>
    <t>Gadsby</t>
  </si>
  <si>
    <t>Gadsby CT</t>
  </si>
  <si>
    <t>Hayden</t>
  </si>
  <si>
    <t>Hermiston</t>
  </si>
  <si>
    <t>Hunter</t>
  </si>
  <si>
    <t>Huntington</t>
  </si>
  <si>
    <t>Jim Bridger</t>
  </si>
  <si>
    <t>Lake Side</t>
  </si>
  <si>
    <t>Little Mountain</t>
  </si>
  <si>
    <t>Naughton - Gas</t>
  </si>
  <si>
    <t>Naughton</t>
  </si>
  <si>
    <t>Wyodak</t>
  </si>
  <si>
    <t>Short Term Firm Purchases</t>
  </si>
  <si>
    <t>Wind Integration Charge</t>
  </si>
  <si>
    <t>01/14-12/14</t>
  </si>
  <si>
    <t>PacifiCorp</t>
  </si>
  <si>
    <t>.</t>
  </si>
  <si>
    <t>RESTATED NPC</t>
  </si>
  <si>
    <t>RESTATING ADJUSTMENT</t>
  </si>
  <si>
    <t>REVISED - PRO FORMA NPC</t>
  </si>
  <si>
    <t>12 Months Ended June 2012</t>
  </si>
  <si>
    <t>12 Months Ended December 2014</t>
  </si>
  <si>
    <t>WCA</t>
  </si>
  <si>
    <t>WA</t>
  </si>
  <si>
    <t>FERC</t>
  </si>
  <si>
    <t>Alloc.</t>
  </si>
  <si>
    <t>Total West</t>
  </si>
  <si>
    <t>Washington</t>
  </si>
  <si>
    <t>Description</t>
  </si>
  <si>
    <t>Account</t>
  </si>
  <si>
    <t>Factor</t>
  </si>
  <si>
    <t>%</t>
  </si>
  <si>
    <t>Control Area</t>
  </si>
  <si>
    <t>Allocated</t>
  </si>
  <si>
    <t>Sales for Resale  (Account 447)</t>
  </si>
  <si>
    <t>Existing Firm Sales - Pacific</t>
  </si>
  <si>
    <t>447NPC</t>
  </si>
  <si>
    <t>CAGW</t>
  </si>
  <si>
    <t>Post-Merger Firm Sales</t>
  </si>
  <si>
    <t>Non-Firm Sales</t>
  </si>
  <si>
    <t>CAEW</t>
  </si>
  <si>
    <t>Total Sales for Resale</t>
  </si>
  <si>
    <t>Purchased Power (Account 555)</t>
  </si>
  <si>
    <t>Existing Firm Demand - Pacific</t>
  </si>
  <si>
    <t>555NPC</t>
  </si>
  <si>
    <t>Existing Firm Energy</t>
  </si>
  <si>
    <t>WCA Qualifying Facilities</t>
  </si>
  <si>
    <t>Post-Merger Firm Energy</t>
  </si>
  <si>
    <t>Other Generation Expenses</t>
  </si>
  <si>
    <t>Total Purchased Power</t>
  </si>
  <si>
    <t>Wheeling (Account 565)</t>
  </si>
  <si>
    <t>Existing Firm - Pacific</t>
  </si>
  <si>
    <t>565NPC</t>
  </si>
  <si>
    <t>Post Merger Firm</t>
  </si>
  <si>
    <t>Non Firm</t>
  </si>
  <si>
    <t>Total Wheeling Expense</t>
  </si>
  <si>
    <t>Fuel Expense (Accounts 501 and 547)</t>
  </si>
  <si>
    <t>Fuel Consumed - Coal</t>
  </si>
  <si>
    <t>501NPC</t>
  </si>
  <si>
    <t>Fuel Consumed - Natural Gas</t>
  </si>
  <si>
    <t>547NPC</t>
  </si>
  <si>
    <t>Total Fuel and Other Expense</t>
  </si>
  <si>
    <t>Total Net Power Cost</t>
  </si>
  <si>
    <t>07/11 - 06/12</t>
  </si>
  <si>
    <t>Ramp Loss</t>
  </si>
  <si>
    <t>Seven Mile II Wind</t>
  </si>
  <si>
    <t>UBS p268850</t>
  </si>
  <si>
    <t>UBS p268848</t>
  </si>
  <si>
    <t>Morgan Stanley p244841</t>
  </si>
  <si>
    <t>Morgan Stanley p244840</t>
  </si>
  <si>
    <t>TransAlta p371343/s371344</t>
  </si>
  <si>
    <t>DSM (Irrigation)</t>
  </si>
  <si>
    <t>Place Holder</t>
  </si>
  <si>
    <t>Weyerhaeuser Reserve p356685</t>
  </si>
  <si>
    <t>Top of the World Wind p575862</t>
  </si>
  <si>
    <t>Nebo Heat Rate Option p360539</t>
  </si>
  <si>
    <t>Morgan Stanley p272154-7</t>
  </si>
  <si>
    <t>Morgan Stanley p272153-6-8</t>
  </si>
  <si>
    <t>Morgan Stanley p189046</t>
  </si>
  <si>
    <t>Constellation p268849</t>
  </si>
  <si>
    <t>Constellation p257678</t>
  </si>
  <si>
    <t>Constellation p257677</t>
  </si>
  <si>
    <t>07/11-06/12</t>
  </si>
  <si>
    <t>Washington General Rate Case - Rebuttal June 2012</t>
  </si>
  <si>
    <t>Summary of Net Power Cost Adjustments</t>
  </si>
  <si>
    <t>Subtotal of All Rebuttal Adjustments</t>
  </si>
  <si>
    <t xml:space="preserve">   Operating Revenues:</t>
  </si>
  <si>
    <t>General Business Revenues</t>
  </si>
  <si>
    <t>Interdepartmental</t>
  </si>
  <si>
    <t>Special Sales</t>
  </si>
  <si>
    <t>Other Operating Revenues</t>
  </si>
  <si>
    <t xml:space="preserve">   Total Operating Revenues</t>
  </si>
  <si>
    <t xml:space="preserve">   Operating Expenses:</t>
  </si>
  <si>
    <t>Steam Production</t>
  </si>
  <si>
    <t>Nuclear Production</t>
  </si>
  <si>
    <t>Hydro Production</t>
  </si>
  <si>
    <t>Other Power Supply</t>
  </si>
  <si>
    <t>Transmission</t>
  </si>
  <si>
    <t>Distribution</t>
  </si>
  <si>
    <t>Customer Accounting</t>
  </si>
  <si>
    <t>Customer Service &amp; Info</t>
  </si>
  <si>
    <t>Sales</t>
  </si>
  <si>
    <t>Administrative &amp; General</t>
  </si>
  <si>
    <t xml:space="preserve">   Total O&amp;M Expenses</t>
  </si>
  <si>
    <t>Depreciation</t>
  </si>
  <si>
    <t xml:space="preserve">Amortization </t>
  </si>
  <si>
    <t>Taxes Other Than Income</t>
  </si>
  <si>
    <t>Income Taxes - Federal</t>
  </si>
  <si>
    <t>Income Taxes - State</t>
  </si>
  <si>
    <t>Income Taxes - Def Net</t>
  </si>
  <si>
    <t>Investment Tax Credit Adj.</t>
  </si>
  <si>
    <t>Misc Revenue &amp; Expense</t>
  </si>
  <si>
    <t xml:space="preserve">   Total Operating Expenses:</t>
  </si>
  <si>
    <t xml:space="preserve">   Operating Rev For Return:</t>
  </si>
  <si>
    <t xml:space="preserve">   Rate Base:</t>
  </si>
  <si>
    <t>Electric Plant In Service</t>
  </si>
  <si>
    <t>Plant Held for Future Use</t>
  </si>
  <si>
    <t>Misc Deferred Debits</t>
  </si>
  <si>
    <t>Elec Plant Acq Adj</t>
  </si>
  <si>
    <t>Nuclear Fuel</t>
  </si>
  <si>
    <t>Prepayments</t>
  </si>
  <si>
    <t>Fuel Stock</t>
  </si>
  <si>
    <t>Material &amp; Supplies</t>
  </si>
  <si>
    <t>Working Capital</t>
  </si>
  <si>
    <t>Weatherization</t>
  </si>
  <si>
    <t xml:space="preserve">Misc Rate Base </t>
  </si>
  <si>
    <t xml:space="preserve">   Total Electric Plant:</t>
  </si>
  <si>
    <t>Rate Base Deductions:</t>
  </si>
  <si>
    <t>Accum Prov For Deprec</t>
  </si>
  <si>
    <t>Accum Prov For Amort</t>
  </si>
  <si>
    <t>Accum Def Income Tax</t>
  </si>
  <si>
    <t>Unamortized ITC</t>
  </si>
  <si>
    <t>Customer Adv For Const</t>
  </si>
  <si>
    <t>Customer Service Deposits</t>
  </si>
  <si>
    <t>Misc Rate Base Deductions</t>
  </si>
  <si>
    <t xml:space="preserve">     Total Rate Base Deductions</t>
  </si>
  <si>
    <t xml:space="preserve">   Total Rate Base:</t>
  </si>
  <si>
    <t>Estimated Return on Equity Impact</t>
  </si>
  <si>
    <t>Estimated Price Change</t>
  </si>
  <si>
    <t>TAX CALCULATION:</t>
  </si>
  <si>
    <t>Operating Revenue (Cost)</t>
  </si>
  <si>
    <t>Other Deductions</t>
  </si>
  <si>
    <t>Interest (AFUDC)</t>
  </si>
  <si>
    <t>Interest</t>
  </si>
  <si>
    <t>Schedule "M" Additions</t>
  </si>
  <si>
    <t>Schedule "M" Deductions</t>
  </si>
  <si>
    <t>Income Before Tax</t>
  </si>
  <si>
    <t>State Income Taxes</t>
  </si>
  <si>
    <t>Taxable Income</t>
  </si>
  <si>
    <t>Federal Income Taxes Before Credits</t>
  </si>
  <si>
    <t>Energy Tax Credits</t>
  </si>
  <si>
    <t>Federal Income Taxes</t>
  </si>
  <si>
    <t>Washington General Rate Case - June 2012</t>
  </si>
  <si>
    <t>Pro Forma Adjustments</t>
  </si>
  <si>
    <t>Hydro Median Correction</t>
  </si>
  <si>
    <t>Coal Heat Rate Correction</t>
  </si>
  <si>
    <t>BPA Exchange Correction</t>
  </si>
  <si>
    <t>Chehalis Lateral Update</t>
  </si>
  <si>
    <t>Stateline Losses Update</t>
  </si>
  <si>
    <t>PGE Cove Update</t>
  </si>
  <si>
    <t>Butter Creek Wind QF Termination</t>
  </si>
  <si>
    <t>Small QF Update</t>
  </si>
  <si>
    <t>BPA PTP Update</t>
  </si>
  <si>
    <t>ID Trans Rate Update</t>
  </si>
  <si>
    <t>OFPC Update</t>
  </si>
  <si>
    <t>BPA Final RoD Update</t>
  </si>
  <si>
    <t>Coal Cost Update</t>
  </si>
  <si>
    <t>Wind Reserve Correction</t>
  </si>
  <si>
    <t>Total Rebuttal Changes</t>
  </si>
  <si>
    <t>PAGE</t>
  </si>
  <si>
    <t>Net Power Costs - Restating</t>
  </si>
  <si>
    <t>TOTAL</t>
  </si>
  <si>
    <t>ACCOUNT</t>
  </si>
  <si>
    <t>TYPE</t>
  </si>
  <si>
    <t>COMPANY</t>
  </si>
  <si>
    <t>FACTOR</t>
  </si>
  <si>
    <t>ALLOCATED</t>
  </si>
  <si>
    <t>REF #</t>
  </si>
  <si>
    <t>Normalizing Adjustment:</t>
  </si>
  <si>
    <t>Total Net Power Cost Adjustment - Restating</t>
  </si>
  <si>
    <t>Description of Adjustment</t>
  </si>
  <si>
    <t>Total Net Power Cost Adjustment - Pro Forma</t>
  </si>
  <si>
    <t>RES</t>
  </si>
  <si>
    <t>PRO</t>
  </si>
  <si>
    <t>(8) - (4)</t>
  </si>
  <si>
    <t>(12) - (6)</t>
  </si>
  <si>
    <t>Net Power Costs - Pro Forma</t>
  </si>
  <si>
    <t>9.1</t>
  </si>
  <si>
    <t>9.8</t>
  </si>
  <si>
    <t>9.9</t>
  </si>
  <si>
    <t>9.10</t>
  </si>
  <si>
    <t>9.11</t>
  </si>
  <si>
    <t>9.12</t>
  </si>
  <si>
    <t>9.13</t>
  </si>
  <si>
    <t>9.14</t>
  </si>
  <si>
    <t>9.15</t>
  </si>
  <si>
    <t>9.16</t>
  </si>
  <si>
    <t>9.17</t>
  </si>
  <si>
    <t>9.18</t>
  </si>
  <si>
    <t>9.19</t>
  </si>
  <si>
    <t>Net Power Costs - West Control Area</t>
  </si>
  <si>
    <t>Ref. 9.9</t>
  </si>
  <si>
    <t>Ref. 9.10</t>
  </si>
  <si>
    <t>Ref. 9.11</t>
  </si>
  <si>
    <t>Ref. 9.12</t>
  </si>
  <si>
    <t>Ref. 9.13</t>
  </si>
  <si>
    <t>Ref. 9.14</t>
  </si>
  <si>
    <t>Ref. 9.15</t>
  </si>
  <si>
    <t>Ref. 9.16</t>
  </si>
  <si>
    <t>Ref. 9.17</t>
  </si>
  <si>
    <t>Ref. 9.18</t>
  </si>
  <si>
    <t>Ref. 9.19</t>
  </si>
  <si>
    <t>Net Power Costs - Wind Reserve</t>
  </si>
  <si>
    <t>Net Power Costs - Hydro Median</t>
  </si>
  <si>
    <t>Net Power Costs - Coal Heat Rate</t>
  </si>
  <si>
    <t>Net Power Costs - BPA Exchange</t>
  </si>
  <si>
    <t>Net Power Costs - Chehalis Lateral</t>
  </si>
  <si>
    <t>Net Power Costs - PGE Cove</t>
  </si>
  <si>
    <t>Net Power Costs - Stateline Losses</t>
  </si>
  <si>
    <t>Net Power Costs - Butter Creek</t>
  </si>
  <si>
    <t>Net Power Costs - Small QF</t>
  </si>
  <si>
    <t>Net Power Costs - BPA Point-to-Point</t>
  </si>
  <si>
    <t>Net Power Costs - Idaho Wheeling Rates</t>
  </si>
  <si>
    <t>Net Power Costs - Douglas PUD</t>
  </si>
  <si>
    <t>Net Power Costs - Official Forward Price Curve</t>
  </si>
  <si>
    <t>Net Power Costs - BPA Record of Decision</t>
  </si>
  <si>
    <t>Net Power Costs - Coal Costs</t>
  </si>
  <si>
    <t>Net Power Costs - Interrelated Changes</t>
  </si>
  <si>
    <t>Interrelated Changes</t>
  </si>
  <si>
    <t>9.1.1</t>
  </si>
  <si>
    <t>9.1.2</t>
  </si>
  <si>
    <t>9.1.3</t>
  </si>
  <si>
    <t>9.1.4</t>
  </si>
  <si>
    <t>9.1.5</t>
  </si>
  <si>
    <t>9.1.6</t>
  </si>
  <si>
    <t>9.1.7</t>
  </si>
  <si>
    <t>9.1.8</t>
  </si>
  <si>
    <t>9.1.9</t>
  </si>
  <si>
    <t>9.1.10</t>
  </si>
  <si>
    <t>Rebuttal Updates and Corrections</t>
  </si>
  <si>
    <t>Washington General Rate Case</t>
  </si>
  <si>
    <t>Ref 9.3</t>
  </si>
  <si>
    <t xml:space="preserve">As discussed in Exhibit No.__(GND-7CT) page 8, the Company's direct filing inadvertently relied on a previous version of normalized hydro flows used to calculate forecasted generation from the Lewis, Klamath, and North Umpqua river systems rather than updating to normalized flows calculated in 2012.  In addition, the calculation of Klamath generation and forced outage rate for the Copco plant were incorrect. </t>
  </si>
  <si>
    <t xml:space="preserve">As discussed in Exhibit No.__(GND-7CT) page 9, the Company's direct filing inadvertently excluded some months from the calculation of the 48-month average heat rate for its coal-fired generating units.  This error was corrected in the Company's rebuttal NPC. </t>
  </si>
  <si>
    <t xml:space="preserve">As discussed in Exhibit No.__(GND-7CT) page 9, the Company's direct filing inadvertently failed to include the Summer Storage and Spring Energy Option provisions of the AC Intertie agreement with BPA.  This error was corrected in the Company's rebuttal NPC. </t>
  </si>
  <si>
    <t xml:space="preserve">As discussed in Exhibit No.__(GND-7CT) page 5, the Company updated the Portland General Electric Company Cove contract expenses to the latest projection provided by PGE. </t>
  </si>
  <si>
    <t xml:space="preserve">As discussed in Exhibit No.__(GND-7CT), page 5, the Company updated the Chehalis pipeline contract expenses, per the Northwest Pipeline cost-of-service calculation of the new monthly payment taking effect April 2013. </t>
  </si>
  <si>
    <t>As discussed in Exhibit No.__(GND-7CT) page 6, the Company updated NPC for new Idaho Power wheeling rates to be effective October 1, 2013.</t>
  </si>
  <si>
    <t>As discussed in Exhibit No.__(GND-7CT) page 6, the Company updated Mid-Columbia hydro costs for the Douglas PUD pro forma expenses for the fiscal year starting September 1, 2013.</t>
  </si>
  <si>
    <t xml:space="preserve">As discussed in Exhibit No.__(GND-7CT) page 5, the Company updated market prices to the Company's June 28, 2013 Official Forward Price Curve. </t>
  </si>
  <si>
    <t>As discussed in Exhibit No.__(GND-7CT) page 6, the Company updated coal costs to reflect changes in contractual costs and fuel volume for the calendar year 2014.</t>
  </si>
  <si>
    <t xml:space="preserve">As discussed in Exhibit No.__(GND-7CT) pages 10 through 11, the Company based wind generation in the test period on the P50 forecast used in prior periods rather than the 48 month average reflected in the Company's direct filing. </t>
  </si>
  <si>
    <t>P50 Wind Generation</t>
  </si>
  <si>
    <t>Ref. 9.20</t>
  </si>
  <si>
    <t>9.1.11</t>
  </si>
  <si>
    <t>Washington Allocated ($)</t>
  </si>
  <si>
    <t xml:space="preserve">As referenced in Exhibit No.__(GND-9), the impacts of the Company's adjustments to pro forma NPC (as detailed on tabs 9.4 through 9.19) were measured independently.  To accurately calculate the cumulative impact between these adjustments, the interrelated impacts of them must be taken into account.  This adjustment captures the interrelated impacts of the updates and corrections made by the Company in calculating pro forma rebuttal NPC. </t>
  </si>
  <si>
    <t>9.20</t>
  </si>
  <si>
    <t>9.21</t>
  </si>
  <si>
    <t xml:space="preserve">
REBUTTAL -  Pro Forma NPC</t>
  </si>
  <si>
    <t>PRO FORMA NPC - No WCA Mods</t>
  </si>
  <si>
    <t>Inclusion of OR and CA QF's</t>
  </si>
  <si>
    <t>East Control Area Sale</t>
  </si>
  <si>
    <t>DIRECT - PRO FORMA NPC</t>
  </si>
  <si>
    <t>Pro Forma NPC - No WCA Modifications</t>
  </si>
  <si>
    <t>Direct, Pro Forma NPC - with WCA Modifications</t>
  </si>
  <si>
    <t>WCA Modifications</t>
  </si>
  <si>
    <t>Net Power Costs - OR and CA QF's</t>
  </si>
  <si>
    <t>Net Power Costs - East Control Area Sale</t>
  </si>
  <si>
    <t>9.22</t>
  </si>
  <si>
    <t>9.23</t>
  </si>
  <si>
    <t>9.24</t>
  </si>
  <si>
    <t>9.25</t>
  </si>
  <si>
    <t>Ref. 9.2</t>
  </si>
  <si>
    <t>Net Power Costs - Pro Forma, No WCA Modifications</t>
  </si>
  <si>
    <t>Net Power Costs - Per Books NPC</t>
  </si>
  <si>
    <t>PER BOOKS NPC</t>
  </si>
  <si>
    <t>This leadsheet represents the Company's per books WCA net power costs.</t>
  </si>
  <si>
    <t>Net Power Costs - Pro Forma, Direct Filing</t>
  </si>
  <si>
    <t xml:space="preserve">As discussed in Exhibit No.__(GND-1CT), pages 5 through 7, the Company is including the costs and benefits associated with all PACW QF contracts in the calculation of NPC. </t>
  </si>
  <si>
    <t xml:space="preserve">As discussed in Exhibit No.__(GND-1CT), pages 8 and 9, the Company is including all of the costs and benefits associated with the full capacity and cost of the 200 MW point-to-point wheeling contract with Idaho Power Company in the calculation of NPC. </t>
  </si>
  <si>
    <t>9.1.12</t>
  </si>
  <si>
    <t>9.26</t>
  </si>
  <si>
    <t>9.1.13</t>
  </si>
  <si>
    <t>Ref. 9.3.2</t>
  </si>
  <si>
    <t>Ref 9.4</t>
  </si>
  <si>
    <t>Ref 9.5</t>
  </si>
  <si>
    <t>Ref 9.6</t>
  </si>
  <si>
    <t>Ref 9.7</t>
  </si>
  <si>
    <t>Ref. 9.8.1</t>
  </si>
  <si>
    <t>Ref. 9.21</t>
  </si>
  <si>
    <t>Ref. 9.22</t>
  </si>
  <si>
    <t>Ref. 9.23</t>
  </si>
  <si>
    <t>Ref. 9.24</t>
  </si>
  <si>
    <t>Ref. 9.25</t>
  </si>
  <si>
    <t>Ref 9.26</t>
  </si>
  <si>
    <t>Ref. 9.26.1</t>
  </si>
  <si>
    <t>Per Books NPC (unchanged in rebuttal)</t>
  </si>
  <si>
    <t xml:space="preserve">Restated NPC (unchanged in rebuttal) </t>
  </si>
  <si>
    <t>Restating Adjustments (unchanged in rebuttal)</t>
  </si>
  <si>
    <t>Idaho Point-to-Point</t>
  </si>
  <si>
    <t>Net Power Costs - Idaho Point-to-Point</t>
  </si>
  <si>
    <t>(unchanged from direct filing)</t>
  </si>
  <si>
    <t>PRO FORMA ADJ - No WCA Mods</t>
  </si>
  <si>
    <t xml:space="preserve">As discussed in Exhibit No.__(GND-1CT), pages 9 through 10, the Company is excluding the assumed sale from PACW to PACE. </t>
  </si>
  <si>
    <t>9.8.1</t>
  </si>
  <si>
    <t xml:space="preserve">As discussed in Exhibit No.__(GND-7CT) page 5, the Company updated the loss factor for the Seattle City Light Stateline Storage and Integration Agreement under the Company's current tariff rates recently approved by FERC. </t>
  </si>
  <si>
    <t>As discussed in Exhibit No.__(GND-7CT) page 5, in updating NPC for rebuttal the Company removed four Qualifying Facility contracts.</t>
  </si>
  <si>
    <t xml:space="preserve">As discussed in Exhibit No.__(GND-7CT) page 5, in updating its rebuttal NPC the Company added two new Qualifying Facility contracts. </t>
  </si>
  <si>
    <t xml:space="preserve">As discussed in Exhibit No.__(GND-7CT) page 6, the Company updated NPC for a new point-to-point wheeling contract with the Bonneville Power Administration. </t>
  </si>
  <si>
    <t xml:space="preserve">As discussed in Exhibit No.__(GND-7CT) page 6, the Company updated NPC for updated the Bonneville Power Administration's (BPA) transmission rates based on BPA's July 24, 2013 Record of Decision. </t>
  </si>
  <si>
    <t>Net Power Costs - P50 Wind</t>
  </si>
  <si>
    <t>DPUD Pro Forma Update</t>
  </si>
  <si>
    <t xml:space="preserve">Restated (normalized) net power costs are calculated in the Company's GRID model reflecting sales for resale, purchase power, wheeling and fuel in a manner consistent with the contractual terms of sales and purchase agreements, and normal hydro and temperature conditions on a West Control Area (WCA) basis. This restating adjustment reflects the difference between normalized power costs for the 12-months ended June 2012 and per books net power costs for the same period.
</t>
  </si>
  <si>
    <t xml:space="preserve">Pro forma net power costs are calculated in the Company's GRID model including sales for resale, purchase power, wheeling and fuel in a manner consistent with the contractual terms of sales and purchase agreements, and normal hydro and temperature conditions on a West Control Area (WCA) basis. This pro forma adjustment reflects normalized power costs for the 12-months ended December 2014.  This adjustment does not include any of the modifications to the WCA proposed by the Company in its direct and rebuttal positions.  </t>
  </si>
  <si>
    <t>Pro forma net power costs are calculated in the Company's GRID model including sales for resale, purchase power, wheeling and fuel in a manner consistent with the contractual terms of sales and purchase agreements, and normal hydro and temperature conditions on a West Control Area (WCA) basis. This pro forma adjustment reflects normalized power costs for the 12-months ended December 2014 with modifications to the WCA.</t>
  </si>
  <si>
    <t xml:space="preserve">As discussed in Exhibit No.__(GND-7CT), pages 8 through 9, the Company updated the reserve amounts required for wind integration based on the corrected 2012 Wind Integration Study. </t>
  </si>
  <si>
    <t xml:space="preserve">Pro forma net power costs are calculated in the Company's GRID model including sales for resale, purchase power, wheeling and fuel in a manner consistent with the contractual terms of sales and purchase agreements, and normal hydro and temperature conditions on a West Control Area (WCA) basis. This pro forma adjustment reflects normalized power costs for the 12-months ended December 2014.  As explained in the rebuttal testimony of Mr. Gregory N. Duvall, the Company has made several adjustments and updates to its NPC study.  These changes are reflected in the Company's revised pro forma NPC adjustment. </t>
  </si>
</sst>
</file>

<file path=xl/styles.xml><?xml version="1.0" encoding="utf-8"?>
<styleSheet xmlns="http://schemas.openxmlformats.org/spreadsheetml/2006/main" xmlns:mc="http://schemas.openxmlformats.org/markup-compatibility/2006" xmlns:x14ac="http://schemas.microsoft.com/office/spreadsheetml/2009/9/ac" mc:Ignorable="x14ac">
  <numFmts count="26">
    <numFmt numFmtId="41" formatCode="_(* #,##0_);_(* \(#,##0\);_(* &quot;-&quot;_);_(@_)"/>
    <numFmt numFmtId="44" formatCode="_(&quot;$&quot;* #,##0.00_);_(&quot;$&quot;* \(#,##0.00\);_(&quot;$&quot;* &quot;-&quot;??_);_(@_)"/>
    <numFmt numFmtId="43" formatCode="_(* #,##0.00_);_(* \(#,##0.00\);_(* &quot;-&quot;??_);_(@_)"/>
    <numFmt numFmtId="164" formatCode="#,##0\ ;[Red]\(#,##0\);0\ "/>
    <numFmt numFmtId="165" formatCode="0\ \ ;@\ \ "/>
    <numFmt numFmtId="166" formatCode="#,##0\ ;[Red]\(#,##0\)"/>
    <numFmt numFmtId="167" formatCode="#,##0.00\ ;[Red]\(#,##0.00\)"/>
    <numFmt numFmtId="168" formatCode="_(* #,##0_);_(* \(#,##0\);_(* &quot;-&quot;??_);_(@_)"/>
    <numFmt numFmtId="169" formatCode="[$-409]mmm\-yy;@"/>
    <numFmt numFmtId="170" formatCode="0.0%"/>
    <numFmt numFmtId="171" formatCode="0.0"/>
    <numFmt numFmtId="172" formatCode="&quot;$&quot;###0;[Red]\(&quot;$&quot;###0\)"/>
    <numFmt numFmtId="173" formatCode="#,##0.000000\ ;[Red]\(#,##0.000000\);0.000000\ "/>
    <numFmt numFmtId="174" formatCode="_(* #,##0.0_);_(* \(#,##0.0\);_(* &quot;-&quot;_);_(@_)"/>
    <numFmt numFmtId="175" formatCode="0.0000%"/>
    <numFmt numFmtId="176" formatCode="_(* #,##0.0_);_(* \(#,##0.0\);_(* &quot;-&quot;??_);_(@_)"/>
    <numFmt numFmtId="177" formatCode="_-* #,##0\ &quot;F&quot;_-;\-* #,##0\ &quot;F&quot;_-;_-* &quot;-&quot;\ &quot;F&quot;_-;_-@_-"/>
    <numFmt numFmtId="178" formatCode="_(* #,##0.00_);[Red]_(* \(#,##0.00\);_(* &quot;-&quot;??_);_(@_)"/>
    <numFmt numFmtId="179" formatCode="&quot;$&quot;#,##0\ ;\(&quot;$&quot;#,##0\)"/>
    <numFmt numFmtId="180" formatCode="#,##0.000;[Red]\-#,##0.000"/>
    <numFmt numFmtId="181" formatCode="_(* #,##0_);[Red]_(* \(#,##0\);_(* &quot;-&quot;_);_(@_)"/>
    <numFmt numFmtId="182" formatCode="General_)"/>
    <numFmt numFmtId="183" formatCode="0_);\(0\)"/>
    <numFmt numFmtId="184" formatCode="0.000%"/>
    <numFmt numFmtId="185" formatCode="&quot;(&quot;#&quot;)&quot;"/>
    <numFmt numFmtId="186" formatCode="&quot;(3) * (&quot;#&quot;)&quot;"/>
  </numFmts>
  <fonts count="40">
    <font>
      <sz val="9"/>
      <name val="Helv"/>
    </font>
    <font>
      <sz val="10"/>
      <name val="Geneva"/>
      <family val="2"/>
    </font>
    <font>
      <b/>
      <sz val="9"/>
      <name val="Helv"/>
    </font>
    <font>
      <sz val="9"/>
      <name val="Helv"/>
    </font>
    <font>
      <b/>
      <i/>
      <sz val="9"/>
      <name val="Helv"/>
    </font>
    <font>
      <i/>
      <sz val="9"/>
      <name val="Helv"/>
    </font>
    <font>
      <u/>
      <sz val="9"/>
      <name val="Helv"/>
    </font>
    <font>
      <b/>
      <sz val="9"/>
      <color indexed="10"/>
      <name val="Helv"/>
    </font>
    <font>
      <b/>
      <sz val="12"/>
      <name val="Arial"/>
      <family val="2"/>
    </font>
    <font>
      <b/>
      <sz val="10"/>
      <name val="Arial"/>
      <family val="2"/>
    </font>
    <font>
      <sz val="8"/>
      <name val="Helv"/>
    </font>
    <font>
      <b/>
      <sz val="8"/>
      <name val="Arial"/>
      <family val="2"/>
    </font>
    <font>
      <b/>
      <sz val="8"/>
      <name val="Helv"/>
    </font>
    <font>
      <b/>
      <i/>
      <sz val="8"/>
      <color indexed="18"/>
      <name val="Helv"/>
    </font>
    <font>
      <sz val="8"/>
      <name val="Arial"/>
      <family val="2"/>
    </font>
    <font>
      <sz val="8"/>
      <name val="Arial"/>
      <family val="2"/>
    </font>
    <font>
      <sz val="8"/>
      <color indexed="12"/>
      <name val="Arial"/>
      <family val="2"/>
    </font>
    <font>
      <sz val="10"/>
      <name val="Arial"/>
      <family val="2"/>
    </font>
    <font>
      <sz val="12"/>
      <name val="Times New Roman"/>
      <family val="1"/>
    </font>
    <font>
      <sz val="10"/>
      <color indexed="24"/>
      <name val="Courier New"/>
      <family val="3"/>
    </font>
    <font>
      <sz val="7"/>
      <name val="Arial"/>
      <family val="2"/>
    </font>
    <font>
      <b/>
      <sz val="16"/>
      <name val="Times New Roman"/>
      <family val="1"/>
    </font>
    <font>
      <sz val="11"/>
      <color indexed="8"/>
      <name val="TimesNewRomanPS"/>
    </font>
    <font>
      <b/>
      <sz val="10"/>
      <color indexed="8"/>
      <name val="Arial"/>
      <family val="2"/>
    </font>
    <font>
      <b/>
      <sz val="10"/>
      <color indexed="39"/>
      <name val="Arial"/>
      <family val="2"/>
    </font>
    <font>
      <sz val="10"/>
      <color indexed="8"/>
      <name val="Arial"/>
      <family val="2"/>
    </font>
    <font>
      <b/>
      <sz val="12"/>
      <color indexed="8"/>
      <name val="Arial"/>
      <family val="2"/>
    </font>
    <font>
      <sz val="8"/>
      <color indexed="18"/>
      <name val="Arial"/>
      <family val="2"/>
    </font>
    <font>
      <b/>
      <sz val="8"/>
      <color indexed="8"/>
      <name val="Arial"/>
      <family val="2"/>
    </font>
    <font>
      <sz val="10"/>
      <color indexed="39"/>
      <name val="Arial"/>
      <family val="2"/>
    </font>
    <font>
      <b/>
      <sz val="14"/>
      <name val="Arial"/>
      <family val="2"/>
    </font>
    <font>
      <sz val="10"/>
      <color indexed="10"/>
      <name val="Arial"/>
      <family val="2"/>
    </font>
    <font>
      <b/>
      <sz val="10"/>
      <color indexed="63"/>
      <name val="Arial"/>
      <family val="2"/>
    </font>
    <font>
      <sz val="10"/>
      <name val="LinePrinter"/>
    </font>
    <font>
      <b/>
      <sz val="10"/>
      <color rgb="FFFF0000"/>
      <name val="Arial"/>
      <family val="2"/>
    </font>
    <font>
      <sz val="10"/>
      <color rgb="FFFF0000"/>
      <name val="Arial"/>
      <family val="2"/>
    </font>
    <font>
      <u val="singleAccounting"/>
      <sz val="10"/>
      <name val="Arial"/>
      <family val="2"/>
    </font>
    <font>
      <b/>
      <sz val="9"/>
      <name val="Arial"/>
      <family val="2"/>
    </font>
    <font>
      <sz val="9"/>
      <name val="Arial"/>
      <family val="2"/>
    </font>
    <font>
      <b/>
      <sz val="8"/>
      <color rgb="FFFF0000"/>
      <name val="Arial"/>
      <family val="2"/>
    </font>
  </fonts>
  <fills count="29">
    <fill>
      <patternFill patternType="none"/>
    </fill>
    <fill>
      <patternFill patternType="gray125"/>
    </fill>
    <fill>
      <patternFill patternType="solid">
        <fgColor indexed="55"/>
        <bgColor indexed="64"/>
      </patternFill>
    </fill>
    <fill>
      <patternFill patternType="solid">
        <fgColor indexed="43"/>
        <bgColor indexed="64"/>
      </patternFill>
    </fill>
    <fill>
      <patternFill patternType="solid">
        <fgColor indexed="14"/>
        <bgColor indexed="64"/>
      </patternFill>
    </fill>
    <fill>
      <patternFill patternType="solid">
        <fgColor indexed="22"/>
        <bgColor indexed="64"/>
      </patternFill>
    </fill>
    <fill>
      <patternFill patternType="solid">
        <fgColor indexed="13"/>
        <bgColor indexed="64"/>
      </patternFill>
    </fill>
    <fill>
      <patternFill patternType="solid">
        <fgColor indexed="26"/>
        <bgColor indexed="64"/>
      </patternFill>
    </fill>
    <fill>
      <patternFill patternType="solid">
        <fgColor indexed="43"/>
      </patternFill>
    </fill>
    <fill>
      <patternFill patternType="solid">
        <fgColor indexed="40"/>
        <bgColor indexed="64"/>
      </patternFill>
    </fill>
    <fill>
      <patternFill patternType="solid">
        <fgColor indexed="45"/>
      </patternFill>
    </fill>
    <fill>
      <patternFill patternType="solid">
        <fgColor indexed="29"/>
      </patternFill>
    </fill>
    <fill>
      <patternFill patternType="solid">
        <fgColor indexed="10"/>
      </patternFill>
    </fill>
    <fill>
      <patternFill patternType="solid">
        <fgColor indexed="51"/>
      </patternFill>
    </fill>
    <fill>
      <patternFill patternType="solid">
        <fgColor indexed="52"/>
      </patternFill>
    </fill>
    <fill>
      <patternFill patternType="solid">
        <fgColor indexed="53"/>
      </patternFill>
    </fill>
    <fill>
      <patternFill patternType="solid">
        <fgColor indexed="57"/>
      </patternFill>
    </fill>
    <fill>
      <patternFill patternType="solid">
        <fgColor indexed="50"/>
      </patternFill>
    </fill>
    <fill>
      <patternFill patternType="solid">
        <fgColor indexed="11"/>
      </patternFill>
    </fill>
    <fill>
      <patternFill patternType="lightUp">
        <fgColor indexed="48"/>
        <bgColor indexed="41"/>
      </patternFill>
    </fill>
    <fill>
      <patternFill patternType="solid">
        <fgColor indexed="41"/>
      </patternFill>
    </fill>
    <fill>
      <patternFill patternType="solid">
        <fgColor indexed="54"/>
        <bgColor indexed="64"/>
      </patternFill>
    </fill>
    <fill>
      <patternFill patternType="solid">
        <fgColor indexed="40"/>
      </patternFill>
    </fill>
    <fill>
      <patternFill patternType="solid">
        <fgColor indexed="9"/>
        <bgColor indexed="41"/>
      </patternFill>
    </fill>
    <fill>
      <patternFill patternType="solid">
        <fgColor indexed="9"/>
        <bgColor indexed="40"/>
      </patternFill>
    </fill>
    <fill>
      <patternFill patternType="solid">
        <fgColor indexed="44"/>
        <bgColor indexed="64"/>
      </patternFill>
    </fill>
    <fill>
      <patternFill patternType="solid">
        <fgColor indexed="41"/>
        <bgColor indexed="64"/>
      </patternFill>
    </fill>
    <fill>
      <patternFill patternType="solid">
        <fgColor indexed="9"/>
        <bgColor indexed="15"/>
      </patternFill>
    </fill>
    <fill>
      <patternFill patternType="solid">
        <fgColor indexed="62"/>
        <bgColor indexed="64"/>
      </patternFill>
    </fill>
  </fills>
  <borders count="39">
    <border>
      <left/>
      <right/>
      <top/>
      <bottom/>
      <diagonal/>
    </border>
    <border>
      <left/>
      <right/>
      <top/>
      <bottom style="hair">
        <color indexed="64"/>
      </bottom>
      <diagonal/>
    </border>
    <border>
      <left/>
      <right/>
      <top/>
      <bottom style="medium">
        <color indexed="64"/>
      </bottom>
      <diagonal/>
    </border>
    <border>
      <left style="double">
        <color indexed="64"/>
      </left>
      <right style="double">
        <color indexed="64"/>
      </right>
      <top style="double">
        <color indexed="64"/>
      </top>
      <bottom style="double">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right/>
      <top/>
      <bottom style="thin">
        <color indexed="64"/>
      </bottom>
      <diagonal/>
    </border>
    <border>
      <left style="medium">
        <color auto="1"/>
      </left>
      <right/>
      <top/>
      <bottom style="thin">
        <color indexed="64"/>
      </bottom>
      <diagonal/>
    </border>
    <border>
      <left/>
      <right style="medium">
        <color auto="1"/>
      </right>
      <top/>
      <bottom style="thin">
        <color indexed="64"/>
      </bottom>
      <diagonal/>
    </border>
    <border>
      <left style="medium">
        <color auto="1"/>
      </left>
      <right/>
      <top style="thin">
        <color indexed="64"/>
      </top>
      <bottom style="thin">
        <color indexed="64"/>
      </bottom>
      <diagonal/>
    </border>
    <border>
      <left/>
      <right style="medium">
        <color auto="1"/>
      </right>
      <top style="thin">
        <color indexed="64"/>
      </top>
      <bottom style="thin">
        <color indexed="64"/>
      </bottom>
      <diagonal/>
    </border>
    <border>
      <left style="medium">
        <color auto="1"/>
      </left>
      <right/>
      <top style="thin">
        <color indexed="64"/>
      </top>
      <bottom style="double">
        <color indexed="64"/>
      </bottom>
      <diagonal/>
    </border>
    <border>
      <left/>
      <right style="medium">
        <color auto="1"/>
      </right>
      <top style="thin">
        <color indexed="64"/>
      </top>
      <bottom style="double">
        <color indexed="64"/>
      </bottom>
      <diagonal/>
    </border>
    <border>
      <left style="medium">
        <color auto="1"/>
      </left>
      <right/>
      <top style="double">
        <color indexed="64"/>
      </top>
      <bottom/>
      <diagonal/>
    </border>
    <border>
      <left/>
      <right style="medium">
        <color auto="1"/>
      </right>
      <top style="double">
        <color indexed="64"/>
      </top>
      <bottom/>
      <diagonal/>
    </border>
    <border>
      <left style="medium">
        <color auto="1"/>
      </left>
      <right/>
      <top/>
      <bottom style="medium">
        <color auto="1"/>
      </bottom>
      <diagonal/>
    </border>
    <border>
      <left/>
      <right style="medium">
        <color auto="1"/>
      </right>
      <top/>
      <bottom style="medium">
        <color auto="1"/>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right/>
      <top style="thin">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medium">
        <color indexed="64"/>
      </top>
      <bottom/>
      <diagonal/>
    </border>
    <border>
      <left style="dotted">
        <color indexed="64"/>
      </left>
      <right style="thin">
        <color indexed="64"/>
      </right>
      <top style="thin">
        <color indexed="64"/>
      </top>
      <bottom style="thin">
        <color indexed="64"/>
      </bottom>
      <diagonal/>
    </border>
    <border>
      <left style="dotted">
        <color indexed="64"/>
      </left>
      <right style="thin">
        <color indexed="64"/>
      </right>
      <top/>
      <bottom/>
      <diagonal/>
    </border>
    <border>
      <left style="dotted">
        <color indexed="64"/>
      </left>
      <right style="thin">
        <color indexed="64"/>
      </right>
      <top/>
      <bottom style="thin">
        <color indexed="64"/>
      </bottom>
      <diagonal/>
    </border>
    <border>
      <left/>
      <right style="thin">
        <color indexed="64"/>
      </right>
      <top/>
      <bottom/>
      <diagonal/>
    </border>
    <border>
      <left/>
      <right style="thin">
        <color indexed="64"/>
      </right>
      <top/>
      <bottom style="thin">
        <color indexed="64"/>
      </bottom>
      <diagonal/>
    </border>
  </borders>
  <cellStyleXfs count="94">
    <xf numFmtId="41" fontId="0" fillId="0" borderId="0"/>
    <xf numFmtId="4" fontId="1" fillId="0" borderId="0" applyFont="0" applyFill="0" applyBorder="0" applyAlignment="0" applyProtection="0"/>
    <xf numFmtId="172" fontId="10" fillId="0" borderId="0" applyFont="0" applyFill="0" applyBorder="0" applyProtection="0">
      <alignment horizontal="right"/>
    </xf>
    <xf numFmtId="0" fontId="13" fillId="0" borderId="0" applyNumberFormat="0" applyFill="0" applyBorder="0" applyAlignment="0">
      <protection locked="0"/>
    </xf>
    <xf numFmtId="171" fontId="11" fillId="0" borderId="0" applyNumberFormat="0" applyFill="0" applyBorder="0" applyAlignment="0" applyProtection="0"/>
    <xf numFmtId="0" fontId="14" fillId="0" borderId="1" applyNumberFormat="0" applyBorder="0" applyAlignment="0"/>
    <xf numFmtId="12" fontId="8" fillId="2" borderId="2">
      <alignment horizontal="left"/>
    </xf>
    <xf numFmtId="9" fontId="1" fillId="0" borderId="0" applyFont="0" applyFill="0" applyBorder="0" applyAlignment="0" applyProtection="0"/>
    <xf numFmtId="37" fontId="14" fillId="3" borderId="0" applyNumberFormat="0" applyBorder="0" applyAlignment="0" applyProtection="0"/>
    <xf numFmtId="37" fontId="15" fillId="0" borderId="0"/>
    <xf numFmtId="3" fontId="16" fillId="4" borderId="3" applyProtection="0"/>
    <xf numFmtId="41" fontId="17" fillId="0" borderId="0"/>
    <xf numFmtId="0" fontId="18" fillId="0" borderId="0"/>
    <xf numFmtId="9" fontId="17" fillId="0" borderId="0" applyFont="0" applyFill="0" applyBorder="0" applyAlignment="0" applyProtection="0"/>
    <xf numFmtId="43" fontId="17" fillId="0" borderId="0" applyFont="0" applyFill="0" applyBorder="0" applyAlignment="0" applyProtection="0"/>
    <xf numFmtId="177" fontId="17" fillId="0" borderId="0"/>
    <xf numFmtId="177" fontId="17" fillId="0" borderId="0"/>
    <xf numFmtId="177" fontId="17" fillId="0" borderId="0"/>
    <xf numFmtId="177" fontId="17" fillId="0" borderId="0"/>
    <xf numFmtId="177" fontId="17" fillId="0" borderId="0"/>
    <xf numFmtId="177" fontId="17" fillId="0" borderId="0"/>
    <xf numFmtId="177" fontId="17" fillId="0" borderId="0"/>
    <xf numFmtId="177" fontId="17" fillId="0" borderId="0"/>
    <xf numFmtId="178" fontId="17" fillId="0" borderId="0" applyFont="0" applyFill="0" applyBorder="0" applyAlignment="0" applyProtection="0"/>
    <xf numFmtId="4" fontId="1" fillId="0" borderId="0" applyFont="0" applyFill="0" applyBorder="0" applyAlignment="0" applyProtection="0"/>
    <xf numFmtId="4" fontId="1" fillId="0" borderId="0" applyFont="0" applyFill="0" applyBorder="0" applyAlignment="0" applyProtection="0"/>
    <xf numFmtId="3" fontId="19" fillId="0" borderId="0" applyFont="0" applyFill="0" applyBorder="0" applyAlignment="0" applyProtection="0"/>
    <xf numFmtId="179" fontId="19" fillId="0" borderId="0" applyFont="0" applyFill="0" applyBorder="0" applyAlignment="0" applyProtection="0"/>
    <xf numFmtId="0" fontId="19" fillId="0" borderId="0" applyFont="0" applyFill="0" applyBorder="0" applyAlignment="0" applyProtection="0"/>
    <xf numFmtId="2" fontId="19" fillId="0" borderId="0" applyFont="0" applyFill="0" applyBorder="0" applyAlignment="0" applyProtection="0"/>
    <xf numFmtId="0" fontId="20" fillId="0" borderId="0" applyFont="0" applyFill="0" applyBorder="0" applyAlignment="0" applyProtection="0">
      <alignment horizontal="left"/>
    </xf>
    <xf numFmtId="38" fontId="14" fillId="5" borderId="0" applyNumberFormat="0" applyBorder="0" applyAlignment="0" applyProtection="0"/>
    <xf numFmtId="0" fontId="21" fillId="0" borderId="0"/>
    <xf numFmtId="0" fontId="8" fillId="0" borderId="5" applyNumberFormat="0" applyAlignment="0" applyProtection="0">
      <alignment horizontal="left" vertical="center"/>
    </xf>
    <xf numFmtId="0" fontId="8" fillId="0" borderId="22">
      <alignment horizontal="left" vertical="center"/>
    </xf>
    <xf numFmtId="10" fontId="14" fillId="7" borderId="23" applyNumberFormat="0" applyBorder="0" applyAlignment="0" applyProtection="0"/>
    <xf numFmtId="37" fontId="22" fillId="0" borderId="0" applyNumberFormat="0" applyFill="0" applyBorder="0"/>
    <xf numFmtId="180" fontId="17" fillId="0" borderId="0"/>
    <xf numFmtId="41" fontId="3" fillId="0" borderId="0"/>
    <xf numFmtId="41" fontId="17" fillId="0" borderId="0"/>
    <xf numFmtId="41" fontId="3" fillId="0" borderId="0"/>
    <xf numFmtId="181" fontId="17" fillId="0" borderId="0"/>
    <xf numFmtId="10" fontId="17" fillId="0" borderId="0" applyFont="0" applyFill="0" applyBorder="0" applyAlignment="0" applyProtection="0"/>
    <xf numFmtId="9" fontId="17"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4" fontId="23" fillId="8" borderId="24" applyNumberFormat="0" applyProtection="0">
      <alignment vertical="center"/>
    </xf>
    <xf numFmtId="4" fontId="24" fillId="3" borderId="24" applyNumberFormat="0" applyProtection="0">
      <alignment vertical="center"/>
    </xf>
    <xf numFmtId="4" fontId="23" fillId="3" borderId="24" applyNumberFormat="0" applyProtection="0">
      <alignment horizontal="left" vertical="center" indent="1"/>
    </xf>
    <xf numFmtId="0" fontId="23" fillId="3" borderId="24" applyNumberFormat="0" applyProtection="0">
      <alignment horizontal="left" vertical="top" indent="1"/>
    </xf>
    <xf numFmtId="4" fontId="23" fillId="9" borderId="24" applyNumberFormat="0" applyProtection="0"/>
    <xf numFmtId="4" fontId="25" fillId="10" borderId="24" applyNumberFormat="0" applyProtection="0">
      <alignment horizontal="right" vertical="center"/>
    </xf>
    <xf numFmtId="4" fontId="25" fillId="11" borderId="24" applyNumberFormat="0" applyProtection="0">
      <alignment horizontal="right" vertical="center"/>
    </xf>
    <xf numFmtId="4" fontId="25" fillId="12" borderId="24" applyNumberFormat="0" applyProtection="0">
      <alignment horizontal="right" vertical="center"/>
    </xf>
    <xf numFmtId="4" fontId="25" fillId="13" borderId="24" applyNumberFormat="0" applyProtection="0">
      <alignment horizontal="right" vertical="center"/>
    </xf>
    <xf numFmtId="4" fontId="25" fillId="14" borderId="24" applyNumberFormat="0" applyProtection="0">
      <alignment horizontal="right" vertical="center"/>
    </xf>
    <xf numFmtId="4" fontId="25" fillId="15" borderId="24" applyNumberFormat="0" applyProtection="0">
      <alignment horizontal="right" vertical="center"/>
    </xf>
    <xf numFmtId="4" fontId="25" fillId="16" borderId="24" applyNumberFormat="0" applyProtection="0">
      <alignment horizontal="right" vertical="center"/>
    </xf>
    <xf numFmtId="4" fontId="25" fillId="17" borderId="24" applyNumberFormat="0" applyProtection="0">
      <alignment horizontal="right" vertical="center"/>
    </xf>
    <xf numFmtId="4" fontId="25" fillId="18" borderId="24" applyNumberFormat="0" applyProtection="0">
      <alignment horizontal="right" vertical="center"/>
    </xf>
    <xf numFmtId="4" fontId="23" fillId="19" borderId="25" applyNumberFormat="0" applyProtection="0">
      <alignment horizontal="left" vertical="center" indent="1"/>
    </xf>
    <xf numFmtId="4" fontId="25" fillId="20" borderId="0" applyNumberFormat="0" applyProtection="0">
      <alignment horizontal="left" indent="1"/>
    </xf>
    <xf numFmtId="4" fontId="26" fillId="21" borderId="0" applyNumberFormat="0" applyProtection="0">
      <alignment horizontal="left" vertical="center" indent="1"/>
    </xf>
    <xf numFmtId="4" fontId="25" fillId="22" borderId="24" applyNumberFormat="0" applyProtection="0">
      <alignment horizontal="right" vertical="center"/>
    </xf>
    <xf numFmtId="4" fontId="27" fillId="23" borderId="0" applyNumberFormat="0" applyProtection="0">
      <alignment horizontal="left" indent="1"/>
    </xf>
    <xf numFmtId="4" fontId="28" fillId="24" borderId="0" applyNumberFormat="0" applyProtection="0"/>
    <xf numFmtId="0" fontId="17" fillId="21" borderId="24" applyNumberFormat="0" applyProtection="0">
      <alignment horizontal="left" vertical="center" indent="1"/>
    </xf>
    <xf numFmtId="0" fontId="17" fillId="21" borderId="24" applyNumberFormat="0" applyProtection="0">
      <alignment horizontal="left" vertical="top" indent="1"/>
    </xf>
    <xf numFmtId="0" fontId="17" fillId="9" borderId="24" applyNumberFormat="0" applyProtection="0">
      <alignment horizontal="left" vertical="center" indent="1"/>
    </xf>
    <xf numFmtId="0" fontId="17" fillId="9" borderId="24" applyNumberFormat="0" applyProtection="0">
      <alignment horizontal="left" vertical="top" indent="1"/>
    </xf>
    <xf numFmtId="0" fontId="17" fillId="25" borderId="24" applyNumberFormat="0" applyProtection="0">
      <alignment horizontal="left" vertical="center" indent="1"/>
    </xf>
    <xf numFmtId="0" fontId="17" fillId="25" borderId="24" applyNumberFormat="0" applyProtection="0">
      <alignment horizontal="left" vertical="top" indent="1"/>
    </xf>
    <xf numFmtId="0" fontId="17" fillId="26" borderId="24" applyNumberFormat="0" applyProtection="0">
      <alignment horizontal="left" vertical="center" indent="1"/>
    </xf>
    <xf numFmtId="0" fontId="17" fillId="26" borderId="24" applyNumberFormat="0" applyProtection="0">
      <alignment horizontal="left" vertical="top" indent="1"/>
    </xf>
    <xf numFmtId="4" fontId="25" fillId="7" borderId="24" applyNumberFormat="0" applyProtection="0">
      <alignment vertical="center"/>
    </xf>
    <xf numFmtId="4" fontId="29" fillId="7" borderId="24" applyNumberFormat="0" applyProtection="0">
      <alignment vertical="center"/>
    </xf>
    <xf numFmtId="4" fontId="25" fillId="7" borderId="24" applyNumberFormat="0" applyProtection="0">
      <alignment horizontal="left" vertical="center" indent="1"/>
    </xf>
    <xf numFmtId="0" fontId="25" fillId="7" borderId="24" applyNumberFormat="0" applyProtection="0">
      <alignment horizontal="left" vertical="top" indent="1"/>
    </xf>
    <xf numFmtId="4" fontId="25" fillId="0" borderId="24" applyNumberFormat="0" applyProtection="0">
      <alignment horizontal="right" vertical="center"/>
    </xf>
    <xf numFmtId="4" fontId="29" fillId="20" borderId="24" applyNumberFormat="0" applyProtection="0">
      <alignment horizontal="right" vertical="center"/>
    </xf>
    <xf numFmtId="4" fontId="25" fillId="0" borderId="24" applyNumberFormat="0" applyProtection="0">
      <alignment horizontal="left" vertical="center" indent="1"/>
    </xf>
    <xf numFmtId="0" fontId="25" fillId="9" borderId="24" applyNumberFormat="0" applyProtection="0">
      <alignment horizontal="left" vertical="top"/>
    </xf>
    <xf numFmtId="4" fontId="30" fillId="27" borderId="0" applyNumberFormat="0" applyProtection="0">
      <alignment horizontal="left"/>
    </xf>
    <xf numFmtId="4" fontId="31" fillId="20" borderId="24" applyNumberFormat="0" applyProtection="0">
      <alignment horizontal="right" vertical="center"/>
    </xf>
    <xf numFmtId="2" fontId="17" fillId="0" borderId="0" applyFill="0" applyBorder="0" applyProtection="0">
      <alignment horizontal="right"/>
    </xf>
    <xf numFmtId="14" fontId="32" fillId="28" borderId="26" applyProtection="0">
      <alignment horizontal="right"/>
    </xf>
    <xf numFmtId="0" fontId="32" fillId="0" borderId="0" applyNumberFormat="0" applyFill="0" applyBorder="0" applyProtection="0">
      <alignment horizontal="left"/>
    </xf>
    <xf numFmtId="0" fontId="9" fillId="0" borderId="23">
      <alignment horizontal="center" vertical="center" wrapText="1"/>
    </xf>
    <xf numFmtId="182" fontId="33" fillId="0" borderId="0">
      <alignment horizontal="left"/>
    </xf>
    <xf numFmtId="0" fontId="17" fillId="0" borderId="0"/>
    <xf numFmtId="4" fontId="1" fillId="0" borderId="0" applyFont="0" applyFill="0" applyBorder="0" applyAlignment="0" applyProtection="0"/>
    <xf numFmtId="9" fontId="1" fillId="0" borderId="0" applyFont="0" applyFill="0" applyBorder="0" applyAlignment="0" applyProtection="0"/>
    <xf numFmtId="44" fontId="17" fillId="0" borderId="0" applyFont="0" applyFill="0" applyBorder="0" applyAlignment="0" applyProtection="0"/>
    <xf numFmtId="41" fontId="17" fillId="0" borderId="0"/>
  </cellStyleXfs>
  <cellXfs count="368">
    <xf numFmtId="41" fontId="0" fillId="0" borderId="0" xfId="0"/>
    <xf numFmtId="3" fontId="0" fillId="0" borderId="0" xfId="0" applyNumberFormat="1"/>
    <xf numFmtId="3" fontId="3" fillId="0" borderId="0" xfId="0" applyNumberFormat="1" applyFont="1"/>
    <xf numFmtId="41" fontId="3" fillId="0" borderId="0" xfId="0" applyFont="1"/>
    <xf numFmtId="41" fontId="4" fillId="0" borderId="0" xfId="0" applyFont="1"/>
    <xf numFmtId="41" fontId="5" fillId="0" borderId="0" xfId="0" applyFont="1"/>
    <xf numFmtId="164" fontId="3" fillId="0" borderId="0" xfId="0" applyNumberFormat="1" applyFont="1"/>
    <xf numFmtId="166" fontId="0" fillId="0" borderId="0" xfId="0" applyNumberFormat="1"/>
    <xf numFmtId="41" fontId="2" fillId="0" borderId="0" xfId="0" applyFont="1" applyAlignment="1">
      <alignment horizontal="center"/>
    </xf>
    <xf numFmtId="41" fontId="3" fillId="0" borderId="0" xfId="0" applyFont="1" applyAlignment="1">
      <alignment horizontal="center"/>
    </xf>
    <xf numFmtId="41" fontId="0" fillId="0" borderId="0" xfId="0" applyAlignment="1">
      <alignment horizontal="right"/>
    </xf>
    <xf numFmtId="41" fontId="3" fillId="0" borderId="0" xfId="0" applyFont="1" applyAlignment="1">
      <alignment horizontal="right"/>
    </xf>
    <xf numFmtId="164" fontId="3" fillId="0" borderId="0" xfId="0" applyNumberFormat="1" applyFont="1" applyAlignment="1">
      <alignment horizontal="center"/>
    </xf>
    <xf numFmtId="164" fontId="6" fillId="0" borderId="0" xfId="0" applyNumberFormat="1" applyFont="1" applyAlignment="1">
      <alignment horizontal="center"/>
    </xf>
    <xf numFmtId="41" fontId="3" fillId="0" borderId="0" xfId="0" applyFont="1" applyAlignment="1">
      <alignment horizontal="fill"/>
    </xf>
    <xf numFmtId="165" fontId="6" fillId="0" borderId="0" xfId="0" applyNumberFormat="1" applyFont="1" applyAlignment="1">
      <alignment horizontal="right"/>
    </xf>
    <xf numFmtId="166" fontId="3" fillId="0" borderId="0" xfId="0" applyNumberFormat="1" applyFont="1"/>
    <xf numFmtId="4" fontId="3" fillId="0" borderId="0" xfId="0" applyNumberFormat="1" applyFont="1"/>
    <xf numFmtId="38" fontId="3" fillId="0" borderId="0" xfId="0" applyNumberFormat="1" applyFont="1"/>
    <xf numFmtId="38" fontId="3" fillId="0" borderId="0" xfId="0" applyNumberFormat="1" applyFont="1" applyAlignment="1">
      <alignment horizontal="fill"/>
    </xf>
    <xf numFmtId="1" fontId="5" fillId="0" borderId="0" xfId="0" applyNumberFormat="1" applyFont="1"/>
    <xf numFmtId="168" fontId="3" fillId="0" borderId="0" xfId="0" applyNumberFormat="1" applyFont="1"/>
    <xf numFmtId="41" fontId="0" fillId="0" borderId="0" xfId="0" applyFill="1"/>
    <xf numFmtId="38" fontId="0" fillId="0" borderId="0" xfId="0" applyNumberFormat="1"/>
    <xf numFmtId="41" fontId="7" fillId="3" borderId="5" xfId="0" applyFont="1" applyFill="1" applyBorder="1" applyAlignment="1">
      <alignment horizontal="center"/>
    </xf>
    <xf numFmtId="10" fontId="3" fillId="0" borderId="0" xfId="0" applyNumberFormat="1" applyFont="1"/>
    <xf numFmtId="41" fontId="3" fillId="0" borderId="0" xfId="0" applyNumberFormat="1" applyFont="1"/>
    <xf numFmtId="41" fontId="10" fillId="0" borderId="0" xfId="0" applyFont="1"/>
    <xf numFmtId="41" fontId="10" fillId="0" borderId="0" xfId="0" applyFont="1" applyAlignment="1">
      <alignment horizontal="right"/>
    </xf>
    <xf numFmtId="41" fontId="11" fillId="5" borderId="0" xfId="0" applyFont="1" applyFill="1"/>
    <xf numFmtId="170" fontId="3" fillId="0" borderId="0" xfId="7" applyNumberFormat="1" applyFont="1"/>
    <xf numFmtId="41" fontId="3" fillId="0" borderId="0" xfId="0" quotePrefix="1" applyNumberFormat="1" applyFont="1"/>
    <xf numFmtId="3" fontId="3" fillId="0" borderId="0" xfId="1" applyNumberFormat="1" applyFont="1"/>
    <xf numFmtId="41" fontId="0" fillId="0" borderId="0" xfId="0" applyNumberFormat="1"/>
    <xf numFmtId="41" fontId="9" fillId="0" borderId="0" xfId="0" applyFont="1" applyFill="1"/>
    <xf numFmtId="41" fontId="3" fillId="6" borderId="0" xfId="0" applyFont="1" applyFill="1"/>
    <xf numFmtId="166" fontId="2" fillId="3" borderId="6" xfId="0" applyNumberFormat="1" applyFont="1" applyFill="1" applyBorder="1"/>
    <xf numFmtId="166" fontId="2" fillId="3" borderId="4" xfId="0" applyNumberFormat="1" applyFont="1" applyFill="1" applyBorder="1"/>
    <xf numFmtId="41" fontId="3" fillId="0" borderId="0" xfId="0" applyNumberFormat="1" applyFont="1" applyFill="1"/>
    <xf numFmtId="41" fontId="12" fillId="6" borderId="0" xfId="0" applyFont="1" applyFill="1"/>
    <xf numFmtId="41" fontId="3" fillId="0" borderId="0" xfId="0" quotePrefix="1" applyFont="1" applyAlignment="1">
      <alignment horizontal="left"/>
    </xf>
    <xf numFmtId="0" fontId="6" fillId="0" borderId="0" xfId="0" applyNumberFormat="1" applyFont="1" applyAlignment="1">
      <alignment horizontal="right"/>
    </xf>
    <xf numFmtId="10" fontId="3" fillId="0" borderId="0" xfId="7" applyNumberFormat="1" applyFont="1"/>
    <xf numFmtId="41" fontId="6" fillId="0" borderId="0" xfId="0" applyNumberFormat="1" applyFont="1"/>
    <xf numFmtId="167" fontId="3" fillId="0" borderId="0" xfId="0" applyNumberFormat="1" applyFont="1"/>
    <xf numFmtId="173" fontId="3" fillId="0" borderId="0" xfId="0" applyNumberFormat="1" applyFont="1"/>
    <xf numFmtId="41" fontId="3" fillId="0" borderId="0" xfId="0" applyFont="1" applyFill="1"/>
    <xf numFmtId="41" fontId="7" fillId="3" borderId="6" xfId="0" applyFont="1" applyFill="1" applyBorder="1"/>
    <xf numFmtId="14" fontId="2" fillId="6" borderId="0" xfId="0" applyNumberFormat="1" applyFont="1" applyFill="1" applyAlignment="1">
      <alignment horizontal="center"/>
    </xf>
    <xf numFmtId="41" fontId="0" fillId="0" borderId="0" xfId="0" applyFont="1"/>
    <xf numFmtId="14" fontId="3" fillId="0" borderId="0" xfId="0" applyNumberFormat="1" applyFont="1"/>
    <xf numFmtId="41" fontId="0" fillId="0" borderId="0" xfId="0" applyNumberFormat="1" applyFont="1"/>
    <xf numFmtId="41" fontId="9" fillId="0" borderId="0" xfId="11" applyFont="1" applyAlignment="1">
      <alignment horizontal="left"/>
    </xf>
    <xf numFmtId="41" fontId="17" fillId="0" borderId="0" xfId="11" applyAlignment="1">
      <alignment horizontal="center"/>
    </xf>
    <xf numFmtId="41" fontId="17" fillId="0" borderId="0" xfId="11"/>
    <xf numFmtId="41" fontId="17" fillId="0" borderId="0" xfId="11" applyFill="1"/>
    <xf numFmtId="174" fontId="17" fillId="0" borderId="0" xfId="11" applyNumberFormat="1" applyAlignment="1">
      <alignment horizontal="right"/>
    </xf>
    <xf numFmtId="41" fontId="9" fillId="0" borderId="0" xfId="11" applyFont="1"/>
    <xf numFmtId="0" fontId="9" fillId="0" borderId="0" xfId="12" applyFont="1"/>
    <xf numFmtId="41" fontId="9" fillId="0" borderId="0" xfId="11" applyFont="1" applyAlignment="1">
      <alignment horizontal="center"/>
    </xf>
    <xf numFmtId="49" fontId="9" fillId="0" borderId="0" xfId="11" applyNumberFormat="1" applyFont="1" applyAlignment="1">
      <alignment horizontal="center"/>
    </xf>
    <xf numFmtId="49" fontId="9" fillId="0" borderId="0" xfId="11" applyNumberFormat="1" applyFont="1" applyFill="1" applyAlignment="1">
      <alignment horizontal="center"/>
    </xf>
    <xf numFmtId="41" fontId="9" fillId="0" borderId="0" xfId="11" quotePrefix="1" applyFont="1" applyAlignment="1">
      <alignment horizontal="center"/>
    </xf>
    <xf numFmtId="41" fontId="17" fillId="0" borderId="0" xfId="11" applyFont="1" applyAlignment="1">
      <alignment horizontal="center"/>
    </xf>
    <xf numFmtId="41" fontId="9" fillId="0" borderId="7" xfId="11" applyFont="1" applyBorder="1" applyAlignment="1">
      <alignment horizontal="centerContinuous"/>
    </xf>
    <xf numFmtId="41" fontId="9" fillId="0" borderId="8" xfId="11" applyFont="1" applyBorder="1" applyAlignment="1">
      <alignment horizontal="centerContinuous"/>
    </xf>
    <xf numFmtId="41" fontId="9" fillId="0" borderId="7" xfId="11" applyFont="1" applyFill="1" applyBorder="1" applyAlignment="1">
      <alignment horizontal="centerContinuous"/>
    </xf>
    <xf numFmtId="41" fontId="9" fillId="0" borderId="10" xfId="11" applyFont="1" applyBorder="1" applyAlignment="1">
      <alignment horizontal="centerContinuous"/>
    </xf>
    <xf numFmtId="41" fontId="17" fillId="0" borderId="9" xfId="11" applyFont="1" applyBorder="1" applyAlignment="1">
      <alignment horizontal="centerContinuous"/>
    </xf>
    <xf numFmtId="41" fontId="17" fillId="0" borderId="10" xfId="11" applyFont="1" applyBorder="1" applyAlignment="1">
      <alignment horizontal="centerContinuous"/>
    </xf>
    <xf numFmtId="41" fontId="9" fillId="0" borderId="9" xfId="11" applyFont="1" applyBorder="1" applyAlignment="1">
      <alignment horizontal="center"/>
    </xf>
    <xf numFmtId="41" fontId="9" fillId="0" borderId="10" xfId="11" applyFont="1" applyBorder="1" applyAlignment="1">
      <alignment horizontal="center"/>
    </xf>
    <xf numFmtId="41" fontId="9" fillId="0" borderId="9" xfId="11" applyFont="1" applyFill="1" applyBorder="1" applyAlignment="1">
      <alignment horizontal="center"/>
    </xf>
    <xf numFmtId="41" fontId="9" fillId="0" borderId="0" xfId="11" applyFont="1" applyBorder="1" applyAlignment="1">
      <alignment horizontal="center"/>
    </xf>
    <xf numFmtId="41" fontId="9" fillId="0" borderId="11" xfId="11" applyFont="1" applyBorder="1" applyAlignment="1">
      <alignment horizontal="center"/>
    </xf>
    <xf numFmtId="41" fontId="9" fillId="0" borderId="12" xfId="11" applyFont="1" applyBorder="1" applyAlignment="1">
      <alignment horizontal="center"/>
    </xf>
    <xf numFmtId="41" fontId="9" fillId="0" borderId="13" xfId="11" applyFont="1" applyBorder="1" applyAlignment="1">
      <alignment horizontal="center"/>
    </xf>
    <xf numFmtId="41" fontId="9" fillId="0" borderId="11" xfId="11" quotePrefix="1" applyFont="1" applyBorder="1" applyAlignment="1">
      <alignment horizontal="center"/>
    </xf>
    <xf numFmtId="41" fontId="9" fillId="0" borderId="12" xfId="11" applyFont="1" applyFill="1" applyBorder="1" applyAlignment="1">
      <alignment horizontal="center"/>
    </xf>
    <xf numFmtId="41" fontId="17" fillId="0" borderId="9" xfId="11" applyBorder="1" applyAlignment="1">
      <alignment horizontal="center"/>
    </xf>
    <xf numFmtId="41" fontId="17" fillId="0" borderId="10" xfId="11" applyBorder="1" applyAlignment="1">
      <alignment horizontal="center"/>
    </xf>
    <xf numFmtId="41" fontId="17" fillId="0" borderId="0" xfId="11" applyBorder="1" applyAlignment="1">
      <alignment horizontal="center"/>
    </xf>
    <xf numFmtId="41" fontId="17" fillId="0" borderId="10" xfId="11" applyBorder="1"/>
    <xf numFmtId="41" fontId="17" fillId="0" borderId="9" xfId="11" applyFill="1" applyBorder="1" applyAlignment="1">
      <alignment horizontal="center"/>
    </xf>
    <xf numFmtId="175" fontId="17" fillId="0" borderId="0" xfId="13" applyNumberFormat="1" applyAlignment="1">
      <alignment horizontal="center"/>
    </xf>
    <xf numFmtId="175" fontId="17" fillId="0" borderId="9" xfId="11" applyNumberFormat="1" applyBorder="1" applyAlignment="1">
      <alignment horizontal="center"/>
    </xf>
    <xf numFmtId="41" fontId="17" fillId="0" borderId="0" xfId="11" applyAlignment="1">
      <alignment horizontal="left" indent="1"/>
    </xf>
    <xf numFmtId="41" fontId="17" fillId="0" borderId="0" xfId="11" quotePrefix="1" applyAlignment="1">
      <alignment horizontal="center"/>
    </xf>
    <xf numFmtId="41" fontId="17" fillId="0" borderId="9" xfId="11" quotePrefix="1" applyBorder="1" applyAlignment="1">
      <alignment horizontal="center"/>
    </xf>
    <xf numFmtId="168" fontId="17" fillId="0" borderId="10" xfId="11" quotePrefix="1" applyNumberFormat="1" applyBorder="1" applyAlignment="1">
      <alignment horizontal="center"/>
    </xf>
    <xf numFmtId="41" fontId="17" fillId="0" borderId="0" xfId="11" quotePrefix="1" applyBorder="1" applyAlignment="1">
      <alignment horizontal="center"/>
    </xf>
    <xf numFmtId="41" fontId="17" fillId="0" borderId="10" xfId="11" quotePrefix="1" applyBorder="1" applyAlignment="1">
      <alignment horizontal="center"/>
    </xf>
    <xf numFmtId="37" fontId="17" fillId="0" borderId="10" xfId="11" quotePrefix="1" applyNumberFormat="1" applyBorder="1"/>
    <xf numFmtId="37" fontId="17" fillId="0" borderId="0" xfId="11" applyNumberFormat="1" applyAlignment="1">
      <alignment horizontal="center"/>
    </xf>
    <xf numFmtId="41" fontId="17" fillId="0" borderId="9" xfId="11" quotePrefix="1" applyFill="1" applyBorder="1" applyAlignment="1">
      <alignment horizontal="center"/>
    </xf>
    <xf numFmtId="168" fontId="17" fillId="0" borderId="10" xfId="14" quotePrefix="1" applyNumberFormat="1" applyBorder="1" applyAlignment="1">
      <alignment horizontal="center"/>
    </xf>
    <xf numFmtId="37" fontId="17" fillId="0" borderId="0" xfId="11" applyNumberFormat="1"/>
    <xf numFmtId="176" fontId="17" fillId="0" borderId="0" xfId="14" applyNumberFormat="1" applyAlignment="1">
      <alignment horizontal="center"/>
    </xf>
    <xf numFmtId="37" fontId="17" fillId="0" borderId="14" xfId="11" applyNumberFormat="1" applyBorder="1"/>
    <xf numFmtId="37" fontId="17" fillId="0" borderId="15" xfId="11" applyNumberFormat="1" applyBorder="1"/>
    <xf numFmtId="37" fontId="17" fillId="0" borderId="0" xfId="11" applyNumberFormat="1" applyBorder="1"/>
    <xf numFmtId="37" fontId="17" fillId="0" borderId="0" xfId="11" applyNumberFormat="1" applyBorder="1" applyAlignment="1">
      <alignment horizontal="center"/>
    </xf>
    <xf numFmtId="37" fontId="17" fillId="0" borderId="14" xfId="11" applyNumberFormat="1" applyFill="1" applyBorder="1"/>
    <xf numFmtId="37" fontId="17" fillId="0" borderId="10" xfId="11" applyNumberFormat="1" applyBorder="1"/>
    <xf numFmtId="41" fontId="17" fillId="0" borderId="0" xfId="11" applyAlignment="1">
      <alignment horizontal="left"/>
    </xf>
    <xf numFmtId="168" fontId="17" fillId="0" borderId="0" xfId="14" applyNumberFormat="1" applyAlignment="1">
      <alignment horizontal="center"/>
    </xf>
    <xf numFmtId="168" fontId="17" fillId="0" borderId="0" xfId="14" applyNumberFormat="1"/>
    <xf numFmtId="37" fontId="17" fillId="0" borderId="9" xfId="11" applyNumberFormat="1" applyBorder="1"/>
    <xf numFmtId="37" fontId="17" fillId="0" borderId="9" xfId="11" applyNumberFormat="1" applyFill="1" applyBorder="1"/>
    <xf numFmtId="37" fontId="9" fillId="0" borderId="16" xfId="11" applyNumberFormat="1" applyFont="1" applyBorder="1"/>
    <xf numFmtId="37" fontId="9" fillId="0" borderId="17" xfId="11" applyNumberFormat="1" applyFont="1" applyBorder="1"/>
    <xf numFmtId="37" fontId="9" fillId="0" borderId="0" xfId="11" applyNumberFormat="1" applyFont="1" applyBorder="1"/>
    <xf numFmtId="37" fontId="9" fillId="0" borderId="16" xfId="11" applyNumberFormat="1" applyFont="1" applyFill="1" applyBorder="1"/>
    <xf numFmtId="41" fontId="11" fillId="0" borderId="18" xfId="11" applyFont="1" applyBorder="1" applyAlignment="1">
      <alignment horizontal="center"/>
    </xf>
    <xf numFmtId="41" fontId="11" fillId="0" borderId="19" xfId="11" applyFont="1" applyBorder="1" applyAlignment="1">
      <alignment horizontal="center"/>
    </xf>
    <xf numFmtId="41" fontId="11" fillId="0" borderId="0" xfId="11" applyFont="1" applyAlignment="1">
      <alignment horizontal="center"/>
    </xf>
    <xf numFmtId="41" fontId="17" fillId="0" borderId="20" xfId="11" applyBorder="1" applyAlignment="1">
      <alignment horizontal="center"/>
    </xf>
    <xf numFmtId="41" fontId="9" fillId="0" borderId="21" xfId="11" applyFont="1" applyBorder="1" applyAlignment="1">
      <alignment horizontal="center"/>
    </xf>
    <xf numFmtId="41" fontId="17" fillId="0" borderId="21" xfId="11" applyBorder="1" applyAlignment="1">
      <alignment horizontal="center"/>
    </xf>
    <xf numFmtId="37" fontId="17" fillId="0" borderId="21" xfId="11" applyNumberFormat="1" applyBorder="1"/>
    <xf numFmtId="41" fontId="17" fillId="0" borderId="20" xfId="11" applyFill="1" applyBorder="1" applyAlignment="1">
      <alignment horizontal="center"/>
    </xf>
    <xf numFmtId="41" fontId="17" fillId="0" borderId="0" xfId="11" applyAlignment="1">
      <alignment horizontal="right"/>
    </xf>
    <xf numFmtId="41" fontId="17" fillId="0" borderId="0" xfId="11" applyFill="1" applyAlignment="1">
      <alignment horizontal="center"/>
    </xf>
    <xf numFmtId="41" fontId="9" fillId="0" borderId="0" xfId="11" applyFont="1" applyFill="1" applyAlignment="1">
      <alignment horizontal="center"/>
    </xf>
    <xf numFmtId="41" fontId="4" fillId="0" borderId="0" xfId="89" applyNumberFormat="1" applyFont="1" applyFill="1" applyBorder="1"/>
    <xf numFmtId="41" fontId="3" fillId="0" borderId="0" xfId="89" applyNumberFormat="1" applyFont="1" applyFill="1" applyBorder="1"/>
    <xf numFmtId="41" fontId="3" fillId="0" borderId="0" xfId="89" applyNumberFormat="1" applyFont="1" applyFill="1" applyBorder="1" applyAlignment="1">
      <alignment horizontal="center"/>
    </xf>
    <xf numFmtId="41" fontId="2" fillId="0" borderId="0" xfId="89" applyNumberFormat="1" applyFont="1" applyFill="1" applyBorder="1" applyAlignment="1">
      <alignment horizontal="center"/>
    </xf>
    <xf numFmtId="0" fontId="17" fillId="0" borderId="0" xfId="89"/>
    <xf numFmtId="1" fontId="5" fillId="0" borderId="0" xfId="89" applyNumberFormat="1" applyFont="1" applyFill="1" applyBorder="1"/>
    <xf numFmtId="41" fontId="5" fillId="0" borderId="0" xfId="89" applyNumberFormat="1" applyFont="1" applyFill="1" applyBorder="1"/>
    <xf numFmtId="41" fontId="3" fillId="0" borderId="0" xfId="89" applyNumberFormat="1" applyFont="1" applyFill="1" applyBorder="1" applyAlignment="1">
      <alignment horizontal="right"/>
    </xf>
    <xf numFmtId="164" fontId="3" fillId="0" borderId="0" xfId="89" applyNumberFormat="1" applyFont="1" applyFill="1" applyBorder="1" applyAlignment="1">
      <alignment horizontal="center"/>
    </xf>
    <xf numFmtId="0" fontId="6" fillId="0" borderId="0" xfId="89" applyNumberFormat="1" applyFont="1" applyFill="1" applyBorder="1" applyAlignment="1">
      <alignment horizontal="right"/>
    </xf>
    <xf numFmtId="165" fontId="6" fillId="0" borderId="0" xfId="89" applyNumberFormat="1" applyFont="1" applyFill="1" applyBorder="1" applyAlignment="1">
      <alignment horizontal="right"/>
    </xf>
    <xf numFmtId="164" fontId="6" fillId="0" borderId="0" xfId="89" applyNumberFormat="1" applyFont="1" applyFill="1" applyBorder="1" applyAlignment="1">
      <alignment horizontal="center"/>
    </xf>
    <xf numFmtId="164" fontId="3" fillId="0" borderId="0" xfId="89" applyNumberFormat="1" applyFont="1" applyFill="1" applyBorder="1"/>
    <xf numFmtId="166" fontId="3" fillId="0" borderId="0" xfId="89" applyNumberFormat="1" applyFont="1" applyFill="1" applyBorder="1"/>
    <xf numFmtId="3" fontId="3" fillId="0" borderId="0" xfId="89" applyNumberFormat="1" applyFont="1" applyFill="1" applyBorder="1"/>
    <xf numFmtId="41" fontId="3" fillId="0" borderId="0" xfId="89" applyNumberFormat="1" applyFont="1" applyFill="1" applyBorder="1" applyAlignment="1">
      <alignment horizontal="fill"/>
    </xf>
    <xf numFmtId="173" fontId="3" fillId="0" borderId="0" xfId="89" applyNumberFormat="1" applyFont="1" applyFill="1" applyBorder="1"/>
    <xf numFmtId="41" fontId="3" fillId="0" borderId="0" xfId="89" quotePrefix="1" applyNumberFormat="1" applyFont="1" applyFill="1" applyBorder="1"/>
    <xf numFmtId="41" fontId="3" fillId="0" borderId="0" xfId="89" quotePrefix="1" applyNumberFormat="1" applyFont="1" applyFill="1" applyBorder="1" applyAlignment="1">
      <alignment horizontal="left"/>
    </xf>
    <xf numFmtId="41" fontId="10" fillId="0" borderId="0" xfId="89" applyNumberFormat="1" applyFont="1" applyFill="1" applyBorder="1"/>
    <xf numFmtId="4" fontId="3" fillId="0" borderId="0" xfId="89" applyNumberFormat="1" applyFont="1" applyFill="1" applyBorder="1"/>
    <xf numFmtId="38" fontId="3" fillId="0" borderId="0" xfId="89" applyNumberFormat="1" applyFont="1" applyFill="1" applyBorder="1" applyAlignment="1">
      <alignment horizontal="fill"/>
    </xf>
    <xf numFmtId="41" fontId="3" fillId="0" borderId="0" xfId="38" applyFont="1"/>
    <xf numFmtId="41" fontId="10" fillId="0" borderId="0" xfId="38" applyFont="1"/>
    <xf numFmtId="38" fontId="3" fillId="0" borderId="0" xfId="38" applyNumberFormat="1" applyFont="1" applyAlignment="1">
      <alignment horizontal="fill"/>
    </xf>
    <xf numFmtId="41" fontId="3" fillId="0" borderId="0" xfId="38" applyFont="1" applyAlignment="1">
      <alignment horizontal="fill"/>
    </xf>
    <xf numFmtId="166" fontId="2" fillId="3" borderId="4" xfId="38" applyNumberFormat="1" applyFont="1" applyFill="1" applyBorder="1"/>
    <xf numFmtId="41" fontId="7" fillId="3" borderId="5" xfId="38" applyFont="1" applyFill="1" applyBorder="1" applyAlignment="1">
      <alignment horizontal="center"/>
    </xf>
    <xf numFmtId="166" fontId="2" fillId="3" borderId="6" xfId="38" applyNumberFormat="1" applyFont="1" applyFill="1" applyBorder="1"/>
    <xf numFmtId="41" fontId="3" fillId="0" borderId="0" xfId="38" applyNumberFormat="1" applyFont="1"/>
    <xf numFmtId="166" fontId="3" fillId="0" borderId="0" xfId="38" applyNumberFormat="1" applyFont="1"/>
    <xf numFmtId="41" fontId="3" fillId="0" borderId="0" xfId="38" applyFont="1" applyAlignment="1">
      <alignment horizontal="right"/>
    </xf>
    <xf numFmtId="41" fontId="3" fillId="0" borderId="0" xfId="38"/>
    <xf numFmtId="3" fontId="3" fillId="0" borderId="0" xfId="38" applyNumberFormat="1" applyFont="1"/>
    <xf numFmtId="166" fontId="3" fillId="0" borderId="0" xfId="38" applyNumberFormat="1"/>
    <xf numFmtId="164" fontId="3" fillId="0" borderId="0" xfId="38" applyNumberFormat="1" applyFont="1"/>
    <xf numFmtId="41" fontId="3" fillId="0" borderId="0" xfId="38" applyFont="1" applyFill="1"/>
    <xf numFmtId="41" fontId="7" fillId="3" borderId="6" xfId="38" applyFont="1" applyFill="1" applyBorder="1"/>
    <xf numFmtId="4" fontId="3" fillId="0" borderId="0" xfId="38" applyNumberFormat="1" applyFont="1"/>
    <xf numFmtId="3" fontId="3" fillId="0" borderId="0" xfId="24" applyNumberFormat="1" applyFont="1"/>
    <xf numFmtId="41" fontId="11" fillId="5" borderId="0" xfId="38" applyFont="1" applyFill="1"/>
    <xf numFmtId="41" fontId="11" fillId="0" borderId="0" xfId="38" applyFont="1" applyFill="1"/>
    <xf numFmtId="38" fontId="3" fillId="0" borderId="0" xfId="38" applyNumberFormat="1"/>
    <xf numFmtId="41" fontId="3" fillId="0" borderId="0" xfId="38" applyNumberFormat="1" applyFont="1" applyFill="1"/>
    <xf numFmtId="38" fontId="3" fillId="0" borderId="0" xfId="38" applyNumberFormat="1" applyFont="1"/>
    <xf numFmtId="3" fontId="3" fillId="0" borderId="0" xfId="24" applyNumberFormat="1" applyFont="1" applyFill="1"/>
    <xf numFmtId="41" fontId="3" fillId="0" borderId="0" xfId="38" quotePrefix="1" applyFont="1" applyAlignment="1">
      <alignment horizontal="left"/>
    </xf>
    <xf numFmtId="41" fontId="3" fillId="0" borderId="0" xfId="38" applyFill="1"/>
    <xf numFmtId="170" fontId="3" fillId="0" borderId="0" xfId="44" applyNumberFormat="1" applyFont="1"/>
    <xf numFmtId="41" fontId="3" fillId="0" borderId="0" xfId="38" applyNumberFormat="1"/>
    <xf numFmtId="41" fontId="6" fillId="0" borderId="0" xfId="38" applyNumberFormat="1" applyFont="1"/>
    <xf numFmtId="10" fontId="3" fillId="0" borderId="0" xfId="38" applyNumberFormat="1" applyFont="1"/>
    <xf numFmtId="41" fontId="3" fillId="0" borderId="0" xfId="38" quotePrefix="1" applyNumberFormat="1" applyFont="1"/>
    <xf numFmtId="168" fontId="3" fillId="0" borderId="0" xfId="38" applyNumberFormat="1" applyFont="1"/>
    <xf numFmtId="41" fontId="9" fillId="0" borderId="0" xfId="38" applyFont="1" applyFill="1"/>
    <xf numFmtId="3" fontId="3" fillId="0" borderId="0" xfId="38" applyNumberFormat="1"/>
    <xf numFmtId="167" fontId="3" fillId="0" borderId="0" xfId="38" applyNumberFormat="1" applyFont="1"/>
    <xf numFmtId="10" fontId="3" fillId="0" borderId="0" xfId="44" applyNumberFormat="1" applyFont="1"/>
    <xf numFmtId="173" fontId="3" fillId="0" borderId="0" xfId="38" applyNumberFormat="1" applyFont="1"/>
    <xf numFmtId="183" fontId="2" fillId="6" borderId="0" xfId="38" applyNumberFormat="1" applyFont="1" applyFill="1" applyAlignment="1">
      <alignment horizontal="center"/>
    </xf>
    <xf numFmtId="41" fontId="3" fillId="6" borderId="0" xfId="38" applyFont="1" applyFill="1"/>
    <xf numFmtId="41" fontId="12" fillId="6" borderId="0" xfId="38" applyFont="1" applyFill="1"/>
    <xf numFmtId="41" fontId="2" fillId="0" borderId="0" xfId="38" applyFont="1" applyAlignment="1">
      <alignment horizontal="center"/>
    </xf>
    <xf numFmtId="41" fontId="10" fillId="0" borderId="0" xfId="38" applyFont="1" applyAlignment="1">
      <alignment horizontal="right"/>
    </xf>
    <xf numFmtId="164" fontId="6" fillId="0" borderId="0" xfId="38" applyNumberFormat="1" applyFont="1" applyAlignment="1">
      <alignment horizontal="center"/>
    </xf>
    <xf numFmtId="165" fontId="6" fillId="0" borderId="0" xfId="38" applyNumberFormat="1" applyFont="1" applyAlignment="1">
      <alignment horizontal="right"/>
    </xf>
    <xf numFmtId="0" fontId="6" fillId="0" borderId="0" xfId="38" applyNumberFormat="1" applyFont="1" applyAlignment="1">
      <alignment horizontal="right"/>
    </xf>
    <xf numFmtId="164" fontId="3" fillId="0" borderId="0" xfId="38" applyNumberFormat="1" applyFont="1" applyAlignment="1">
      <alignment horizontal="center"/>
    </xf>
    <xf numFmtId="41" fontId="5" fillId="0" borderId="0" xfId="38" applyFont="1"/>
    <xf numFmtId="41" fontId="3" fillId="0" borderId="0" xfId="38" applyFont="1" applyAlignment="1">
      <alignment horizontal="center"/>
    </xf>
    <xf numFmtId="41" fontId="3" fillId="0" borderId="0" xfId="38" applyAlignment="1">
      <alignment horizontal="right"/>
    </xf>
    <xf numFmtId="1" fontId="5" fillId="0" borderId="0" xfId="38" applyNumberFormat="1" applyFont="1"/>
    <xf numFmtId="41" fontId="4" fillId="0" borderId="0" xfId="38" applyFont="1"/>
    <xf numFmtId="14" fontId="2" fillId="6" borderId="0" xfId="38" applyNumberFormat="1" applyFont="1" applyFill="1" applyAlignment="1">
      <alignment horizontal="center"/>
    </xf>
    <xf numFmtId="14" fontId="3" fillId="0" borderId="0" xfId="38" applyNumberFormat="1" applyFont="1"/>
    <xf numFmtId="3" fontId="3" fillId="0" borderId="0" xfId="90" applyNumberFormat="1" applyFont="1"/>
    <xf numFmtId="170" fontId="3" fillId="0" borderId="0" xfId="91" applyNumberFormat="1" applyFont="1"/>
    <xf numFmtId="10" fontId="3" fillId="0" borderId="0" xfId="91" applyNumberFormat="1" applyFont="1"/>
    <xf numFmtId="168" fontId="9" fillId="0" borderId="0" xfId="14" applyNumberFormat="1" applyFont="1"/>
    <xf numFmtId="168" fontId="17" fillId="0" borderId="0" xfId="14" applyNumberFormat="1" applyFont="1" applyBorder="1"/>
    <xf numFmtId="168" fontId="17" fillId="0" borderId="0" xfId="14" applyNumberFormat="1" applyFont="1"/>
    <xf numFmtId="168" fontId="9" fillId="0" borderId="0" xfId="14" applyNumberFormat="1" applyFont="1" applyAlignment="1">
      <alignment horizontal="left"/>
    </xf>
    <xf numFmtId="168" fontId="9" fillId="0" borderId="0" xfId="14" applyNumberFormat="1" applyFont="1" applyBorder="1" applyAlignment="1">
      <alignment horizontal="left"/>
    </xf>
    <xf numFmtId="168" fontId="17" fillId="0" borderId="0" xfId="14" quotePrefix="1" applyNumberFormat="1" applyFont="1" applyBorder="1" applyAlignment="1" applyProtection="1">
      <alignment horizontal="center"/>
      <protection locked="0"/>
    </xf>
    <xf numFmtId="168" fontId="17" fillId="0" borderId="0" xfId="14" applyNumberFormat="1" applyFont="1" applyBorder="1" applyProtection="1">
      <protection locked="0"/>
    </xf>
    <xf numFmtId="168" fontId="9" fillId="0" borderId="0" xfId="14" applyNumberFormat="1" applyFont="1" applyBorder="1" applyAlignment="1">
      <alignment vertical="center"/>
    </xf>
    <xf numFmtId="168" fontId="17" fillId="0" borderId="0" xfId="14" quotePrefix="1" applyNumberFormat="1" applyFont="1" applyBorder="1" applyAlignment="1" applyProtection="1">
      <alignment horizontal="left"/>
      <protection locked="0"/>
    </xf>
    <xf numFmtId="168" fontId="17" fillId="0" borderId="0" xfId="14" applyNumberFormat="1" applyFont="1" applyBorder="1" applyAlignment="1" applyProtection="1">
      <alignment horizontal="left"/>
      <protection locked="0"/>
    </xf>
    <xf numFmtId="168" fontId="17" fillId="0" borderId="22" xfId="14" applyNumberFormat="1" applyFont="1" applyBorder="1" applyProtection="1">
      <protection locked="0"/>
    </xf>
    <xf numFmtId="168" fontId="17" fillId="0" borderId="0" xfId="14" applyNumberFormat="1" applyFont="1" applyBorder="1" applyAlignment="1" applyProtection="1">
      <alignment horizontal="center"/>
      <protection locked="0"/>
    </xf>
    <xf numFmtId="10" fontId="17" fillId="0" borderId="0" xfId="13" applyNumberFormat="1" applyFont="1" applyFill="1" applyBorder="1" applyAlignment="1">
      <alignment vertical="center"/>
    </xf>
    <xf numFmtId="184" fontId="17" fillId="0" borderId="0" xfId="13" applyNumberFormat="1" applyFont="1" applyBorder="1" applyAlignment="1">
      <alignment vertical="center"/>
    </xf>
    <xf numFmtId="0" fontId="17" fillId="0" borderId="0" xfId="89" applyFont="1" applyBorder="1"/>
    <xf numFmtId="168" fontId="9" fillId="0" borderId="0" xfId="14" quotePrefix="1" applyNumberFormat="1" applyFont="1" applyBorder="1" applyAlignment="1">
      <alignment horizontal="left" vertical="center"/>
    </xf>
    <xf numFmtId="41" fontId="9" fillId="0" borderId="0" xfId="14" applyNumberFormat="1" applyFont="1" applyBorder="1" applyProtection="1">
      <protection locked="0"/>
    </xf>
    <xf numFmtId="41" fontId="17" fillId="0" borderId="0" xfId="14" applyNumberFormat="1" applyFont="1" applyBorder="1" applyProtection="1">
      <protection locked="0"/>
    </xf>
    <xf numFmtId="168" fontId="9" fillId="0" borderId="11" xfId="14" applyNumberFormat="1" applyFont="1" applyBorder="1"/>
    <xf numFmtId="185" fontId="9" fillId="0" borderId="0" xfId="11" quotePrefix="1" applyNumberFormat="1" applyFont="1" applyAlignment="1">
      <alignment horizontal="center"/>
    </xf>
    <xf numFmtId="41" fontId="35" fillId="0" borderId="0" xfId="11" applyFont="1" applyAlignment="1">
      <alignment horizontal="center"/>
    </xf>
    <xf numFmtId="41" fontId="34" fillId="0" borderId="0" xfId="11" applyFont="1" applyAlignment="1">
      <alignment horizontal="center"/>
    </xf>
    <xf numFmtId="49" fontId="34" fillId="0" borderId="0" xfId="11" applyNumberFormat="1" applyFont="1" applyAlignment="1">
      <alignment horizontal="center"/>
    </xf>
    <xf numFmtId="49" fontId="34" fillId="0" borderId="0" xfId="11" applyNumberFormat="1" applyFont="1" applyFill="1" applyAlignment="1">
      <alignment horizontal="center"/>
    </xf>
    <xf numFmtId="186" fontId="17" fillId="0" borderId="0" xfId="11" applyNumberFormat="1" applyFont="1" applyAlignment="1">
      <alignment horizontal="center"/>
    </xf>
    <xf numFmtId="168" fontId="17" fillId="0" borderId="0" xfId="14" applyNumberFormat="1" applyFont="1" applyFill="1" applyBorder="1" applyProtection="1">
      <protection locked="0"/>
    </xf>
    <xf numFmtId="41" fontId="17" fillId="0" borderId="9" xfId="11" quotePrefix="1" applyNumberFormat="1" applyFill="1" applyBorder="1" applyAlignment="1">
      <alignment horizontal="center"/>
    </xf>
    <xf numFmtId="41" fontId="17" fillId="0" borderId="10" xfId="14" quotePrefix="1" applyNumberFormat="1" applyBorder="1" applyAlignment="1">
      <alignment horizontal="center"/>
    </xf>
    <xf numFmtId="41" fontId="17" fillId="0" borderId="0" xfId="11" applyNumberFormat="1"/>
    <xf numFmtId="41" fontId="17" fillId="0" borderId="10" xfId="11" quotePrefix="1" applyNumberFormat="1" applyBorder="1" applyAlignment="1">
      <alignment horizontal="center"/>
    </xf>
    <xf numFmtId="41" fontId="17" fillId="0" borderId="14" xfId="11" applyNumberFormat="1" applyFill="1" applyBorder="1"/>
    <xf numFmtId="41" fontId="17" fillId="0" borderId="15" xfId="11" applyNumberFormat="1" applyBorder="1"/>
    <xf numFmtId="41" fontId="17" fillId="0" borderId="0" xfId="11" applyNumberFormat="1" applyBorder="1"/>
    <xf numFmtId="41" fontId="17" fillId="0" borderId="9" xfId="11" applyNumberFormat="1" applyFill="1" applyBorder="1" applyAlignment="1">
      <alignment horizontal="center"/>
    </xf>
    <xf numFmtId="41" fontId="17" fillId="0" borderId="10" xfId="11" applyNumberFormat="1" applyBorder="1" applyAlignment="1">
      <alignment horizontal="center"/>
    </xf>
    <xf numFmtId="41" fontId="17" fillId="0" borderId="0" xfId="14" applyNumberFormat="1"/>
    <xf numFmtId="41" fontId="17" fillId="0" borderId="9" xfId="11" applyNumberFormat="1" applyFill="1" applyBorder="1"/>
    <xf numFmtId="41" fontId="17" fillId="0" borderId="10" xfId="11" applyNumberFormat="1" applyBorder="1"/>
    <xf numFmtId="41" fontId="9" fillId="0" borderId="16" xfId="11" applyNumberFormat="1" applyFont="1" applyFill="1" applyBorder="1"/>
    <xf numFmtId="41" fontId="9" fillId="0" borderId="17" xfId="11" applyNumberFormat="1" applyFont="1" applyBorder="1"/>
    <xf numFmtId="41" fontId="9" fillId="0" borderId="0" xfId="11" applyNumberFormat="1" applyFont="1" applyBorder="1"/>
    <xf numFmtId="168" fontId="17" fillId="0" borderId="0" xfId="14" applyNumberFormat="1" applyFont="1" applyFill="1" applyBorder="1"/>
    <xf numFmtId="168" fontId="17" fillId="0" borderId="0" xfId="14" quotePrefix="1" applyNumberFormat="1" applyFont="1" applyFill="1" applyBorder="1" applyAlignment="1" applyProtection="1">
      <alignment horizontal="center"/>
      <protection locked="0"/>
    </xf>
    <xf numFmtId="168" fontId="9" fillId="0" borderId="11" xfId="14" applyNumberFormat="1" applyFont="1" applyFill="1" applyBorder="1" applyAlignment="1" applyProtection="1">
      <alignment horizontal="center" wrapText="1"/>
      <protection locked="0"/>
    </xf>
    <xf numFmtId="168" fontId="17" fillId="0" borderId="0" xfId="14" quotePrefix="1" applyNumberFormat="1" applyFont="1" applyFill="1" applyBorder="1" applyAlignment="1" applyProtection="1">
      <alignment horizontal="left"/>
      <protection locked="0"/>
    </xf>
    <xf numFmtId="168" fontId="17" fillId="0" borderId="0" xfId="14" applyNumberFormat="1" applyFont="1" applyFill="1" applyBorder="1" applyAlignment="1" applyProtection="1">
      <alignment horizontal="left"/>
      <protection locked="0"/>
    </xf>
    <xf numFmtId="168" fontId="17" fillId="0" borderId="0" xfId="14" applyNumberFormat="1" applyFont="1" applyFill="1" applyBorder="1" applyAlignment="1" applyProtection="1">
      <alignment horizontal="center"/>
      <protection locked="0"/>
    </xf>
    <xf numFmtId="184" fontId="17" fillId="0" borderId="0" xfId="13" applyNumberFormat="1" applyFont="1" applyFill="1" applyBorder="1" applyAlignment="1">
      <alignment vertical="center"/>
    </xf>
    <xf numFmtId="41" fontId="9" fillId="0" borderId="0" xfId="14" applyNumberFormat="1" applyFont="1" applyFill="1" applyBorder="1" applyProtection="1">
      <protection locked="0"/>
    </xf>
    <xf numFmtId="168" fontId="17" fillId="0" borderId="27" xfId="14" applyNumberFormat="1" applyFont="1" applyBorder="1" applyAlignment="1" applyProtection="1">
      <alignment horizontal="center" wrapText="1"/>
      <protection locked="0"/>
    </xf>
    <xf numFmtId="168" fontId="17" fillId="0" borderId="22" xfId="14" applyNumberFormat="1" applyFont="1" applyBorder="1" applyAlignment="1" applyProtection="1">
      <alignment horizontal="center" wrapText="1"/>
      <protection locked="0"/>
    </xf>
    <xf numFmtId="168" fontId="17" fillId="0" borderId="29" xfId="14" applyNumberFormat="1" applyFont="1" applyBorder="1" applyProtection="1">
      <protection locked="0"/>
    </xf>
    <xf numFmtId="168" fontId="17" fillId="0" borderId="29" xfId="14" quotePrefix="1" applyNumberFormat="1" applyFont="1" applyBorder="1" applyAlignment="1" applyProtection="1">
      <alignment horizontal="left"/>
      <protection locked="0"/>
    </xf>
    <xf numFmtId="168" fontId="17" fillId="0" borderId="29" xfId="14" applyNumberFormat="1" applyFont="1" applyBorder="1" applyAlignment="1" applyProtection="1">
      <alignment horizontal="left"/>
      <protection locked="0"/>
    </xf>
    <xf numFmtId="168" fontId="17" fillId="0" borderId="27" xfId="14" applyNumberFormat="1" applyFont="1" applyBorder="1" applyProtection="1">
      <protection locked="0"/>
    </xf>
    <xf numFmtId="168" fontId="17" fillId="0" borderId="29" xfId="14" applyNumberFormat="1" applyFont="1" applyBorder="1" applyAlignment="1" applyProtection="1">
      <alignment horizontal="center"/>
      <protection locked="0"/>
    </xf>
    <xf numFmtId="10" fontId="17" fillId="0" borderId="29" xfId="13" applyNumberFormat="1" applyFont="1" applyFill="1" applyBorder="1" applyAlignment="1">
      <alignment vertical="center"/>
    </xf>
    <xf numFmtId="168" fontId="17" fillId="0" borderId="29" xfId="14" applyNumberFormat="1" applyFont="1" applyFill="1" applyBorder="1" applyProtection="1">
      <protection locked="0"/>
    </xf>
    <xf numFmtId="184" fontId="17" fillId="0" borderId="29" xfId="13" applyNumberFormat="1" applyFont="1" applyBorder="1" applyAlignment="1">
      <alignment vertical="center"/>
    </xf>
    <xf numFmtId="168" fontId="17" fillId="0" borderId="30" xfId="14" applyNumberFormat="1" applyFont="1" applyBorder="1" applyProtection="1">
      <protection locked="0"/>
    </xf>
    <xf numFmtId="168" fontId="17" fillId="0" borderId="11" xfId="14" applyNumberFormat="1" applyFont="1" applyBorder="1" applyProtection="1">
      <protection locked="0"/>
    </xf>
    <xf numFmtId="168" fontId="9" fillId="0" borderId="23" xfId="14" applyNumberFormat="1" applyFont="1" applyBorder="1" applyAlignment="1" applyProtection="1">
      <alignment horizontal="center" wrapText="1"/>
      <protection locked="0"/>
    </xf>
    <xf numFmtId="168" fontId="9" fillId="0" borderId="31" xfId="14" applyNumberFormat="1" applyFont="1" applyBorder="1" applyProtection="1">
      <protection locked="0"/>
    </xf>
    <xf numFmtId="168" fontId="9" fillId="0" borderId="31" xfId="14" quotePrefix="1" applyNumberFormat="1" applyFont="1" applyBorder="1" applyAlignment="1" applyProtection="1">
      <alignment horizontal="left"/>
      <protection locked="0"/>
    </xf>
    <xf numFmtId="168" fontId="9" fillId="0" borderId="31" xfId="14" applyNumberFormat="1" applyFont="1" applyBorder="1" applyAlignment="1" applyProtection="1">
      <alignment horizontal="left"/>
      <protection locked="0"/>
    </xf>
    <xf numFmtId="168" fontId="9" fillId="0" borderId="23" xfId="14" applyNumberFormat="1" applyFont="1" applyBorder="1" applyProtection="1">
      <protection locked="0"/>
    </xf>
    <xf numFmtId="168" fontId="9" fillId="0" borderId="31" xfId="14" applyNumberFormat="1" applyFont="1" applyBorder="1" applyAlignment="1" applyProtection="1">
      <alignment horizontal="center"/>
      <protection locked="0"/>
    </xf>
    <xf numFmtId="168" fontId="17" fillId="0" borderId="23" xfId="14" applyNumberFormat="1" applyFont="1" applyBorder="1" applyProtection="1">
      <protection locked="0"/>
    </xf>
    <xf numFmtId="10" fontId="9" fillId="0" borderId="31" xfId="13" applyNumberFormat="1" applyFont="1" applyFill="1" applyBorder="1" applyAlignment="1">
      <alignment vertical="center"/>
    </xf>
    <xf numFmtId="184" fontId="9" fillId="0" borderId="31" xfId="13" applyNumberFormat="1" applyFont="1" applyBorder="1" applyAlignment="1">
      <alignment vertical="center"/>
    </xf>
    <xf numFmtId="168" fontId="9" fillId="0" borderId="32" xfId="14" applyNumberFormat="1" applyFont="1" applyBorder="1" applyProtection="1">
      <protection locked="0"/>
    </xf>
    <xf numFmtId="168" fontId="9" fillId="0" borderId="22" xfId="14" applyNumberFormat="1" applyFont="1" applyBorder="1" applyAlignment="1" applyProtection="1">
      <alignment horizontal="center" wrapText="1"/>
      <protection locked="0"/>
    </xf>
    <xf numFmtId="41" fontId="9" fillId="0" borderId="0" xfId="93" applyFont="1"/>
    <xf numFmtId="41" fontId="17" fillId="0" borderId="0" xfId="93"/>
    <xf numFmtId="41" fontId="17" fillId="0" borderId="0" xfId="93" applyAlignment="1">
      <alignment horizontal="center"/>
    </xf>
    <xf numFmtId="41" fontId="17" fillId="0" borderId="0" xfId="93" applyAlignment="1">
      <alignment horizontal="right"/>
    </xf>
    <xf numFmtId="0" fontId="17" fillId="0" borderId="0" xfId="93" applyNumberFormat="1" applyAlignment="1">
      <alignment horizontal="center"/>
    </xf>
    <xf numFmtId="41" fontId="36" fillId="0" borderId="0" xfId="93" applyFont="1" applyAlignment="1">
      <alignment horizontal="center"/>
    </xf>
    <xf numFmtId="168" fontId="36" fillId="0" borderId="0" xfId="14" applyNumberFormat="1" applyFont="1" applyAlignment="1">
      <alignment horizontal="center"/>
    </xf>
    <xf numFmtId="41" fontId="17" fillId="0" borderId="0" xfId="93" applyFont="1"/>
    <xf numFmtId="41" fontId="17" fillId="0" borderId="0" xfId="93" quotePrefix="1" applyAlignment="1">
      <alignment horizontal="center"/>
    </xf>
    <xf numFmtId="41" fontId="17" fillId="0" borderId="0" xfId="93" quotePrefix="1" applyFont="1" applyAlignment="1">
      <alignment horizontal="center"/>
    </xf>
    <xf numFmtId="184" fontId="17" fillId="0" borderId="0" xfId="13" applyNumberFormat="1" applyAlignment="1">
      <alignment horizontal="center"/>
    </xf>
    <xf numFmtId="168" fontId="17" fillId="0" borderId="22" xfId="14" applyNumberFormat="1" applyBorder="1"/>
    <xf numFmtId="41" fontId="17" fillId="0" borderId="0" xfId="93" applyFont="1" applyAlignment="1">
      <alignment horizontal="left" indent="1"/>
    </xf>
    <xf numFmtId="184" fontId="17" fillId="0" borderId="0" xfId="93" applyNumberFormat="1" applyAlignment="1">
      <alignment horizontal="center"/>
    </xf>
    <xf numFmtId="41" fontId="37" fillId="0" borderId="0" xfId="93" applyFont="1"/>
    <xf numFmtId="168" fontId="17" fillId="0" borderId="0" xfId="14" applyNumberFormat="1" applyBorder="1"/>
    <xf numFmtId="41" fontId="37" fillId="0" borderId="0" xfId="93" applyFont="1" applyBorder="1" applyProtection="1">
      <protection locked="0"/>
    </xf>
    <xf numFmtId="41" fontId="38" fillId="0" borderId="0" xfId="93" applyFont="1"/>
    <xf numFmtId="39" fontId="17" fillId="0" borderId="9" xfId="14" applyNumberFormat="1" applyBorder="1" applyAlignment="1">
      <alignment horizontal="left" vertical="top" wrapText="1"/>
    </xf>
    <xf numFmtId="184" fontId="17" fillId="0" borderId="0" xfId="11" applyNumberFormat="1" applyAlignment="1">
      <alignment horizontal="center"/>
    </xf>
    <xf numFmtId="49" fontId="17" fillId="0" borderId="0" xfId="11" applyNumberFormat="1" applyFont="1" applyAlignment="1">
      <alignment horizontal="left"/>
    </xf>
    <xf numFmtId="168" fontId="9" fillId="0" borderId="0" xfId="14" applyNumberFormat="1" applyFont="1" applyBorder="1"/>
    <xf numFmtId="174" fontId="17" fillId="0" borderId="0" xfId="93" quotePrefix="1" applyNumberFormat="1" applyAlignment="1">
      <alignment horizontal="center"/>
    </xf>
    <xf numFmtId="41" fontId="35" fillId="0" borderId="0" xfId="11" applyFont="1"/>
    <xf numFmtId="41" fontId="39" fillId="0" borderId="10" xfId="11" applyFont="1" applyBorder="1" applyAlignment="1">
      <alignment horizontal="center"/>
    </xf>
    <xf numFmtId="168" fontId="9" fillId="0" borderId="22" xfId="14" applyNumberFormat="1" applyFont="1" applyBorder="1" applyAlignment="1" applyProtection="1">
      <alignment horizontal="centerContinuous"/>
      <protection locked="0"/>
    </xf>
    <xf numFmtId="168" fontId="9" fillId="0" borderId="28" xfId="14" applyNumberFormat="1" applyFont="1" applyBorder="1" applyAlignment="1" applyProtection="1">
      <alignment horizontal="centerContinuous"/>
      <protection locked="0"/>
    </xf>
    <xf numFmtId="168" fontId="9" fillId="0" borderId="34" xfId="14" applyNumberFormat="1" applyFont="1" applyBorder="1" applyAlignment="1" applyProtection="1">
      <alignment horizontal="center" wrapText="1"/>
      <protection locked="0"/>
    </xf>
    <xf numFmtId="168" fontId="17" fillId="0" borderId="34" xfId="14" applyNumberFormat="1" applyFont="1" applyBorder="1" applyProtection="1">
      <protection locked="0"/>
    </xf>
    <xf numFmtId="168" fontId="9" fillId="0" borderId="35" xfId="14" applyNumberFormat="1" applyFont="1" applyBorder="1" applyProtection="1">
      <protection locked="0"/>
    </xf>
    <xf numFmtId="168" fontId="9" fillId="0" borderId="35" xfId="14" quotePrefix="1" applyNumberFormat="1" applyFont="1" applyBorder="1" applyAlignment="1" applyProtection="1">
      <alignment horizontal="left"/>
      <protection locked="0"/>
    </xf>
    <xf numFmtId="168" fontId="9" fillId="0" borderId="34" xfId="14" applyNumberFormat="1" applyFont="1" applyBorder="1" applyProtection="1">
      <protection locked="0"/>
    </xf>
    <xf numFmtId="10" fontId="9" fillId="0" borderId="35" xfId="13" applyNumberFormat="1" applyFont="1" applyFill="1" applyBorder="1" applyAlignment="1">
      <alignment vertical="center"/>
    </xf>
    <xf numFmtId="184" fontId="9" fillId="0" borderId="35" xfId="13" applyNumberFormat="1" applyFont="1" applyBorder="1" applyAlignment="1">
      <alignment vertical="center"/>
    </xf>
    <xf numFmtId="168" fontId="9" fillId="0" borderId="36" xfId="14" applyNumberFormat="1" applyFont="1" applyBorder="1" applyProtection="1">
      <protection locked="0"/>
    </xf>
    <xf numFmtId="168" fontId="9" fillId="0" borderId="35" xfId="14" applyNumberFormat="1" applyFont="1" applyFill="1" applyBorder="1" applyProtection="1">
      <protection locked="0"/>
    </xf>
    <xf numFmtId="41" fontId="34" fillId="0" borderId="0" xfId="11" quotePrefix="1" applyFont="1" applyAlignment="1">
      <alignment horizontal="center"/>
    </xf>
    <xf numFmtId="168" fontId="9" fillId="0" borderId="0" xfId="14" applyNumberFormat="1" applyFont="1" applyBorder="1" applyProtection="1">
      <protection locked="0"/>
    </xf>
    <xf numFmtId="168" fontId="9" fillId="0" borderId="28" xfId="14" applyNumberFormat="1" applyFont="1" applyBorder="1" applyAlignment="1" applyProtection="1">
      <alignment horizontal="center" wrapText="1"/>
      <protection locked="0"/>
    </xf>
    <xf numFmtId="168" fontId="9" fillId="0" borderId="37" xfId="14" applyNumberFormat="1" applyFont="1" applyBorder="1" applyProtection="1">
      <protection locked="0"/>
    </xf>
    <xf numFmtId="168" fontId="9" fillId="0" borderId="37" xfId="14" quotePrefix="1" applyNumberFormat="1" applyFont="1" applyBorder="1" applyAlignment="1" applyProtection="1">
      <alignment horizontal="left"/>
      <protection locked="0"/>
    </xf>
    <xf numFmtId="168" fontId="9" fillId="0" borderId="37" xfId="14" applyNumberFormat="1" applyFont="1" applyBorder="1" applyAlignment="1" applyProtection="1">
      <alignment horizontal="left"/>
      <protection locked="0"/>
    </xf>
    <xf numFmtId="168" fontId="9" fillId="0" borderId="37" xfId="14" applyNumberFormat="1" applyFont="1" applyBorder="1" applyAlignment="1" applyProtection="1">
      <alignment horizontal="center"/>
      <protection locked="0"/>
    </xf>
    <xf numFmtId="10" fontId="9" fillId="0" borderId="37" xfId="13" applyNumberFormat="1" applyFont="1" applyFill="1" applyBorder="1" applyAlignment="1">
      <alignment vertical="center"/>
    </xf>
    <xf numFmtId="184" fontId="9" fillId="0" borderId="37" xfId="13" applyNumberFormat="1" applyFont="1" applyBorder="1" applyAlignment="1">
      <alignment vertical="center"/>
    </xf>
    <xf numFmtId="41" fontId="9" fillId="0" borderId="37" xfId="14" applyNumberFormat="1" applyFont="1" applyBorder="1" applyProtection="1">
      <protection locked="0"/>
    </xf>
    <xf numFmtId="168" fontId="9" fillId="0" borderId="38" xfId="14" applyNumberFormat="1" applyFont="1" applyBorder="1" applyProtection="1">
      <protection locked="0"/>
    </xf>
    <xf numFmtId="168" fontId="9" fillId="0" borderId="0" xfId="14" applyNumberFormat="1" applyFont="1" applyBorder="1" applyAlignment="1" applyProtection="1">
      <alignment horizontal="center" wrapText="1"/>
      <protection locked="0"/>
    </xf>
    <xf numFmtId="41" fontId="9" fillId="0" borderId="31" xfId="14" applyNumberFormat="1" applyFont="1" applyBorder="1" applyProtection="1">
      <protection locked="0"/>
    </xf>
    <xf numFmtId="168" fontId="9" fillId="0" borderId="29" xfId="14" applyNumberFormat="1" applyFont="1" applyBorder="1" applyProtection="1">
      <protection locked="0"/>
    </xf>
    <xf numFmtId="168" fontId="9" fillId="0" borderId="28" xfId="14" applyNumberFormat="1" applyFont="1" applyBorder="1" applyProtection="1">
      <protection locked="0"/>
    </xf>
    <xf numFmtId="41" fontId="17" fillId="0" borderId="29" xfId="14" applyNumberFormat="1" applyFont="1" applyBorder="1" applyProtection="1">
      <protection locked="0"/>
    </xf>
    <xf numFmtId="168" fontId="17" fillId="0" borderId="27" xfId="14" quotePrefix="1" applyNumberFormat="1" applyFont="1" applyBorder="1" applyAlignment="1" applyProtection="1">
      <alignment horizontal="centerContinuous"/>
      <protection locked="0"/>
    </xf>
    <xf numFmtId="168" fontId="17" fillId="0" borderId="22" xfId="14" quotePrefix="1" applyNumberFormat="1" applyFont="1" applyBorder="1" applyAlignment="1" applyProtection="1">
      <alignment horizontal="centerContinuous"/>
      <protection locked="0"/>
    </xf>
    <xf numFmtId="168" fontId="17" fillId="0" borderId="28" xfId="14" quotePrefix="1" applyNumberFormat="1" applyFont="1" applyBorder="1" applyAlignment="1" applyProtection="1">
      <alignment horizontal="centerContinuous"/>
      <protection locked="0"/>
    </xf>
    <xf numFmtId="168" fontId="17" fillId="0" borderId="27" xfId="14" applyNumberFormat="1" applyFont="1" applyBorder="1" applyAlignment="1" applyProtection="1">
      <alignment horizontal="centerContinuous"/>
      <protection locked="0"/>
    </xf>
    <xf numFmtId="0" fontId="17" fillId="0" borderId="0" xfId="93" applyNumberFormat="1" applyFill="1" applyAlignment="1">
      <alignment horizontal="center"/>
    </xf>
    <xf numFmtId="43" fontId="17" fillId="0" borderId="0" xfId="11" applyNumberFormat="1" applyAlignment="1">
      <alignment horizontal="center"/>
    </xf>
    <xf numFmtId="41" fontId="17" fillId="0" borderId="0" xfId="93" quotePrefix="1" applyFill="1" applyAlignment="1">
      <alignment horizontal="center"/>
    </xf>
    <xf numFmtId="41" fontId="11" fillId="0" borderId="9" xfId="11" applyFont="1" applyBorder="1" applyAlignment="1">
      <alignment horizontal="center"/>
    </xf>
    <xf numFmtId="41" fontId="11" fillId="0" borderId="10" xfId="11" applyFont="1" applyBorder="1" applyAlignment="1">
      <alignment horizontal="center"/>
    </xf>
    <xf numFmtId="41" fontId="11" fillId="0" borderId="0" xfId="11" applyFont="1" applyBorder="1" applyAlignment="1">
      <alignment horizontal="center"/>
    </xf>
    <xf numFmtId="37" fontId="11" fillId="0" borderId="0" xfId="11" applyNumberFormat="1" applyFont="1" applyAlignment="1">
      <alignment horizontal="center"/>
    </xf>
    <xf numFmtId="41" fontId="11" fillId="0" borderId="9" xfId="11" applyFont="1" applyFill="1" applyBorder="1" applyAlignment="1">
      <alignment horizontal="center"/>
    </xf>
    <xf numFmtId="185" fontId="9" fillId="0" borderId="0" xfId="14" applyNumberFormat="1" applyFont="1" applyBorder="1" applyAlignment="1">
      <alignment horizontal="center"/>
    </xf>
    <xf numFmtId="41" fontId="9" fillId="0" borderId="7" xfId="11" applyFont="1" applyBorder="1" applyAlignment="1">
      <alignment horizontal="center"/>
    </xf>
    <xf numFmtId="41" fontId="9" fillId="0" borderId="8" xfId="11" applyFont="1" applyBorder="1" applyAlignment="1">
      <alignment horizontal="center"/>
    </xf>
    <xf numFmtId="41" fontId="17" fillId="0" borderId="9" xfId="11" applyFont="1" applyBorder="1" applyAlignment="1">
      <alignment horizontal="center"/>
    </xf>
    <xf numFmtId="41" fontId="17" fillId="0" borderId="10" xfId="11" applyFont="1" applyBorder="1" applyAlignment="1">
      <alignment horizontal="center"/>
    </xf>
    <xf numFmtId="49" fontId="9" fillId="0" borderId="9" xfId="11" applyNumberFormat="1" applyFont="1" applyBorder="1" applyAlignment="1">
      <alignment horizontal="center"/>
    </xf>
    <xf numFmtId="49" fontId="9" fillId="0" borderId="10" xfId="11" applyNumberFormat="1" applyFont="1" applyBorder="1" applyAlignment="1">
      <alignment horizontal="center"/>
    </xf>
    <xf numFmtId="41" fontId="9" fillId="0" borderId="9" xfId="11" applyFont="1" applyBorder="1" applyAlignment="1">
      <alignment horizontal="center"/>
    </xf>
    <xf numFmtId="41" fontId="9" fillId="0" borderId="10" xfId="11" applyFont="1" applyBorder="1" applyAlignment="1">
      <alignment horizontal="center"/>
    </xf>
    <xf numFmtId="37" fontId="17" fillId="0" borderId="7" xfId="93" applyNumberFormat="1" applyBorder="1" applyAlignment="1">
      <alignment horizontal="left" vertical="top" wrapText="1"/>
    </xf>
    <xf numFmtId="37" fontId="17" fillId="0" borderId="33" xfId="93" applyNumberFormat="1" applyBorder="1" applyAlignment="1">
      <alignment horizontal="left" vertical="top" wrapText="1"/>
    </xf>
    <xf numFmtId="37" fontId="17" fillId="0" borderId="8" xfId="93" applyNumberFormat="1" applyBorder="1" applyAlignment="1">
      <alignment horizontal="left" vertical="top" wrapText="1"/>
    </xf>
    <xf numFmtId="37" fontId="17" fillId="0" borderId="9" xfId="93" applyNumberFormat="1" applyBorder="1" applyAlignment="1">
      <alignment horizontal="left" vertical="top" wrapText="1"/>
    </xf>
    <xf numFmtId="37" fontId="17" fillId="0" borderId="0" xfId="93" applyNumberFormat="1" applyBorder="1" applyAlignment="1">
      <alignment horizontal="left" vertical="top" wrapText="1"/>
    </xf>
    <xf numFmtId="37" fontId="17" fillId="0" borderId="10" xfId="93" applyNumberFormat="1" applyBorder="1" applyAlignment="1">
      <alignment horizontal="left" vertical="top" wrapText="1"/>
    </xf>
    <xf numFmtId="37" fontId="17" fillId="0" borderId="20" xfId="93" applyNumberFormat="1" applyBorder="1" applyAlignment="1">
      <alignment horizontal="left" vertical="top" wrapText="1"/>
    </xf>
    <xf numFmtId="37" fontId="17" fillId="0" borderId="2" xfId="93" applyNumberFormat="1" applyBorder="1" applyAlignment="1">
      <alignment horizontal="left" vertical="top" wrapText="1"/>
    </xf>
    <xf numFmtId="37" fontId="17" fillId="0" borderId="21" xfId="93" applyNumberFormat="1" applyBorder="1" applyAlignment="1">
      <alignment horizontal="left" vertical="top" wrapText="1"/>
    </xf>
    <xf numFmtId="169" fontId="5" fillId="0" borderId="0" xfId="89" applyNumberFormat="1" applyFont="1" applyFill="1" applyBorder="1" applyAlignment="1">
      <alignment horizontal="left"/>
    </xf>
    <xf numFmtId="169" fontId="5" fillId="0" borderId="0" xfId="38" applyNumberFormat="1" applyFont="1" applyAlignment="1">
      <alignment horizontal="left"/>
    </xf>
    <xf numFmtId="169" fontId="5" fillId="0" borderId="0" xfId="0" applyNumberFormat="1" applyFont="1" applyAlignment="1">
      <alignment horizontal="left"/>
    </xf>
    <xf numFmtId="39" fontId="17" fillId="0" borderId="7" xfId="14" applyNumberFormat="1" applyFont="1" applyBorder="1" applyAlignment="1">
      <alignment horizontal="left" vertical="top" wrapText="1"/>
    </xf>
    <xf numFmtId="39" fontId="35" fillId="0" borderId="33" xfId="14" applyNumberFormat="1" applyFont="1" applyBorder="1" applyAlignment="1">
      <alignment horizontal="left" vertical="top" wrapText="1"/>
    </xf>
    <xf numFmtId="39" fontId="35" fillId="0" borderId="8" xfId="14" applyNumberFormat="1" applyFont="1" applyBorder="1" applyAlignment="1">
      <alignment horizontal="left" vertical="top" wrapText="1"/>
    </xf>
    <xf numFmtId="39" fontId="35" fillId="0" borderId="9" xfId="14" applyNumberFormat="1" applyFont="1" applyBorder="1" applyAlignment="1">
      <alignment horizontal="left" vertical="top" wrapText="1"/>
    </xf>
    <xf numFmtId="39" fontId="35" fillId="0" borderId="0" xfId="14" applyNumberFormat="1" applyFont="1" applyBorder="1" applyAlignment="1">
      <alignment horizontal="left" vertical="top" wrapText="1"/>
    </xf>
    <xf numFmtId="39" fontId="35" fillId="0" borderId="10" xfId="14" applyNumberFormat="1" applyFont="1" applyBorder="1" applyAlignment="1">
      <alignment horizontal="left" vertical="top" wrapText="1"/>
    </xf>
    <xf numFmtId="39" fontId="35" fillId="0" borderId="20" xfId="14" applyNumberFormat="1" applyFont="1" applyBorder="1" applyAlignment="1">
      <alignment horizontal="left" vertical="top" wrapText="1"/>
    </xf>
    <xf numFmtId="39" fontId="35" fillId="0" borderId="2" xfId="14" applyNumberFormat="1" applyFont="1" applyBorder="1" applyAlignment="1">
      <alignment horizontal="left" vertical="top" wrapText="1"/>
    </xf>
    <xf numFmtId="39" fontId="35" fillId="0" borderId="21" xfId="14" applyNumberFormat="1" applyFont="1" applyBorder="1" applyAlignment="1">
      <alignment horizontal="left" vertical="top" wrapText="1"/>
    </xf>
  </cellXfs>
  <cellStyles count="94">
    <cellStyle name="Comma" xfId="1" builtinId="3"/>
    <cellStyle name="Comma  - Style1" xfId="15"/>
    <cellStyle name="Comma  - Style2" xfId="16"/>
    <cellStyle name="Comma  - Style3" xfId="17"/>
    <cellStyle name="Comma  - Style4" xfId="18"/>
    <cellStyle name="Comma  - Style5" xfId="19"/>
    <cellStyle name="Comma  - Style6" xfId="20"/>
    <cellStyle name="Comma  - Style7" xfId="21"/>
    <cellStyle name="Comma  - Style8" xfId="22"/>
    <cellStyle name="Comma 2" xfId="14"/>
    <cellStyle name="Comma 2 2" xfId="23"/>
    <cellStyle name="Comma 2 3" xfId="90"/>
    <cellStyle name="Comma 3" xfId="24"/>
    <cellStyle name="Comma 4" xfId="25"/>
    <cellStyle name="Comma0" xfId="26"/>
    <cellStyle name="Currency 2" xfId="92"/>
    <cellStyle name="Currency No Comma" xfId="2"/>
    <cellStyle name="Currency0" xfId="27"/>
    <cellStyle name="Date" xfId="28"/>
    <cellStyle name="Fixed" xfId="29"/>
    <cellStyle name="General" xfId="30"/>
    <cellStyle name="Grey" xfId="31"/>
    <cellStyle name="header" xfId="32"/>
    <cellStyle name="Header1" xfId="33"/>
    <cellStyle name="Header2" xfId="34"/>
    <cellStyle name="Input" xfId="3" builtinId="20" customBuiltin="1"/>
    <cellStyle name="Input [yellow]" xfId="35"/>
    <cellStyle name="MCP" xfId="4"/>
    <cellStyle name="nONE" xfId="36"/>
    <cellStyle name="noninput" xfId="5"/>
    <cellStyle name="Normal" xfId="0" builtinId="0"/>
    <cellStyle name="Normal - Style1" xfId="37"/>
    <cellStyle name="Normal 2" xfId="38"/>
    <cellStyle name="Normal 2 2" xfId="39"/>
    <cellStyle name="Normal 3" xfId="11"/>
    <cellStyle name="Normal 4" xfId="40"/>
    <cellStyle name="Normal 5" xfId="41"/>
    <cellStyle name="Normal 6" xfId="89"/>
    <cellStyle name="Normal_5.1 NPC Adj WA " xfId="93"/>
    <cellStyle name="Normal_Adjustment Template" xfId="12"/>
    <cellStyle name="Password" xfId="6"/>
    <cellStyle name="Percent" xfId="7" builtinId="5"/>
    <cellStyle name="Percent [2]" xfId="42"/>
    <cellStyle name="Percent 2" xfId="13"/>
    <cellStyle name="Percent 2 2" xfId="43"/>
    <cellStyle name="Percent 2 3" xfId="91"/>
    <cellStyle name="Percent 3" xfId="44"/>
    <cellStyle name="Percent 4" xfId="45"/>
    <cellStyle name="SAPBEXaggData" xfId="46"/>
    <cellStyle name="SAPBEXaggDataEmph" xfId="47"/>
    <cellStyle name="SAPBEXaggItem" xfId="48"/>
    <cellStyle name="SAPBEXaggItemX" xfId="49"/>
    <cellStyle name="SAPBEXchaText" xfId="50"/>
    <cellStyle name="SAPBEXexcBad7" xfId="51"/>
    <cellStyle name="SAPBEXexcBad8" xfId="52"/>
    <cellStyle name="SAPBEXexcBad9" xfId="53"/>
    <cellStyle name="SAPBEXexcCritical4" xfId="54"/>
    <cellStyle name="SAPBEXexcCritical5" xfId="55"/>
    <cellStyle name="SAPBEXexcCritical6" xfId="56"/>
    <cellStyle name="SAPBEXexcGood1" xfId="57"/>
    <cellStyle name="SAPBEXexcGood2" xfId="58"/>
    <cellStyle name="SAPBEXexcGood3" xfId="59"/>
    <cellStyle name="SAPBEXfilterDrill" xfId="60"/>
    <cellStyle name="SAPBEXfilterItem" xfId="61"/>
    <cellStyle name="SAPBEXfilterText" xfId="62"/>
    <cellStyle name="SAPBEXformats" xfId="63"/>
    <cellStyle name="SAPBEXheaderItem" xfId="64"/>
    <cellStyle name="SAPBEXheaderText" xfId="65"/>
    <cellStyle name="SAPBEXHLevel0" xfId="66"/>
    <cellStyle name="SAPBEXHLevel0X" xfId="67"/>
    <cellStyle name="SAPBEXHLevel1" xfId="68"/>
    <cellStyle name="SAPBEXHLevel1X" xfId="69"/>
    <cellStyle name="SAPBEXHLevel2" xfId="70"/>
    <cellStyle name="SAPBEXHLevel2X" xfId="71"/>
    <cellStyle name="SAPBEXHLevel3" xfId="72"/>
    <cellStyle name="SAPBEXHLevel3X" xfId="73"/>
    <cellStyle name="SAPBEXresData" xfId="74"/>
    <cellStyle name="SAPBEXresDataEmph" xfId="75"/>
    <cellStyle name="SAPBEXresItem" xfId="76"/>
    <cellStyle name="SAPBEXresItemX" xfId="77"/>
    <cellStyle name="SAPBEXstdData" xfId="78"/>
    <cellStyle name="SAPBEXstdDataEmph" xfId="79"/>
    <cellStyle name="SAPBEXstdItem" xfId="80"/>
    <cellStyle name="SAPBEXstdItemX" xfId="81"/>
    <cellStyle name="SAPBEXtitle" xfId="82"/>
    <cellStyle name="SAPBEXundefined" xfId="83"/>
    <cellStyle name="Style 21" xfId="84"/>
    <cellStyle name="Style 22" xfId="85"/>
    <cellStyle name="Style 24" xfId="86"/>
    <cellStyle name="Titles" xfId="87"/>
    <cellStyle name="TRANSMISSION RELIABILITY PORTION OF PROJECT" xfId="88"/>
    <cellStyle name="Unprot" xfId="8"/>
    <cellStyle name="Unprot$" xfId="9"/>
    <cellStyle name="Unprotect" xfId="10"/>
  </cellStyles>
  <dxfs count="75">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customXml" Target="../customXml/item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sharedStrings" Target="sharedStrings.xml"/><Relationship Id="rId58" Type="http://schemas.openxmlformats.org/officeDocument/2006/relationships/customXml" Target="../customXml/item4.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customXml" Target="../customXml/item2.xml"/><Relationship Id="rId8" Type="http://schemas.openxmlformats.org/officeDocument/2006/relationships/worksheet" Target="worksheets/sheet8.xml"/><Relationship Id="rId51" Type="http://schemas.openxmlformats.org/officeDocument/2006/relationships/theme" Target="theme/theme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customXml" Target="../customXml/item3.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J93"/>
  <sheetViews>
    <sheetView tabSelected="1" view="pageBreakPreview" zoomScale="85" zoomScaleNormal="100" zoomScaleSheetLayoutView="85" workbookViewId="0">
      <pane xSplit="1" ySplit="8" topLeftCell="B9" activePane="bottomRight" state="frozen"/>
      <selection activeCell="C11" sqref="C11"/>
      <selection pane="topRight" activeCell="C11" sqref="C11"/>
      <selection pane="bottomLeft" activeCell="C11" sqref="C11"/>
      <selection pane="bottomRight" activeCell="B9" sqref="B9"/>
    </sheetView>
  </sheetViews>
  <sheetFormatPr defaultRowHeight="12.75"/>
  <cols>
    <col min="1" max="1" width="47.1640625" style="204" customWidth="1"/>
    <col min="2" max="2" width="16" style="203" customWidth="1"/>
    <col min="3" max="3" width="1.83203125" style="203" customWidth="1"/>
    <col min="4" max="4" width="15.6640625" style="203" bestFit="1" customWidth="1"/>
    <col min="5" max="5" width="1.83203125" style="203" customWidth="1"/>
    <col min="6" max="6" width="15.6640625" style="203" bestFit="1" customWidth="1"/>
    <col min="7" max="7" width="1.83203125" style="203" customWidth="1"/>
    <col min="8" max="8" width="15.6640625" style="203" customWidth="1"/>
    <col min="9" max="9" width="1.83203125" style="203" customWidth="1"/>
    <col min="10" max="10" width="15.6640625" style="203" customWidth="1"/>
    <col min="11" max="11" width="1.83203125" style="203" customWidth="1"/>
    <col min="12" max="15" width="15.6640625" style="203" customWidth="1"/>
    <col min="16" max="16" width="1.83203125" style="243" customWidth="1"/>
    <col min="17" max="33" width="16" style="203" customWidth="1"/>
    <col min="34" max="34" width="17" style="203" bestFit="1" customWidth="1"/>
    <col min="35" max="35" width="2" style="204" customWidth="1"/>
    <col min="36" max="36" width="16.6640625" style="203" customWidth="1"/>
    <col min="37" max="16384" width="9.33203125" style="204"/>
  </cols>
  <sheetData>
    <row r="1" spans="1:36">
      <c r="A1" s="202" t="s">
        <v>118</v>
      </c>
      <c r="AJ1" s="295"/>
    </row>
    <row r="2" spans="1:36">
      <c r="A2" s="205" t="s">
        <v>255</v>
      </c>
    </row>
    <row r="3" spans="1:36">
      <c r="A3" s="206" t="s">
        <v>187</v>
      </c>
    </row>
    <row r="4" spans="1:36">
      <c r="A4" s="206" t="s">
        <v>358</v>
      </c>
    </row>
    <row r="5" spans="1:36">
      <c r="A5" s="206"/>
      <c r="B5" s="338">
        <v>1</v>
      </c>
      <c r="D5" s="338">
        <f>MAX(B$5:C5)+1</f>
        <v>2</v>
      </c>
      <c r="F5" s="338">
        <f>MAX(D$5:E5)+1</f>
        <v>3</v>
      </c>
      <c r="H5" s="338">
        <f>MAX(F$5:G5)+1</f>
        <v>4</v>
      </c>
      <c r="J5" s="338">
        <f>MAX(H$5:I5)+1</f>
        <v>5</v>
      </c>
      <c r="L5" s="338">
        <f>MAX(J$5:K5)+1</f>
        <v>6</v>
      </c>
      <c r="M5" s="338">
        <f>MAX(K$5:L5)+1</f>
        <v>7</v>
      </c>
      <c r="N5" s="338">
        <f>MAX(L$5:M5)+1</f>
        <v>8</v>
      </c>
      <c r="O5" s="338">
        <f>MAX(M$5:N5)+1</f>
        <v>9</v>
      </c>
      <c r="Q5" s="338">
        <f>MAX(O$5:P5)+1</f>
        <v>10</v>
      </c>
      <c r="R5" s="338">
        <f>MAX(P$5:Q5)+1</f>
        <v>11</v>
      </c>
      <c r="S5" s="338">
        <f>MAX(Q$5:R5)+1</f>
        <v>12</v>
      </c>
      <c r="T5" s="338">
        <f>MAX(R$5:S5)+1</f>
        <v>13</v>
      </c>
      <c r="U5" s="338">
        <f>MAX(S$5:T5)+1</f>
        <v>14</v>
      </c>
      <c r="V5" s="338">
        <f>MAX(T$5:U5)+1</f>
        <v>15</v>
      </c>
      <c r="W5" s="338">
        <f>MAX(U$5:V5)+1</f>
        <v>16</v>
      </c>
      <c r="X5" s="338">
        <f>MAX(V$5:W5)+1</f>
        <v>17</v>
      </c>
      <c r="Y5" s="338">
        <f>MAX(W$5:X5)+1</f>
        <v>18</v>
      </c>
      <c r="Z5" s="338">
        <f>MAX(X$5:Y5)+1</f>
        <v>19</v>
      </c>
      <c r="AA5" s="338">
        <f>MAX(Y$5:Z5)+1</f>
        <v>20</v>
      </c>
      <c r="AB5" s="338">
        <f>MAX(Z$5:AA5)+1</f>
        <v>21</v>
      </c>
      <c r="AC5" s="338">
        <f>MAX(AA$5:AB5)+1</f>
        <v>22</v>
      </c>
      <c r="AD5" s="338">
        <f>MAX(AB$5:AC5)+1</f>
        <v>23</v>
      </c>
      <c r="AE5" s="338">
        <f>MAX(AC$5:AD5)+1</f>
        <v>24</v>
      </c>
      <c r="AF5" s="338">
        <f>MAX(AD$5:AE5)+1</f>
        <v>25</v>
      </c>
      <c r="AG5" s="338">
        <f>MAX(AE$5:AF5)+1</f>
        <v>26</v>
      </c>
      <c r="AH5" s="338">
        <f>MAX(AF$5:AG5)+1</f>
        <v>27</v>
      </c>
      <c r="AJ5" s="338">
        <f>MAX(AH$5:AI5)+1</f>
        <v>28</v>
      </c>
    </row>
    <row r="6" spans="1:36" ht="5.0999999999999996" customHeight="1">
      <c r="A6" s="206"/>
      <c r="B6" s="338"/>
      <c r="D6" s="338"/>
      <c r="F6" s="338"/>
      <c r="H6" s="338"/>
      <c r="J6" s="338"/>
      <c r="L6" s="338"/>
      <c r="M6" s="338"/>
      <c r="N6" s="338"/>
      <c r="O6" s="338"/>
      <c r="Q6" s="338"/>
      <c r="R6" s="338"/>
      <c r="S6" s="338"/>
      <c r="T6" s="338"/>
      <c r="U6" s="338"/>
      <c r="V6" s="338"/>
      <c r="W6" s="338"/>
      <c r="X6" s="338"/>
      <c r="Y6" s="338"/>
      <c r="Z6" s="338"/>
      <c r="AA6" s="338"/>
      <c r="AB6" s="338"/>
      <c r="AC6" s="338"/>
      <c r="AD6" s="338"/>
      <c r="AE6" s="338"/>
      <c r="AF6" s="338"/>
      <c r="AG6" s="338"/>
      <c r="AH6" s="338"/>
      <c r="AJ6" s="338"/>
    </row>
    <row r="7" spans="1:36">
      <c r="B7" s="207"/>
      <c r="C7" s="207"/>
      <c r="D7" s="207"/>
      <c r="E7" s="207"/>
      <c r="F7" s="207"/>
      <c r="G7" s="207"/>
      <c r="H7" s="207"/>
      <c r="I7" s="207"/>
      <c r="J7" s="207"/>
      <c r="K7" s="207"/>
      <c r="L7" s="326" t="s">
        <v>369</v>
      </c>
      <c r="M7" s="327"/>
      <c r="N7" s="328"/>
      <c r="O7" s="207"/>
      <c r="P7" s="244"/>
      <c r="Q7" s="329" t="s">
        <v>342</v>
      </c>
      <c r="R7" s="299"/>
      <c r="S7" s="299"/>
      <c r="T7" s="299"/>
      <c r="U7" s="299"/>
      <c r="V7" s="299"/>
      <c r="W7" s="299"/>
      <c r="X7" s="299"/>
      <c r="Y7" s="299"/>
      <c r="Z7" s="299"/>
      <c r="AA7" s="299"/>
      <c r="AB7" s="299"/>
      <c r="AC7" s="299"/>
      <c r="AD7" s="299"/>
      <c r="AE7" s="299"/>
      <c r="AF7" s="299"/>
      <c r="AG7" s="299"/>
      <c r="AH7" s="300"/>
      <c r="AJ7" s="207"/>
    </row>
    <row r="8" spans="1:36" s="202" customFormat="1" ht="86.25" customHeight="1">
      <c r="B8" s="263" t="s">
        <v>400</v>
      </c>
      <c r="C8" s="273"/>
      <c r="D8" s="252" t="s">
        <v>402</v>
      </c>
      <c r="E8" s="252"/>
      <c r="F8" s="263" t="s">
        <v>401</v>
      </c>
      <c r="G8" s="273"/>
      <c r="H8" s="252" t="s">
        <v>256</v>
      </c>
      <c r="I8" s="273"/>
      <c r="J8" s="263" t="s">
        <v>367</v>
      </c>
      <c r="K8" s="321"/>
      <c r="L8" s="251" t="s">
        <v>364</v>
      </c>
      <c r="M8" s="252" t="s">
        <v>365</v>
      </c>
      <c r="N8" s="252" t="s">
        <v>403</v>
      </c>
      <c r="O8" s="312" t="s">
        <v>368</v>
      </c>
      <c r="P8" s="245"/>
      <c r="Q8" s="251" t="s">
        <v>270</v>
      </c>
      <c r="R8" s="252" t="s">
        <v>257</v>
      </c>
      <c r="S8" s="252" t="s">
        <v>258</v>
      </c>
      <c r="T8" s="252" t="s">
        <v>259</v>
      </c>
      <c r="U8" s="252" t="s">
        <v>260</v>
      </c>
      <c r="V8" s="252" t="s">
        <v>261</v>
      </c>
      <c r="W8" s="252" t="s">
        <v>262</v>
      </c>
      <c r="X8" s="252" t="s">
        <v>263</v>
      </c>
      <c r="Y8" s="252" t="s">
        <v>264</v>
      </c>
      <c r="Z8" s="252" t="s">
        <v>265</v>
      </c>
      <c r="AA8" s="252" t="s">
        <v>266</v>
      </c>
      <c r="AB8" s="252" t="s">
        <v>415</v>
      </c>
      <c r="AC8" s="252" t="s">
        <v>267</v>
      </c>
      <c r="AD8" s="252" t="s">
        <v>268</v>
      </c>
      <c r="AE8" s="252" t="s">
        <v>269</v>
      </c>
      <c r="AF8" s="252" t="s">
        <v>355</v>
      </c>
      <c r="AG8" s="252" t="s">
        <v>331</v>
      </c>
      <c r="AH8" s="301" t="s">
        <v>188</v>
      </c>
      <c r="AI8" s="220"/>
      <c r="AJ8" s="263" t="s">
        <v>362</v>
      </c>
    </row>
    <row r="9" spans="1:36">
      <c r="A9" s="203"/>
      <c r="B9" s="264"/>
      <c r="C9" s="208"/>
      <c r="D9" s="208"/>
      <c r="E9" s="208"/>
      <c r="F9" s="264"/>
      <c r="G9" s="208"/>
      <c r="H9" s="208"/>
      <c r="I9" s="208"/>
      <c r="J9" s="264"/>
      <c r="K9" s="208"/>
      <c r="L9" s="323"/>
      <c r="M9" s="311"/>
      <c r="N9" s="311"/>
      <c r="O9" s="313"/>
      <c r="P9" s="227"/>
      <c r="Q9" s="253"/>
      <c r="R9" s="208"/>
      <c r="S9" s="208"/>
      <c r="T9" s="208"/>
      <c r="U9" s="208"/>
      <c r="V9" s="208"/>
      <c r="W9" s="208"/>
      <c r="X9" s="208"/>
      <c r="Y9" s="208"/>
      <c r="Z9" s="208"/>
      <c r="AA9" s="208"/>
      <c r="AB9" s="208"/>
      <c r="AC9" s="208"/>
      <c r="AD9" s="208"/>
      <c r="AE9" s="208"/>
      <c r="AF9" s="208"/>
      <c r="AG9" s="208"/>
      <c r="AH9" s="303"/>
      <c r="AJ9" s="264"/>
    </row>
    <row r="10" spans="1:36">
      <c r="A10" s="209" t="s">
        <v>189</v>
      </c>
      <c r="B10" s="264"/>
      <c r="C10" s="208"/>
      <c r="D10" s="208"/>
      <c r="E10" s="208"/>
      <c r="F10" s="264"/>
      <c r="G10" s="208"/>
      <c r="H10" s="208"/>
      <c r="I10" s="208"/>
      <c r="J10" s="264"/>
      <c r="K10" s="208"/>
      <c r="L10" s="323"/>
      <c r="M10" s="311"/>
      <c r="N10" s="311"/>
      <c r="O10" s="313"/>
      <c r="P10" s="227"/>
      <c r="Q10" s="253"/>
      <c r="R10" s="208"/>
      <c r="S10" s="208"/>
      <c r="T10" s="208"/>
      <c r="U10" s="208"/>
      <c r="V10" s="208"/>
      <c r="W10" s="208"/>
      <c r="X10" s="208"/>
      <c r="Y10" s="208"/>
      <c r="Z10" s="208"/>
      <c r="AA10" s="208"/>
      <c r="AB10" s="208"/>
      <c r="AC10" s="208"/>
      <c r="AD10" s="208"/>
      <c r="AE10" s="208"/>
      <c r="AF10" s="208"/>
      <c r="AG10" s="208"/>
      <c r="AH10" s="303"/>
      <c r="AJ10" s="264"/>
    </row>
    <row r="11" spans="1:36">
      <c r="A11" s="209" t="s">
        <v>190</v>
      </c>
      <c r="B11" s="265">
        <v>0</v>
      </c>
      <c r="C11" s="210"/>
      <c r="D11" s="210">
        <v>0</v>
      </c>
      <c r="E11" s="210"/>
      <c r="F11" s="265">
        <v>0</v>
      </c>
      <c r="G11" s="210"/>
      <c r="H11" s="210">
        <v>0</v>
      </c>
      <c r="I11" s="210"/>
      <c r="J11" s="265">
        <v>0</v>
      </c>
      <c r="K11" s="210"/>
      <c r="L11" s="254">
        <v>0</v>
      </c>
      <c r="M11" s="210">
        <v>0</v>
      </c>
      <c r="N11" s="210">
        <v>0</v>
      </c>
      <c r="O11" s="314">
        <v>0</v>
      </c>
      <c r="P11" s="246"/>
      <c r="Q11" s="254">
        <v>0</v>
      </c>
      <c r="R11" s="210">
        <v>0</v>
      </c>
      <c r="S11" s="210">
        <v>0</v>
      </c>
      <c r="T11" s="210">
        <v>0</v>
      </c>
      <c r="U11" s="210">
        <v>0</v>
      </c>
      <c r="V11" s="210">
        <v>0</v>
      </c>
      <c r="W11" s="210">
        <v>0</v>
      </c>
      <c r="X11" s="210">
        <v>0</v>
      </c>
      <c r="Y11" s="210">
        <v>0</v>
      </c>
      <c r="Z11" s="210">
        <v>0</v>
      </c>
      <c r="AA11" s="210">
        <v>0</v>
      </c>
      <c r="AB11" s="210">
        <v>0</v>
      </c>
      <c r="AC11" s="210">
        <v>0</v>
      </c>
      <c r="AD11" s="210">
        <v>0</v>
      </c>
      <c r="AE11" s="210">
        <v>0</v>
      </c>
      <c r="AF11" s="210">
        <v>0</v>
      </c>
      <c r="AG11" s="210">
        <v>0</v>
      </c>
      <c r="AH11" s="304">
        <f>SUM(Q11:AG11)</f>
        <v>0</v>
      </c>
      <c r="AJ11" s="265">
        <f>B11+AH11</f>
        <v>0</v>
      </c>
    </row>
    <row r="12" spans="1:36">
      <c r="A12" s="209" t="s">
        <v>191</v>
      </c>
      <c r="B12" s="266">
        <v>0</v>
      </c>
      <c r="C12" s="211"/>
      <c r="D12" s="211">
        <v>0</v>
      </c>
      <c r="E12" s="211"/>
      <c r="F12" s="266">
        <v>0</v>
      </c>
      <c r="G12" s="211"/>
      <c r="H12" s="211">
        <v>0</v>
      </c>
      <c r="I12" s="211"/>
      <c r="J12" s="266">
        <v>0</v>
      </c>
      <c r="K12" s="211"/>
      <c r="L12" s="255">
        <v>0</v>
      </c>
      <c r="M12" s="211">
        <v>0</v>
      </c>
      <c r="N12" s="211">
        <v>0</v>
      </c>
      <c r="O12" s="315">
        <v>0</v>
      </c>
      <c r="P12" s="247"/>
      <c r="Q12" s="255">
        <v>0</v>
      </c>
      <c r="R12" s="211">
        <v>0</v>
      </c>
      <c r="S12" s="211">
        <v>0</v>
      </c>
      <c r="T12" s="211">
        <v>0</v>
      </c>
      <c r="U12" s="211">
        <v>0</v>
      </c>
      <c r="V12" s="211">
        <v>0</v>
      </c>
      <c r="W12" s="211">
        <v>0</v>
      </c>
      <c r="X12" s="211">
        <v>0</v>
      </c>
      <c r="Y12" s="211">
        <v>0</v>
      </c>
      <c r="Z12" s="211">
        <v>0</v>
      </c>
      <c r="AA12" s="211">
        <v>0</v>
      </c>
      <c r="AB12" s="211">
        <v>0</v>
      </c>
      <c r="AC12" s="211">
        <v>0</v>
      </c>
      <c r="AD12" s="211">
        <v>0</v>
      </c>
      <c r="AE12" s="211">
        <v>0</v>
      </c>
      <c r="AF12" s="211">
        <v>0</v>
      </c>
      <c r="AG12" s="211">
        <v>0</v>
      </c>
      <c r="AH12" s="304">
        <f t="shared" ref="AH12:AH14" si="0">SUM(Q12:AG12)</f>
        <v>0</v>
      </c>
      <c r="AJ12" s="266">
        <f>B12+AH12</f>
        <v>0</v>
      </c>
    </row>
    <row r="13" spans="1:36">
      <c r="A13" s="209" t="s">
        <v>192</v>
      </c>
      <c r="B13" s="266">
        <f>'9.1 - Summary '!F18</f>
        <v>20284349.570449926</v>
      </c>
      <c r="C13" s="211"/>
      <c r="D13" s="211">
        <f>F13-B13</f>
        <v>29248552.714326911</v>
      </c>
      <c r="E13" s="211"/>
      <c r="F13" s="266">
        <f>'9.1 - Summary '!L18</f>
        <v>49532902.284776837</v>
      </c>
      <c r="G13" s="211"/>
      <c r="H13" s="211">
        <f>J13-F13</f>
        <v>-23019064.361160427</v>
      </c>
      <c r="I13" s="211"/>
      <c r="J13" s="266">
        <f>'9.1 - Summary '!R18</f>
        <v>26513837.923616409</v>
      </c>
      <c r="K13" s="211"/>
      <c r="L13" s="255">
        <f>'9.1 - Summary '!U18</f>
        <v>449479.94348690152</v>
      </c>
      <c r="M13" s="211">
        <f>'9.1 - Summary '!X18</f>
        <v>-10403244.303136298</v>
      </c>
      <c r="N13" s="211">
        <f>'9.1 - Summary '!AA18</f>
        <v>144748.83430112377</v>
      </c>
      <c r="O13" s="315">
        <f>'9.1 - Summary '!AD18</f>
        <v>16704822.398268133</v>
      </c>
      <c r="P13" s="247"/>
      <c r="Q13" s="255">
        <f>'9.1 - Summary '!AG18</f>
        <v>69463.559926702757</v>
      </c>
      <c r="R13" s="211">
        <f>'9.1 - Summary '!AJ18</f>
        <v>-33057.641435453093</v>
      </c>
      <c r="S13" s="211">
        <f>'9.1 - Summary '!AM18</f>
        <v>3578.1893470156906</v>
      </c>
      <c r="T13" s="211">
        <f>'9.1 - Summary '!AP18</f>
        <v>-33267.565485315848</v>
      </c>
      <c r="U13" s="211">
        <f>'9.1 - Summary '!AS18</f>
        <v>0</v>
      </c>
      <c r="V13" s="211">
        <f>'9.1 - Summary '!AV18</f>
        <v>-7162.9268002644922</v>
      </c>
      <c r="W13" s="211">
        <f>'9.1 - Summary '!AY18</f>
        <v>0</v>
      </c>
      <c r="X13" s="211">
        <f>'9.1 - Summary '!BB18</f>
        <v>-34970.439655642032</v>
      </c>
      <c r="Y13" s="211">
        <f>'9.1 - Summary '!BE18</f>
        <v>4361.1292586939608</v>
      </c>
      <c r="Z13" s="211">
        <f>'9.1 - Summary '!BH18</f>
        <v>0</v>
      </c>
      <c r="AA13" s="211">
        <f>'9.1 - Summary '!BK18</f>
        <v>0</v>
      </c>
      <c r="AB13" s="211">
        <f>'9.1 - Summary '!BN18</f>
        <v>0</v>
      </c>
      <c r="AC13" s="211">
        <f>'9.1 - Summary '!BQ18</f>
        <v>-1381144.4081446163</v>
      </c>
      <c r="AD13" s="211">
        <f>'9.1 - Summary '!BT18</f>
        <v>0</v>
      </c>
      <c r="AE13" s="211">
        <f>'9.1 - Summary '!BW18</f>
        <v>0</v>
      </c>
      <c r="AF13" s="211">
        <f>'9.1 - Summary '!BZ18</f>
        <v>305590.34788472875</v>
      </c>
      <c r="AG13" s="211">
        <f>'9.1 - Summary '!CC18</f>
        <v>133152.62010258049</v>
      </c>
      <c r="AH13" s="304">
        <f t="shared" si="0"/>
        <v>-973457.1350015701</v>
      </c>
      <c r="AJ13" s="266">
        <f>O13+AH13</f>
        <v>15731365.263266563</v>
      </c>
    </row>
    <row r="14" spans="1:36">
      <c r="A14" s="209" t="s">
        <v>193</v>
      </c>
      <c r="B14" s="266">
        <v>0</v>
      </c>
      <c r="C14" s="211"/>
      <c r="D14" s="211">
        <v>0</v>
      </c>
      <c r="E14" s="211"/>
      <c r="F14" s="266">
        <v>0</v>
      </c>
      <c r="G14" s="211"/>
      <c r="H14" s="211">
        <v>0</v>
      </c>
      <c r="I14" s="211"/>
      <c r="J14" s="266">
        <v>0</v>
      </c>
      <c r="K14" s="211"/>
      <c r="L14" s="255">
        <v>0</v>
      </c>
      <c r="M14" s="211">
        <v>0</v>
      </c>
      <c r="N14" s="211">
        <v>0</v>
      </c>
      <c r="O14" s="315">
        <v>0</v>
      </c>
      <c r="P14" s="247"/>
      <c r="Q14" s="255">
        <v>0</v>
      </c>
      <c r="R14" s="211">
        <v>0</v>
      </c>
      <c r="S14" s="211">
        <v>0</v>
      </c>
      <c r="T14" s="211">
        <v>0</v>
      </c>
      <c r="U14" s="211">
        <v>0</v>
      </c>
      <c r="V14" s="211">
        <v>0</v>
      </c>
      <c r="W14" s="211">
        <v>0</v>
      </c>
      <c r="X14" s="211">
        <v>0</v>
      </c>
      <c r="Y14" s="211">
        <v>0</v>
      </c>
      <c r="Z14" s="211">
        <v>0</v>
      </c>
      <c r="AA14" s="211">
        <v>0</v>
      </c>
      <c r="AB14" s="211">
        <v>0</v>
      </c>
      <c r="AC14" s="211">
        <v>0</v>
      </c>
      <c r="AD14" s="211">
        <v>0</v>
      </c>
      <c r="AE14" s="211">
        <v>0</v>
      </c>
      <c r="AF14" s="211">
        <v>0</v>
      </c>
      <c r="AG14" s="211">
        <v>0</v>
      </c>
      <c r="AH14" s="304">
        <f t="shared" si="0"/>
        <v>0</v>
      </c>
      <c r="AJ14" s="266">
        <f>B14+AH14</f>
        <v>0</v>
      </c>
    </row>
    <row r="15" spans="1:36">
      <c r="A15" s="209" t="s">
        <v>194</v>
      </c>
      <c r="B15" s="267">
        <f t="shared" ref="B15" si="1">SUM(B11:B14)</f>
        <v>20284349.570449926</v>
      </c>
      <c r="C15" s="208"/>
      <c r="D15" s="212">
        <f t="shared" ref="D15:F15" si="2">SUM(D11:D14)</f>
        <v>29248552.714326911</v>
      </c>
      <c r="E15" s="208"/>
      <c r="F15" s="267">
        <f t="shared" si="2"/>
        <v>49532902.284776837</v>
      </c>
      <c r="G15" s="208"/>
      <c r="H15" s="212">
        <f t="shared" ref="H15" si="3">SUM(H11:H14)</f>
        <v>-23019064.361160427</v>
      </c>
      <c r="I15" s="208"/>
      <c r="J15" s="267">
        <f t="shared" ref="J15:N15" si="4">SUM(J11:J14)</f>
        <v>26513837.923616409</v>
      </c>
      <c r="K15" s="208"/>
      <c r="L15" s="256">
        <f t="shared" si="4"/>
        <v>449479.94348690152</v>
      </c>
      <c r="M15" s="212">
        <f t="shared" si="4"/>
        <v>-10403244.303136298</v>
      </c>
      <c r="N15" s="212">
        <f t="shared" si="4"/>
        <v>144748.83430112377</v>
      </c>
      <c r="O15" s="324">
        <f t="shared" ref="O15" si="5">SUM(O11:O14)</f>
        <v>16704822.398268133</v>
      </c>
      <c r="P15" s="227"/>
      <c r="Q15" s="256">
        <f t="shared" ref="Q15:AH15" si="6">SUM(Q11:Q14)</f>
        <v>69463.559926702757</v>
      </c>
      <c r="R15" s="212">
        <f t="shared" ref="R15:AE15" si="7">SUM(R11:R14)</f>
        <v>-33057.641435453093</v>
      </c>
      <c r="S15" s="212">
        <f t="shared" si="7"/>
        <v>3578.1893470156906</v>
      </c>
      <c r="T15" s="212">
        <f t="shared" si="7"/>
        <v>-33267.565485315848</v>
      </c>
      <c r="U15" s="212">
        <f t="shared" si="7"/>
        <v>0</v>
      </c>
      <c r="V15" s="212">
        <f t="shared" si="7"/>
        <v>-7162.9268002644922</v>
      </c>
      <c r="W15" s="212">
        <f t="shared" si="7"/>
        <v>0</v>
      </c>
      <c r="X15" s="212">
        <f t="shared" si="7"/>
        <v>-34970.439655642032</v>
      </c>
      <c r="Y15" s="212">
        <f t="shared" si="7"/>
        <v>4361.1292586939608</v>
      </c>
      <c r="Z15" s="212">
        <f t="shared" si="7"/>
        <v>0</v>
      </c>
      <c r="AA15" s="212">
        <f t="shared" si="7"/>
        <v>0</v>
      </c>
      <c r="AB15" s="212">
        <f t="shared" si="7"/>
        <v>0</v>
      </c>
      <c r="AC15" s="212">
        <f t="shared" si="7"/>
        <v>-1381144.4081446163</v>
      </c>
      <c r="AD15" s="212">
        <f t="shared" si="7"/>
        <v>0</v>
      </c>
      <c r="AE15" s="212">
        <f t="shared" si="7"/>
        <v>0</v>
      </c>
      <c r="AF15" s="212">
        <f t="shared" ref="AF15" si="8">SUM(AF11:AF14)</f>
        <v>305590.34788472875</v>
      </c>
      <c r="AG15" s="212">
        <f t="shared" ref="AG15" si="9">SUM(AG11:AG14)</f>
        <v>133152.62010258049</v>
      </c>
      <c r="AH15" s="305">
        <f t="shared" si="6"/>
        <v>-973457.1350015701</v>
      </c>
      <c r="AJ15" s="267">
        <f t="shared" ref="AJ15" si="10">SUM(AJ11:AJ14)</f>
        <v>15731365.263266563</v>
      </c>
    </row>
    <row r="16" spans="1:36">
      <c r="A16" s="209"/>
      <c r="B16" s="264"/>
      <c r="C16" s="208"/>
      <c r="D16" s="208"/>
      <c r="E16" s="208"/>
      <c r="F16" s="264"/>
      <c r="G16" s="208"/>
      <c r="H16" s="208"/>
      <c r="I16" s="208"/>
      <c r="J16" s="264"/>
      <c r="K16" s="208"/>
      <c r="L16" s="253"/>
      <c r="M16" s="208"/>
      <c r="N16" s="208"/>
      <c r="O16" s="313"/>
      <c r="P16" s="227"/>
      <c r="Q16" s="253"/>
      <c r="R16" s="208"/>
      <c r="S16" s="208"/>
      <c r="T16" s="208"/>
      <c r="U16" s="208"/>
      <c r="V16" s="208"/>
      <c r="W16" s="208"/>
      <c r="X16" s="208"/>
      <c r="Y16" s="208"/>
      <c r="Z16" s="208"/>
      <c r="AA16" s="208"/>
      <c r="AB16" s="208"/>
      <c r="AC16" s="208"/>
      <c r="AD16" s="208"/>
      <c r="AE16" s="208"/>
      <c r="AF16" s="208"/>
      <c r="AG16" s="208"/>
      <c r="AH16" s="303"/>
      <c r="AJ16" s="264"/>
    </row>
    <row r="17" spans="1:36">
      <c r="A17" s="209" t="s">
        <v>195</v>
      </c>
      <c r="B17" s="264"/>
      <c r="C17" s="208"/>
      <c r="D17" s="208"/>
      <c r="E17" s="208"/>
      <c r="F17" s="264"/>
      <c r="G17" s="208"/>
      <c r="H17" s="208"/>
      <c r="I17" s="208"/>
      <c r="J17" s="264"/>
      <c r="K17" s="208"/>
      <c r="L17" s="253"/>
      <c r="M17" s="208"/>
      <c r="N17" s="208"/>
      <c r="O17" s="313"/>
      <c r="P17" s="227"/>
      <c r="Q17" s="253"/>
      <c r="R17" s="208"/>
      <c r="S17" s="208"/>
      <c r="T17" s="208"/>
      <c r="U17" s="208"/>
      <c r="V17" s="208"/>
      <c r="W17" s="208"/>
      <c r="X17" s="208"/>
      <c r="Y17" s="208"/>
      <c r="Z17" s="208"/>
      <c r="AA17" s="208"/>
      <c r="AB17" s="208"/>
      <c r="AC17" s="208"/>
      <c r="AD17" s="208"/>
      <c r="AE17" s="208"/>
      <c r="AF17" s="208"/>
      <c r="AG17" s="208"/>
      <c r="AH17" s="303"/>
      <c r="AJ17" s="264"/>
    </row>
    <row r="18" spans="1:36">
      <c r="A18" s="209" t="s">
        <v>196</v>
      </c>
      <c r="B18" s="266">
        <f>'9.1 - Summary '!F35</f>
        <v>43778995.744741969</v>
      </c>
      <c r="C18" s="211"/>
      <c r="D18" s="211">
        <f>F18-B18</f>
        <v>-3081390.3274499699</v>
      </c>
      <c r="E18" s="211"/>
      <c r="F18" s="266">
        <f>'9.1 - Summary '!L35</f>
        <v>40697605.417291999</v>
      </c>
      <c r="G18" s="211"/>
      <c r="H18" s="211">
        <f>J18-F18</f>
        <v>6816114.1227773651</v>
      </c>
      <c r="I18" s="211"/>
      <c r="J18" s="266">
        <f>'9.1 - Summary '!R35</f>
        <v>47513719.540069364</v>
      </c>
      <c r="K18" s="211"/>
      <c r="L18" s="255">
        <f>'9.1 - Summary '!U35</f>
        <v>-961863.75074002531</v>
      </c>
      <c r="M18" s="211">
        <f>'9.1 - Summary '!X35</f>
        <v>-915494.78638056607</v>
      </c>
      <c r="N18" s="211">
        <f>'9.1 - Summary '!AA35</f>
        <v>1085832.6077331074</v>
      </c>
      <c r="O18" s="315">
        <f>'9.1 - Summary '!AD35</f>
        <v>46722193.610681884</v>
      </c>
      <c r="P18" s="247"/>
      <c r="Q18" s="255">
        <f>'9.1 - Summary '!AG35</f>
        <v>201364.36893834945</v>
      </c>
      <c r="R18" s="211">
        <f>'9.1 - Summary '!AJ35</f>
        <v>-28663.020201835072</v>
      </c>
      <c r="S18" s="211">
        <f>'9.1 - Summary '!AM35</f>
        <v>-303241.5492327864</v>
      </c>
      <c r="T18" s="211">
        <f>'9.1 - Summary '!AP35</f>
        <v>96507.02233329149</v>
      </c>
      <c r="U18" s="211">
        <f>'9.1 - Summary '!AS35</f>
        <v>0</v>
      </c>
      <c r="V18" s="211">
        <f>'9.1 - Summary '!AV35</f>
        <v>33.754679414647413</v>
      </c>
      <c r="W18" s="211">
        <f>'9.1 - Summary '!AY35</f>
        <v>0</v>
      </c>
      <c r="X18" s="211">
        <f>'9.1 - Summary '!BB35</f>
        <v>151313.46072725396</v>
      </c>
      <c r="Y18" s="211">
        <f>'9.1 - Summary '!BE35</f>
        <v>-5629.806727986258</v>
      </c>
      <c r="Z18" s="211">
        <f>'9.1 - Summary '!BH35</f>
        <v>0</v>
      </c>
      <c r="AA18" s="211">
        <f>'9.1 - Summary '!BK35</f>
        <v>0</v>
      </c>
      <c r="AB18" s="211">
        <f>'9.1 - Summary '!BN35</f>
        <v>0</v>
      </c>
      <c r="AC18" s="211">
        <f>'9.1 - Summary '!BQ35</f>
        <v>-533037.17390651989</v>
      </c>
      <c r="AD18" s="211">
        <f>'9.1 - Summary '!BT35</f>
        <v>0</v>
      </c>
      <c r="AE18" s="211">
        <f>'9.1 - Summary '!BW35</f>
        <v>42212.645415517669</v>
      </c>
      <c r="AF18" s="211">
        <f>'9.1 - Summary '!BZ35</f>
        <v>-96700.384736935142</v>
      </c>
      <c r="AG18" s="211">
        <f>'9.1 - Summary '!CC35</f>
        <v>11594.827499130148</v>
      </c>
      <c r="AH18" s="304">
        <f t="shared" ref="AH18:AH27" si="11">SUM(Q18:AG18)</f>
        <v>-464245.85521310539</v>
      </c>
      <c r="AJ18" s="266">
        <f>O18+AH18</f>
        <v>46257947.755468778</v>
      </c>
    </row>
    <row r="19" spans="1:36">
      <c r="A19" s="209" t="s">
        <v>197</v>
      </c>
      <c r="B19" s="266">
        <v>0</v>
      </c>
      <c r="C19" s="211"/>
      <c r="D19" s="211">
        <v>0</v>
      </c>
      <c r="E19" s="211"/>
      <c r="F19" s="266">
        <v>0</v>
      </c>
      <c r="G19" s="211"/>
      <c r="H19" s="211">
        <v>0</v>
      </c>
      <c r="I19" s="211"/>
      <c r="J19" s="266">
        <v>0</v>
      </c>
      <c r="K19" s="211"/>
      <c r="L19" s="255">
        <v>0</v>
      </c>
      <c r="M19" s="211">
        <v>0</v>
      </c>
      <c r="N19" s="211">
        <v>0</v>
      </c>
      <c r="O19" s="315">
        <v>0</v>
      </c>
      <c r="P19" s="247"/>
      <c r="Q19" s="255">
        <v>0</v>
      </c>
      <c r="R19" s="211">
        <v>0</v>
      </c>
      <c r="S19" s="211">
        <v>0</v>
      </c>
      <c r="T19" s="211">
        <v>0</v>
      </c>
      <c r="U19" s="211">
        <v>0</v>
      </c>
      <c r="V19" s="211">
        <v>0</v>
      </c>
      <c r="W19" s="211">
        <v>0</v>
      </c>
      <c r="X19" s="211">
        <v>0</v>
      </c>
      <c r="Y19" s="211">
        <v>0</v>
      </c>
      <c r="Z19" s="211">
        <v>0</v>
      </c>
      <c r="AA19" s="211">
        <v>0</v>
      </c>
      <c r="AB19" s="211">
        <v>0</v>
      </c>
      <c r="AC19" s="211">
        <v>0</v>
      </c>
      <c r="AD19" s="211">
        <v>0</v>
      </c>
      <c r="AE19" s="211">
        <v>0</v>
      </c>
      <c r="AF19" s="211">
        <v>0</v>
      </c>
      <c r="AG19" s="211">
        <v>0</v>
      </c>
      <c r="AH19" s="304">
        <f t="shared" si="11"/>
        <v>0</v>
      </c>
      <c r="AJ19" s="266">
        <f t="shared" ref="AJ19:AJ27" si="12">B19+AH19</f>
        <v>0</v>
      </c>
    </row>
    <row r="20" spans="1:36">
      <c r="A20" s="209" t="s">
        <v>198</v>
      </c>
      <c r="B20" s="266">
        <v>0</v>
      </c>
      <c r="C20" s="211"/>
      <c r="D20" s="211">
        <v>0</v>
      </c>
      <c r="E20" s="211"/>
      <c r="F20" s="266">
        <v>0</v>
      </c>
      <c r="G20" s="211"/>
      <c r="H20" s="211">
        <v>0</v>
      </c>
      <c r="I20" s="211"/>
      <c r="J20" s="266">
        <v>0</v>
      </c>
      <c r="K20" s="211"/>
      <c r="L20" s="255">
        <v>0</v>
      </c>
      <c r="M20" s="211">
        <v>0</v>
      </c>
      <c r="N20" s="211">
        <v>0</v>
      </c>
      <c r="O20" s="315">
        <v>0</v>
      </c>
      <c r="P20" s="247"/>
      <c r="Q20" s="255">
        <v>0</v>
      </c>
      <c r="R20" s="211">
        <v>0</v>
      </c>
      <c r="S20" s="211">
        <v>0</v>
      </c>
      <c r="T20" s="211">
        <v>0</v>
      </c>
      <c r="U20" s="211">
        <v>0</v>
      </c>
      <c r="V20" s="211">
        <v>0</v>
      </c>
      <c r="W20" s="211">
        <v>0</v>
      </c>
      <c r="X20" s="211">
        <v>0</v>
      </c>
      <c r="Y20" s="211">
        <v>0</v>
      </c>
      <c r="Z20" s="211">
        <v>0</v>
      </c>
      <c r="AA20" s="211">
        <v>0</v>
      </c>
      <c r="AB20" s="211">
        <v>0</v>
      </c>
      <c r="AC20" s="211">
        <v>0</v>
      </c>
      <c r="AD20" s="211">
        <v>0</v>
      </c>
      <c r="AE20" s="211">
        <v>0</v>
      </c>
      <c r="AF20" s="211">
        <v>0</v>
      </c>
      <c r="AG20" s="211">
        <v>0</v>
      </c>
      <c r="AH20" s="304">
        <f t="shared" si="11"/>
        <v>0</v>
      </c>
      <c r="AJ20" s="266">
        <f t="shared" si="12"/>
        <v>0</v>
      </c>
    </row>
    <row r="21" spans="1:36">
      <c r="A21" s="209" t="s">
        <v>199</v>
      </c>
      <c r="B21" s="268">
        <f>'9.1 - Summary '!F36+'9.1 - Summary '!F26</f>
        <v>91674180.126016378</v>
      </c>
      <c r="C21" s="213"/>
      <c r="D21" s="213">
        <f>F21-B21</f>
        <v>27610184.119727805</v>
      </c>
      <c r="E21" s="213"/>
      <c r="F21" s="268">
        <f>'9.1 - Summary '!L36+'9.1 - Summary '!L26</f>
        <v>119284364.24574418</v>
      </c>
      <c r="G21" s="213"/>
      <c r="H21" s="213">
        <f>J21-F21</f>
        <v>-43856271.900013238</v>
      </c>
      <c r="I21" s="213"/>
      <c r="J21" s="268">
        <f>'9.1 - Summary '!R36+'9.1 - Summary '!R26</f>
        <v>75428092.345730945</v>
      </c>
      <c r="K21" s="213"/>
      <c r="L21" s="257">
        <f>'9.1 - Summary '!U36+'9.1 - Summary '!U26</f>
        <v>12111781.107179632</v>
      </c>
      <c r="M21" s="213">
        <f>'9.1 - Summary '!X36+'9.1 - Summary '!X26</f>
        <v>-9186294.6829516068</v>
      </c>
      <c r="N21" s="213">
        <f>'9.1 - Summary '!AA36+'9.1 - Summary '!AA26</f>
        <v>-1664231.2387661214</v>
      </c>
      <c r="O21" s="316">
        <f>'9.1 - Summary '!AD36+'9.1 - Summary '!AD26</f>
        <v>76689347.531192854</v>
      </c>
      <c r="P21" s="248"/>
      <c r="Q21" s="257">
        <f>'9.1 - Summary '!AG36+'9.1 - Summary '!AG26</f>
        <v>-533079.80970521446</v>
      </c>
      <c r="R21" s="213">
        <f>'9.1 - Summary '!AJ36+'9.1 - Summary '!AJ26</f>
        <v>232286.22850593965</v>
      </c>
      <c r="S21" s="213">
        <f>'9.1 - Summary '!AM36+'9.1 - Summary '!AM26</f>
        <v>-22422.091440400513</v>
      </c>
      <c r="T21" s="213">
        <f>'9.1 - Summary '!AP36+'9.1 - Summary '!AP26</f>
        <v>328507.61352556309</v>
      </c>
      <c r="U21" s="213">
        <f>'9.1 - Summary '!AS36+'9.1 - Summary '!AS26</f>
        <v>-12053.301383446722</v>
      </c>
      <c r="V21" s="213">
        <f>'9.1 - Summary '!AV36+'9.1 - Summary '!AV26</f>
        <v>13534.072885319345</v>
      </c>
      <c r="W21" s="213">
        <f>'9.1 - Summary '!AY36+'9.1 - Summary '!AY26</f>
        <v>12027.887100786327</v>
      </c>
      <c r="X21" s="213">
        <f>'9.1 - Summary '!BB36+'9.1 - Summary '!BB26</f>
        <v>-1264269.5153920862</v>
      </c>
      <c r="Y21" s="213">
        <f>'9.1 - Summary '!BE36+'9.1 - Summary '!BE26</f>
        <v>26758.767372566159</v>
      </c>
      <c r="Z21" s="213">
        <f>'9.1 - Summary '!BH36+'9.1 - Summary '!BH26</f>
        <v>0</v>
      </c>
      <c r="AA21" s="213">
        <f>'9.1 - Summary '!BK36+'9.1 - Summary '!BK26</f>
        <v>0</v>
      </c>
      <c r="AB21" s="213">
        <f>'9.1 - Summary '!BN36+'9.1 - Summary '!BN26</f>
        <v>-23890.769333197222</v>
      </c>
      <c r="AC21" s="213">
        <f>'9.1 - Summary '!BQ36+'9.1 - Summary '!BQ26</f>
        <v>-805045.16881543305</v>
      </c>
      <c r="AD21" s="213">
        <f>'9.1 - Summary '!BT36+'9.1 - Summary '!BT26</f>
        <v>0</v>
      </c>
      <c r="AE21" s="213">
        <f>'9.1 - Summary '!BW36+'9.1 - Summary '!BW26</f>
        <v>0</v>
      </c>
      <c r="AF21" s="213">
        <f>'9.1 - Summary '!BZ36+'9.1 - Summary '!BZ26</f>
        <v>-597757.05090107594</v>
      </c>
      <c r="AG21" s="213">
        <f>'9.1 - Summary '!CC36+'9.1 - Summary '!CC26</f>
        <v>51690.030019536149</v>
      </c>
      <c r="AH21" s="304">
        <f t="shared" si="11"/>
        <v>-2593713.1075611431</v>
      </c>
      <c r="AJ21" s="266">
        <f t="shared" ref="AJ21:AJ22" si="13">O21+AH21</f>
        <v>74095634.423631713</v>
      </c>
    </row>
    <row r="22" spans="1:36">
      <c r="A22" s="209" t="s">
        <v>200</v>
      </c>
      <c r="B22" s="266">
        <f>'9.1 - Summary '!F32</f>
        <v>24045878.2624017</v>
      </c>
      <c r="C22" s="211"/>
      <c r="D22" s="211">
        <f>F22-B22</f>
        <v>-213479.5041122511</v>
      </c>
      <c r="E22" s="211"/>
      <c r="F22" s="266">
        <f>'9.1 - Summary '!L32</f>
        <v>23832398.758289449</v>
      </c>
      <c r="G22" s="211"/>
      <c r="H22" s="211">
        <f>J22-F22</f>
        <v>425605.41013127565</v>
      </c>
      <c r="I22" s="211"/>
      <c r="J22" s="266">
        <f>'9.1 - Summary '!R32</f>
        <v>24258004.168420725</v>
      </c>
      <c r="K22" s="211"/>
      <c r="L22" s="255">
        <f>'9.1 - Summary '!U32</f>
        <v>0</v>
      </c>
      <c r="M22" s="211">
        <f>'9.1 - Summary '!X32</f>
        <v>0</v>
      </c>
      <c r="N22" s="211">
        <f>'9.1 - Summary '!AA32</f>
        <v>482405.81955724896</v>
      </c>
      <c r="O22" s="315">
        <f>'9.1 - Summary '!AD32</f>
        <v>24740409.987977974</v>
      </c>
      <c r="P22" s="247"/>
      <c r="Q22" s="255">
        <f>'9.1 - Summary '!AG32</f>
        <v>0</v>
      </c>
      <c r="R22" s="211">
        <f>'9.1 - Summary '!AJ32</f>
        <v>0</v>
      </c>
      <c r="S22" s="211">
        <f>'9.1 - Summary '!AM32</f>
        <v>0</v>
      </c>
      <c r="T22" s="211">
        <f>'9.1 - Summary '!AP32</f>
        <v>0</v>
      </c>
      <c r="U22" s="211">
        <f>'9.1 - Summary '!AS32</f>
        <v>0</v>
      </c>
      <c r="V22" s="211">
        <f>'9.1 - Summary '!AV32</f>
        <v>0</v>
      </c>
      <c r="W22" s="211">
        <f>'9.1 - Summary '!AY32</f>
        <v>0</v>
      </c>
      <c r="X22" s="211">
        <f>'9.1 - Summary '!BB32</f>
        <v>0</v>
      </c>
      <c r="Y22" s="211">
        <f>'9.1 - Summary '!BE32</f>
        <v>0</v>
      </c>
      <c r="Z22" s="211">
        <f>'9.1 - Summary '!BH32</f>
        <v>127939.22562918653</v>
      </c>
      <c r="AA22" s="211">
        <f>'9.1 - Summary '!BK32</f>
        <v>67879.47030411</v>
      </c>
      <c r="AB22" s="211">
        <f>'9.1 - Summary '!BN32</f>
        <v>0</v>
      </c>
      <c r="AC22" s="211">
        <f>'9.1 - Summary '!BQ32</f>
        <v>0</v>
      </c>
      <c r="AD22" s="211">
        <f>'9.1 - Summary '!BT32</f>
        <v>-437960.37878623023</v>
      </c>
      <c r="AE22" s="211">
        <f>'9.1 - Summary '!BW32</f>
        <v>0</v>
      </c>
      <c r="AF22" s="211">
        <f>'9.1 - Summary '!BZ32</f>
        <v>0</v>
      </c>
      <c r="AG22" s="211">
        <f>'9.1 - Summary '!CC32</f>
        <v>-3649.2003235489537</v>
      </c>
      <c r="AH22" s="304">
        <f t="shared" si="11"/>
        <v>-245790.88317648266</v>
      </c>
      <c r="AJ22" s="266">
        <f t="shared" si="13"/>
        <v>24494619.104801491</v>
      </c>
    </row>
    <row r="23" spans="1:36">
      <c r="A23" s="209" t="s">
        <v>201</v>
      </c>
      <c r="B23" s="266">
        <v>0</v>
      </c>
      <c r="C23" s="211"/>
      <c r="D23" s="211">
        <v>0</v>
      </c>
      <c r="E23" s="211"/>
      <c r="F23" s="266">
        <v>0</v>
      </c>
      <c r="G23" s="211"/>
      <c r="H23" s="211">
        <v>0</v>
      </c>
      <c r="I23" s="211"/>
      <c r="J23" s="266">
        <v>0</v>
      </c>
      <c r="K23" s="211"/>
      <c r="L23" s="255">
        <v>0</v>
      </c>
      <c r="M23" s="211">
        <v>0</v>
      </c>
      <c r="N23" s="211">
        <v>0</v>
      </c>
      <c r="O23" s="315">
        <v>0</v>
      </c>
      <c r="P23" s="247"/>
      <c r="Q23" s="255">
        <v>0</v>
      </c>
      <c r="R23" s="211">
        <v>0</v>
      </c>
      <c r="S23" s="211">
        <v>0</v>
      </c>
      <c r="T23" s="211">
        <v>0</v>
      </c>
      <c r="U23" s="211">
        <v>0</v>
      </c>
      <c r="V23" s="211">
        <v>0</v>
      </c>
      <c r="W23" s="211">
        <v>0</v>
      </c>
      <c r="X23" s="211">
        <v>0</v>
      </c>
      <c r="Y23" s="211">
        <v>0</v>
      </c>
      <c r="Z23" s="211">
        <v>0</v>
      </c>
      <c r="AA23" s="211">
        <v>0</v>
      </c>
      <c r="AB23" s="211">
        <v>0</v>
      </c>
      <c r="AC23" s="211">
        <v>0</v>
      </c>
      <c r="AD23" s="211">
        <v>0</v>
      </c>
      <c r="AE23" s="211">
        <v>0</v>
      </c>
      <c r="AF23" s="211">
        <v>0</v>
      </c>
      <c r="AG23" s="211">
        <v>0</v>
      </c>
      <c r="AH23" s="304">
        <f t="shared" si="11"/>
        <v>0</v>
      </c>
      <c r="AJ23" s="266">
        <f t="shared" si="12"/>
        <v>0</v>
      </c>
    </row>
    <row r="24" spans="1:36">
      <c r="A24" s="209" t="s">
        <v>202</v>
      </c>
      <c r="B24" s="266">
        <v>0</v>
      </c>
      <c r="C24" s="211"/>
      <c r="D24" s="211">
        <v>0</v>
      </c>
      <c r="E24" s="211"/>
      <c r="F24" s="266">
        <v>0</v>
      </c>
      <c r="G24" s="211"/>
      <c r="H24" s="211">
        <v>0</v>
      </c>
      <c r="I24" s="211"/>
      <c r="J24" s="266">
        <v>0</v>
      </c>
      <c r="K24" s="211"/>
      <c r="L24" s="255">
        <v>0</v>
      </c>
      <c r="M24" s="211">
        <v>0</v>
      </c>
      <c r="N24" s="211">
        <v>0</v>
      </c>
      <c r="O24" s="315">
        <v>0</v>
      </c>
      <c r="P24" s="247"/>
      <c r="Q24" s="255">
        <v>0</v>
      </c>
      <c r="R24" s="211">
        <v>0</v>
      </c>
      <c r="S24" s="211">
        <v>0</v>
      </c>
      <c r="T24" s="211">
        <v>0</v>
      </c>
      <c r="U24" s="211">
        <v>0</v>
      </c>
      <c r="V24" s="211">
        <v>0</v>
      </c>
      <c r="W24" s="211">
        <v>0</v>
      </c>
      <c r="X24" s="211">
        <v>0</v>
      </c>
      <c r="Y24" s="211">
        <v>0</v>
      </c>
      <c r="Z24" s="211">
        <v>0</v>
      </c>
      <c r="AA24" s="211">
        <v>0</v>
      </c>
      <c r="AB24" s="211">
        <v>0</v>
      </c>
      <c r="AC24" s="211">
        <v>0</v>
      </c>
      <c r="AD24" s="211">
        <v>0</v>
      </c>
      <c r="AE24" s="211">
        <v>0</v>
      </c>
      <c r="AF24" s="211">
        <v>0</v>
      </c>
      <c r="AG24" s="211">
        <v>0</v>
      </c>
      <c r="AH24" s="304">
        <f t="shared" si="11"/>
        <v>0</v>
      </c>
      <c r="AJ24" s="266">
        <f t="shared" si="12"/>
        <v>0</v>
      </c>
    </row>
    <row r="25" spans="1:36">
      <c r="A25" s="209" t="s">
        <v>203</v>
      </c>
      <c r="B25" s="266">
        <v>0</v>
      </c>
      <c r="C25" s="211"/>
      <c r="D25" s="211">
        <v>0</v>
      </c>
      <c r="E25" s="211"/>
      <c r="F25" s="266">
        <v>0</v>
      </c>
      <c r="G25" s="211"/>
      <c r="H25" s="211">
        <v>0</v>
      </c>
      <c r="I25" s="211"/>
      <c r="J25" s="266">
        <v>0</v>
      </c>
      <c r="K25" s="211"/>
      <c r="L25" s="255">
        <v>0</v>
      </c>
      <c r="M25" s="211">
        <v>0</v>
      </c>
      <c r="N25" s="211">
        <v>0</v>
      </c>
      <c r="O25" s="315">
        <v>0</v>
      </c>
      <c r="P25" s="247"/>
      <c r="Q25" s="255">
        <v>0</v>
      </c>
      <c r="R25" s="211">
        <v>0</v>
      </c>
      <c r="S25" s="211">
        <v>0</v>
      </c>
      <c r="T25" s="211">
        <v>0</v>
      </c>
      <c r="U25" s="211">
        <v>0</v>
      </c>
      <c r="V25" s="211">
        <v>0</v>
      </c>
      <c r="W25" s="211">
        <v>0</v>
      </c>
      <c r="X25" s="211">
        <v>0</v>
      </c>
      <c r="Y25" s="211">
        <v>0</v>
      </c>
      <c r="Z25" s="211">
        <v>0</v>
      </c>
      <c r="AA25" s="211">
        <v>0</v>
      </c>
      <c r="AB25" s="211">
        <v>0</v>
      </c>
      <c r="AC25" s="211">
        <v>0</v>
      </c>
      <c r="AD25" s="211">
        <v>0</v>
      </c>
      <c r="AE25" s="211">
        <v>0</v>
      </c>
      <c r="AF25" s="211">
        <v>0</v>
      </c>
      <c r="AG25" s="211">
        <v>0</v>
      </c>
      <c r="AH25" s="304">
        <f t="shared" si="11"/>
        <v>0</v>
      </c>
      <c r="AJ25" s="266">
        <f t="shared" si="12"/>
        <v>0</v>
      </c>
    </row>
    <row r="26" spans="1:36">
      <c r="A26" s="209" t="s">
        <v>204</v>
      </c>
      <c r="B26" s="266">
        <v>0</v>
      </c>
      <c r="C26" s="211"/>
      <c r="D26" s="211">
        <v>0</v>
      </c>
      <c r="E26" s="211"/>
      <c r="F26" s="266">
        <v>0</v>
      </c>
      <c r="G26" s="211"/>
      <c r="H26" s="211">
        <v>0</v>
      </c>
      <c r="I26" s="211"/>
      <c r="J26" s="266">
        <v>0</v>
      </c>
      <c r="K26" s="211"/>
      <c r="L26" s="255">
        <v>0</v>
      </c>
      <c r="M26" s="211">
        <v>0</v>
      </c>
      <c r="N26" s="211">
        <v>0</v>
      </c>
      <c r="O26" s="315">
        <v>0</v>
      </c>
      <c r="P26" s="247"/>
      <c r="Q26" s="255">
        <v>0</v>
      </c>
      <c r="R26" s="211">
        <v>0</v>
      </c>
      <c r="S26" s="211">
        <v>0</v>
      </c>
      <c r="T26" s="211">
        <v>0</v>
      </c>
      <c r="U26" s="211">
        <v>0</v>
      </c>
      <c r="V26" s="211">
        <v>0</v>
      </c>
      <c r="W26" s="211">
        <v>0</v>
      </c>
      <c r="X26" s="211">
        <v>0</v>
      </c>
      <c r="Y26" s="211">
        <v>0</v>
      </c>
      <c r="Z26" s="211">
        <v>0</v>
      </c>
      <c r="AA26" s="211">
        <v>0</v>
      </c>
      <c r="AB26" s="211">
        <v>0</v>
      </c>
      <c r="AC26" s="211">
        <v>0</v>
      </c>
      <c r="AD26" s="211">
        <v>0</v>
      </c>
      <c r="AE26" s="211">
        <v>0</v>
      </c>
      <c r="AF26" s="211">
        <v>0</v>
      </c>
      <c r="AG26" s="211">
        <v>0</v>
      </c>
      <c r="AH26" s="304">
        <f t="shared" si="11"/>
        <v>0</v>
      </c>
      <c r="AJ26" s="266">
        <f t="shared" si="12"/>
        <v>0</v>
      </c>
    </row>
    <row r="27" spans="1:36">
      <c r="A27" s="209" t="s">
        <v>205</v>
      </c>
      <c r="B27" s="266">
        <v>0</v>
      </c>
      <c r="C27" s="211"/>
      <c r="D27" s="211">
        <v>0</v>
      </c>
      <c r="E27" s="211"/>
      <c r="F27" s="266">
        <v>0</v>
      </c>
      <c r="G27" s="211"/>
      <c r="H27" s="211">
        <v>0</v>
      </c>
      <c r="I27" s="211"/>
      <c r="J27" s="266">
        <v>0</v>
      </c>
      <c r="K27" s="211"/>
      <c r="L27" s="255">
        <v>0</v>
      </c>
      <c r="M27" s="211">
        <v>0</v>
      </c>
      <c r="N27" s="211">
        <v>0</v>
      </c>
      <c r="O27" s="315">
        <v>0</v>
      </c>
      <c r="P27" s="247"/>
      <c r="Q27" s="255">
        <v>0</v>
      </c>
      <c r="R27" s="211">
        <v>0</v>
      </c>
      <c r="S27" s="211">
        <v>0</v>
      </c>
      <c r="T27" s="211">
        <v>0</v>
      </c>
      <c r="U27" s="211">
        <v>0</v>
      </c>
      <c r="V27" s="211">
        <v>0</v>
      </c>
      <c r="W27" s="211">
        <v>0</v>
      </c>
      <c r="X27" s="211">
        <v>0</v>
      </c>
      <c r="Y27" s="211">
        <v>0</v>
      </c>
      <c r="Z27" s="211">
        <v>0</v>
      </c>
      <c r="AA27" s="211">
        <v>0</v>
      </c>
      <c r="AB27" s="211">
        <v>0</v>
      </c>
      <c r="AC27" s="211">
        <v>0</v>
      </c>
      <c r="AD27" s="211">
        <v>0</v>
      </c>
      <c r="AE27" s="211">
        <v>0</v>
      </c>
      <c r="AF27" s="211">
        <v>0</v>
      </c>
      <c r="AG27" s="211">
        <v>0</v>
      </c>
      <c r="AH27" s="304">
        <f t="shared" si="11"/>
        <v>0</v>
      </c>
      <c r="AJ27" s="266">
        <f t="shared" si="12"/>
        <v>0</v>
      </c>
    </row>
    <row r="28" spans="1:36">
      <c r="A28" s="209" t="s">
        <v>206</v>
      </c>
      <c r="B28" s="267">
        <f t="shared" ref="B28" si="14">SUM(B18:B27)</f>
        <v>159499054.13316005</v>
      </c>
      <c r="C28" s="208"/>
      <c r="D28" s="212">
        <f t="shared" ref="D28:F28" si="15">SUM(D18:D27)</f>
        <v>24315314.288165584</v>
      </c>
      <c r="E28" s="208"/>
      <c r="F28" s="267">
        <f t="shared" si="15"/>
        <v>183814368.42132562</v>
      </c>
      <c r="G28" s="208"/>
      <c r="H28" s="212">
        <f t="shared" ref="H28" si="16">SUM(H18:H27)</f>
        <v>-36614552.367104597</v>
      </c>
      <c r="I28" s="208"/>
      <c r="J28" s="267">
        <f t="shared" ref="J28:N28" si="17">SUM(J18:J27)</f>
        <v>147199816.05422103</v>
      </c>
      <c r="K28" s="208"/>
      <c r="L28" s="256">
        <f t="shared" si="17"/>
        <v>11149917.356439607</v>
      </c>
      <c r="M28" s="212">
        <f t="shared" si="17"/>
        <v>-10101789.469332173</v>
      </c>
      <c r="N28" s="212">
        <f t="shared" si="17"/>
        <v>-95992.811475765076</v>
      </c>
      <c r="O28" s="324">
        <f t="shared" ref="O28" si="18">SUM(O18:O27)</f>
        <v>148151951.12985271</v>
      </c>
      <c r="P28" s="227"/>
      <c r="Q28" s="256">
        <f t="shared" ref="Q28:AH28" si="19">SUM(Q18:Q27)</f>
        <v>-331715.44076686504</v>
      </c>
      <c r="R28" s="212">
        <f t="shared" si="19"/>
        <v>203623.20830410457</v>
      </c>
      <c r="S28" s="212">
        <f t="shared" si="19"/>
        <v>-325663.64067318692</v>
      </c>
      <c r="T28" s="212">
        <f t="shared" si="19"/>
        <v>425014.63585885457</v>
      </c>
      <c r="U28" s="212">
        <f t="shared" si="19"/>
        <v>-12053.301383446722</v>
      </c>
      <c r="V28" s="212">
        <f t="shared" si="19"/>
        <v>13567.827564733992</v>
      </c>
      <c r="W28" s="212">
        <f t="shared" si="19"/>
        <v>12027.887100786327</v>
      </c>
      <c r="X28" s="212">
        <f t="shared" si="19"/>
        <v>-1112956.0546648323</v>
      </c>
      <c r="Y28" s="212">
        <f t="shared" si="19"/>
        <v>21128.9606445799</v>
      </c>
      <c r="Z28" s="212">
        <f t="shared" si="19"/>
        <v>127939.22562918653</v>
      </c>
      <c r="AA28" s="212">
        <f t="shared" si="19"/>
        <v>67879.47030411</v>
      </c>
      <c r="AB28" s="212">
        <f t="shared" si="19"/>
        <v>-23890.769333197222</v>
      </c>
      <c r="AC28" s="212">
        <f t="shared" si="19"/>
        <v>-1338082.3427219531</v>
      </c>
      <c r="AD28" s="212">
        <f t="shared" si="19"/>
        <v>-437960.37878623023</v>
      </c>
      <c r="AE28" s="212">
        <f t="shared" si="19"/>
        <v>42212.645415517669</v>
      </c>
      <c r="AF28" s="212">
        <f t="shared" ref="AF28" si="20">SUM(AF18:AF27)</f>
        <v>-694457.43563801108</v>
      </c>
      <c r="AG28" s="212">
        <f t="shared" ref="AG28" si="21">SUM(AG18:AG27)</f>
        <v>59635.657195117339</v>
      </c>
      <c r="AH28" s="305">
        <f t="shared" si="19"/>
        <v>-3303749.8459507311</v>
      </c>
      <c r="AJ28" s="267">
        <f t="shared" ref="AJ28" si="22">SUM(AJ18:AJ27)</f>
        <v>144848201.28390199</v>
      </c>
    </row>
    <row r="29" spans="1:36">
      <c r="A29" s="209" t="s">
        <v>207</v>
      </c>
      <c r="B29" s="266">
        <v>0</v>
      </c>
      <c r="C29" s="211"/>
      <c r="D29" s="211">
        <v>0</v>
      </c>
      <c r="E29" s="211"/>
      <c r="F29" s="266">
        <v>0</v>
      </c>
      <c r="G29" s="211"/>
      <c r="H29" s="211">
        <v>0</v>
      </c>
      <c r="I29" s="211"/>
      <c r="J29" s="266">
        <v>0</v>
      </c>
      <c r="K29" s="211"/>
      <c r="L29" s="255">
        <v>0</v>
      </c>
      <c r="M29" s="211">
        <v>0</v>
      </c>
      <c r="N29" s="211">
        <v>0</v>
      </c>
      <c r="O29" s="315">
        <v>0</v>
      </c>
      <c r="P29" s="247"/>
      <c r="Q29" s="255">
        <v>0</v>
      </c>
      <c r="R29" s="211">
        <v>0</v>
      </c>
      <c r="S29" s="211">
        <v>0</v>
      </c>
      <c r="T29" s="211">
        <v>0</v>
      </c>
      <c r="U29" s="211">
        <v>0</v>
      </c>
      <c r="V29" s="211">
        <v>0</v>
      </c>
      <c r="W29" s="211">
        <v>0</v>
      </c>
      <c r="X29" s="211">
        <v>0</v>
      </c>
      <c r="Y29" s="211">
        <v>0</v>
      </c>
      <c r="Z29" s="211">
        <v>0</v>
      </c>
      <c r="AA29" s="211">
        <v>0</v>
      </c>
      <c r="AB29" s="211">
        <v>0</v>
      </c>
      <c r="AC29" s="211">
        <v>0</v>
      </c>
      <c r="AD29" s="211">
        <v>0</v>
      </c>
      <c r="AE29" s="211">
        <v>0</v>
      </c>
      <c r="AF29" s="211">
        <v>0</v>
      </c>
      <c r="AG29" s="211">
        <v>0</v>
      </c>
      <c r="AH29" s="304">
        <f t="shared" ref="AH29:AH38" si="23">SUM(Q29:AG29)</f>
        <v>0</v>
      </c>
      <c r="AJ29" s="266">
        <f t="shared" ref="AJ29:AJ36" si="24">B29+AH29</f>
        <v>0</v>
      </c>
    </row>
    <row r="30" spans="1:36">
      <c r="A30" s="209" t="s">
        <v>208</v>
      </c>
      <c r="B30" s="266">
        <v>0</v>
      </c>
      <c r="C30" s="211"/>
      <c r="D30" s="211">
        <v>0</v>
      </c>
      <c r="E30" s="211"/>
      <c r="F30" s="266">
        <v>0</v>
      </c>
      <c r="G30" s="211"/>
      <c r="H30" s="211">
        <v>0</v>
      </c>
      <c r="I30" s="211"/>
      <c r="J30" s="266">
        <v>0</v>
      </c>
      <c r="K30" s="211"/>
      <c r="L30" s="255">
        <v>0</v>
      </c>
      <c r="M30" s="211">
        <v>0</v>
      </c>
      <c r="N30" s="211">
        <v>0</v>
      </c>
      <c r="O30" s="315">
        <v>0</v>
      </c>
      <c r="P30" s="247"/>
      <c r="Q30" s="255">
        <v>0</v>
      </c>
      <c r="R30" s="211">
        <v>0</v>
      </c>
      <c r="S30" s="211">
        <v>0</v>
      </c>
      <c r="T30" s="211">
        <v>0</v>
      </c>
      <c r="U30" s="211">
        <v>0</v>
      </c>
      <c r="V30" s="211">
        <v>0</v>
      </c>
      <c r="W30" s="211">
        <v>0</v>
      </c>
      <c r="X30" s="211">
        <v>0</v>
      </c>
      <c r="Y30" s="211">
        <v>0</v>
      </c>
      <c r="Z30" s="211">
        <v>0</v>
      </c>
      <c r="AA30" s="211">
        <v>0</v>
      </c>
      <c r="AB30" s="211">
        <v>0</v>
      </c>
      <c r="AC30" s="211">
        <v>0</v>
      </c>
      <c r="AD30" s="211">
        <v>0</v>
      </c>
      <c r="AE30" s="211">
        <v>0</v>
      </c>
      <c r="AF30" s="211">
        <v>0</v>
      </c>
      <c r="AG30" s="211">
        <v>0</v>
      </c>
      <c r="AH30" s="304">
        <f t="shared" si="23"/>
        <v>0</v>
      </c>
      <c r="AJ30" s="266">
        <f t="shared" si="24"/>
        <v>0</v>
      </c>
    </row>
    <row r="31" spans="1:36">
      <c r="A31" s="209" t="s">
        <v>209</v>
      </c>
      <c r="B31" s="266">
        <v>0</v>
      </c>
      <c r="C31" s="211"/>
      <c r="D31" s="211">
        <v>0</v>
      </c>
      <c r="E31" s="211"/>
      <c r="F31" s="266">
        <v>0</v>
      </c>
      <c r="G31" s="211"/>
      <c r="H31" s="211">
        <v>0</v>
      </c>
      <c r="I31" s="211"/>
      <c r="J31" s="266">
        <v>0</v>
      </c>
      <c r="K31" s="211"/>
      <c r="L31" s="255">
        <v>0</v>
      </c>
      <c r="M31" s="211">
        <v>0</v>
      </c>
      <c r="N31" s="211">
        <v>0</v>
      </c>
      <c r="O31" s="315">
        <v>0</v>
      </c>
      <c r="P31" s="247"/>
      <c r="Q31" s="255">
        <v>0</v>
      </c>
      <c r="R31" s="211">
        <v>0</v>
      </c>
      <c r="S31" s="211">
        <v>0</v>
      </c>
      <c r="T31" s="211">
        <v>0</v>
      </c>
      <c r="U31" s="211">
        <v>0</v>
      </c>
      <c r="V31" s="211">
        <v>0</v>
      </c>
      <c r="W31" s="211">
        <v>0</v>
      </c>
      <c r="X31" s="211">
        <v>0</v>
      </c>
      <c r="Y31" s="211">
        <v>0</v>
      </c>
      <c r="Z31" s="211">
        <v>0</v>
      </c>
      <c r="AA31" s="211">
        <v>0</v>
      </c>
      <c r="AB31" s="211">
        <v>0</v>
      </c>
      <c r="AC31" s="211">
        <v>0</v>
      </c>
      <c r="AD31" s="211">
        <v>0</v>
      </c>
      <c r="AE31" s="211">
        <v>0</v>
      </c>
      <c r="AF31" s="211">
        <v>0</v>
      </c>
      <c r="AG31" s="211">
        <v>0</v>
      </c>
      <c r="AH31" s="304">
        <f t="shared" si="23"/>
        <v>0</v>
      </c>
      <c r="AJ31" s="266">
        <f t="shared" si="24"/>
        <v>0</v>
      </c>
    </row>
    <row r="32" spans="1:36">
      <c r="A32" s="209" t="s">
        <v>210</v>
      </c>
      <c r="B32" s="265">
        <f>B86</f>
        <v>-48725146.596948542</v>
      </c>
      <c r="C32" s="210"/>
      <c r="D32" s="210">
        <f>D86</f>
        <v>1726633.4491564641</v>
      </c>
      <c r="E32" s="210"/>
      <c r="F32" s="265">
        <f>F86</f>
        <v>-46998513.147792071</v>
      </c>
      <c r="G32" s="210"/>
      <c r="H32" s="210">
        <f>H86</f>
        <v>4758420.802080459</v>
      </c>
      <c r="I32" s="210"/>
      <c r="J32" s="265">
        <f>J86</f>
        <v>-42240092.345711619</v>
      </c>
      <c r="K32" s="210"/>
      <c r="L32" s="254">
        <f t="shared" ref="L32:N32" si="25">L86</f>
        <v>-3745153.0945334467</v>
      </c>
      <c r="M32" s="210">
        <f t="shared" si="25"/>
        <v>-105509.19183144374</v>
      </c>
      <c r="N32" s="210">
        <f t="shared" si="25"/>
        <v>84259.576021911096</v>
      </c>
      <c r="O32" s="314">
        <f t="shared" ref="O32" si="26">O86</f>
        <v>-46006495.0560546</v>
      </c>
      <c r="P32" s="246"/>
      <c r="Q32" s="254">
        <f>Q86</f>
        <v>140412.65024274873</v>
      </c>
      <c r="R32" s="210">
        <f t="shared" ref="R32:AE32" si="27">R86</f>
        <v>-82838.297408845174</v>
      </c>
      <c r="S32" s="210">
        <f t="shared" si="27"/>
        <v>115234.6405070709</v>
      </c>
      <c r="T32" s="210">
        <f t="shared" si="27"/>
        <v>-160398.77047045965</v>
      </c>
      <c r="U32" s="210">
        <f t="shared" si="27"/>
        <v>4218.6554842063524</v>
      </c>
      <c r="V32" s="210">
        <f t="shared" si="27"/>
        <v>-7255.7640277494684</v>
      </c>
      <c r="W32" s="210">
        <f t="shared" si="27"/>
        <v>-4209.7604852752147</v>
      </c>
      <c r="X32" s="210">
        <f t="shared" si="27"/>
        <v>377294.96525321656</v>
      </c>
      <c r="Y32" s="210">
        <f t="shared" si="27"/>
        <v>-5868.7409850600789</v>
      </c>
      <c r="Z32" s="210">
        <f t="shared" si="27"/>
        <v>-44778.728970215285</v>
      </c>
      <c r="AA32" s="210">
        <f t="shared" si="27"/>
        <v>-23757.8146064385</v>
      </c>
      <c r="AB32" s="210">
        <f t="shared" si="27"/>
        <v>8361.7692666190269</v>
      </c>
      <c r="AC32" s="210">
        <f t="shared" si="27"/>
        <v>-15071.72289793213</v>
      </c>
      <c r="AD32" s="210">
        <f t="shared" si="27"/>
        <v>153286.13257518056</v>
      </c>
      <c r="AE32" s="210">
        <f t="shared" si="27"/>
        <v>-14774.425895431183</v>
      </c>
      <c r="AF32" s="210">
        <f t="shared" ref="AF32" si="28">AF86</f>
        <v>350016.72423295892</v>
      </c>
      <c r="AG32" s="210">
        <f t="shared" ref="AG32" si="29">AG86</f>
        <v>25730.937017612101</v>
      </c>
      <c r="AH32" s="304">
        <f t="shared" si="23"/>
        <v>815602.44883220643</v>
      </c>
      <c r="AJ32" s="266">
        <f>O32+AH32</f>
        <v>-45190892.607222393</v>
      </c>
    </row>
    <row r="33" spans="1:36">
      <c r="A33" s="209" t="s">
        <v>211</v>
      </c>
      <c r="B33" s="265">
        <v>0</v>
      </c>
      <c r="C33" s="210"/>
      <c r="D33" s="210">
        <v>0</v>
      </c>
      <c r="E33" s="210"/>
      <c r="F33" s="265">
        <v>0</v>
      </c>
      <c r="G33" s="210"/>
      <c r="H33" s="210">
        <v>0</v>
      </c>
      <c r="I33" s="210"/>
      <c r="J33" s="265">
        <v>0</v>
      </c>
      <c r="K33" s="210"/>
      <c r="L33" s="254">
        <v>0</v>
      </c>
      <c r="M33" s="210">
        <v>0</v>
      </c>
      <c r="N33" s="210">
        <v>0</v>
      </c>
      <c r="O33" s="314">
        <v>0</v>
      </c>
      <c r="P33" s="246"/>
      <c r="Q33" s="254">
        <v>0</v>
      </c>
      <c r="R33" s="210">
        <v>0</v>
      </c>
      <c r="S33" s="210">
        <v>0</v>
      </c>
      <c r="T33" s="210">
        <v>0</v>
      </c>
      <c r="U33" s="210">
        <v>0</v>
      </c>
      <c r="V33" s="210">
        <v>0</v>
      </c>
      <c r="W33" s="210">
        <v>0</v>
      </c>
      <c r="X33" s="210">
        <v>0</v>
      </c>
      <c r="Y33" s="210">
        <v>0</v>
      </c>
      <c r="Z33" s="210">
        <v>0</v>
      </c>
      <c r="AA33" s="210">
        <v>0</v>
      </c>
      <c r="AB33" s="210">
        <v>0</v>
      </c>
      <c r="AC33" s="210">
        <v>0</v>
      </c>
      <c r="AD33" s="210">
        <v>0</v>
      </c>
      <c r="AE33" s="210">
        <v>0</v>
      </c>
      <c r="AF33" s="210">
        <v>0</v>
      </c>
      <c r="AG33" s="210">
        <v>0</v>
      </c>
      <c r="AH33" s="304">
        <f t="shared" si="23"/>
        <v>0</v>
      </c>
      <c r="AJ33" s="265">
        <f t="shared" si="24"/>
        <v>0</v>
      </c>
    </row>
    <row r="34" spans="1:36">
      <c r="A34" s="209" t="s">
        <v>212</v>
      </c>
      <c r="B34" s="266">
        <v>0</v>
      </c>
      <c r="C34" s="211"/>
      <c r="D34" s="211">
        <v>0</v>
      </c>
      <c r="E34" s="211"/>
      <c r="F34" s="266">
        <v>0</v>
      </c>
      <c r="G34" s="211"/>
      <c r="H34" s="211">
        <v>0</v>
      </c>
      <c r="I34" s="211"/>
      <c r="J34" s="266">
        <v>0</v>
      </c>
      <c r="K34" s="211"/>
      <c r="L34" s="255">
        <v>0</v>
      </c>
      <c r="M34" s="211">
        <v>0</v>
      </c>
      <c r="N34" s="211">
        <v>0</v>
      </c>
      <c r="O34" s="315">
        <v>0</v>
      </c>
      <c r="P34" s="247"/>
      <c r="Q34" s="255">
        <v>0</v>
      </c>
      <c r="R34" s="211">
        <v>0</v>
      </c>
      <c r="S34" s="211">
        <v>0</v>
      </c>
      <c r="T34" s="211">
        <v>0</v>
      </c>
      <c r="U34" s="211">
        <v>0</v>
      </c>
      <c r="V34" s="211">
        <v>0</v>
      </c>
      <c r="W34" s="211">
        <v>0</v>
      </c>
      <c r="X34" s="211">
        <v>0</v>
      </c>
      <c r="Y34" s="211">
        <v>0</v>
      </c>
      <c r="Z34" s="211">
        <v>0</v>
      </c>
      <c r="AA34" s="211">
        <v>0</v>
      </c>
      <c r="AB34" s="211">
        <v>0</v>
      </c>
      <c r="AC34" s="211">
        <v>0</v>
      </c>
      <c r="AD34" s="211">
        <v>0</v>
      </c>
      <c r="AE34" s="211">
        <v>0</v>
      </c>
      <c r="AF34" s="211">
        <v>0</v>
      </c>
      <c r="AG34" s="211">
        <v>0</v>
      </c>
      <c r="AH34" s="304">
        <f t="shared" si="23"/>
        <v>0</v>
      </c>
      <c r="AJ34" s="266">
        <f t="shared" si="24"/>
        <v>0</v>
      </c>
    </row>
    <row r="35" spans="1:36">
      <c r="A35" s="209" t="s">
        <v>213</v>
      </c>
      <c r="B35" s="266">
        <v>0</v>
      </c>
      <c r="C35" s="211"/>
      <c r="D35" s="211">
        <v>0</v>
      </c>
      <c r="E35" s="211"/>
      <c r="F35" s="266">
        <v>0</v>
      </c>
      <c r="G35" s="211"/>
      <c r="H35" s="211">
        <v>0</v>
      </c>
      <c r="I35" s="211"/>
      <c r="J35" s="266">
        <v>0</v>
      </c>
      <c r="K35" s="211"/>
      <c r="L35" s="255">
        <v>0</v>
      </c>
      <c r="M35" s="211">
        <v>0</v>
      </c>
      <c r="N35" s="211">
        <v>0</v>
      </c>
      <c r="O35" s="315">
        <v>0</v>
      </c>
      <c r="P35" s="247"/>
      <c r="Q35" s="255">
        <v>0</v>
      </c>
      <c r="R35" s="211">
        <v>0</v>
      </c>
      <c r="S35" s="211">
        <v>0</v>
      </c>
      <c r="T35" s="211">
        <v>0</v>
      </c>
      <c r="U35" s="211">
        <v>0</v>
      </c>
      <c r="V35" s="211">
        <v>0</v>
      </c>
      <c r="W35" s="211">
        <v>0</v>
      </c>
      <c r="X35" s="211">
        <v>0</v>
      </c>
      <c r="Y35" s="211">
        <v>0</v>
      </c>
      <c r="Z35" s="211">
        <v>0</v>
      </c>
      <c r="AA35" s="211">
        <v>0</v>
      </c>
      <c r="AB35" s="211">
        <v>0</v>
      </c>
      <c r="AC35" s="211">
        <v>0</v>
      </c>
      <c r="AD35" s="211">
        <v>0</v>
      </c>
      <c r="AE35" s="211">
        <v>0</v>
      </c>
      <c r="AF35" s="211">
        <v>0</v>
      </c>
      <c r="AG35" s="211">
        <v>0</v>
      </c>
      <c r="AH35" s="304">
        <f t="shared" si="23"/>
        <v>0</v>
      </c>
      <c r="AJ35" s="266">
        <f t="shared" si="24"/>
        <v>0</v>
      </c>
    </row>
    <row r="36" spans="1:36">
      <c r="A36" s="209" t="s">
        <v>214</v>
      </c>
      <c r="B36" s="266">
        <v>0</v>
      </c>
      <c r="C36" s="211"/>
      <c r="D36" s="211">
        <v>0</v>
      </c>
      <c r="E36" s="211"/>
      <c r="F36" s="266">
        <v>0</v>
      </c>
      <c r="G36" s="211"/>
      <c r="H36" s="211">
        <v>0</v>
      </c>
      <c r="I36" s="211"/>
      <c r="J36" s="266">
        <v>0</v>
      </c>
      <c r="K36" s="211"/>
      <c r="L36" s="255">
        <v>0</v>
      </c>
      <c r="M36" s="211">
        <v>0</v>
      </c>
      <c r="N36" s="211">
        <v>0</v>
      </c>
      <c r="O36" s="315">
        <v>0</v>
      </c>
      <c r="P36" s="247"/>
      <c r="Q36" s="255">
        <v>0</v>
      </c>
      <c r="R36" s="211">
        <v>0</v>
      </c>
      <c r="S36" s="211">
        <v>0</v>
      </c>
      <c r="T36" s="211">
        <v>0</v>
      </c>
      <c r="U36" s="211">
        <v>0</v>
      </c>
      <c r="V36" s="211">
        <v>0</v>
      </c>
      <c r="W36" s="211">
        <v>0</v>
      </c>
      <c r="X36" s="211">
        <v>0</v>
      </c>
      <c r="Y36" s="211">
        <v>0</v>
      </c>
      <c r="Z36" s="211">
        <v>0</v>
      </c>
      <c r="AA36" s="211">
        <v>0</v>
      </c>
      <c r="AB36" s="211">
        <v>0</v>
      </c>
      <c r="AC36" s="211">
        <v>0</v>
      </c>
      <c r="AD36" s="211">
        <v>0</v>
      </c>
      <c r="AE36" s="211">
        <v>0</v>
      </c>
      <c r="AF36" s="211">
        <v>0</v>
      </c>
      <c r="AG36" s="211">
        <v>0</v>
      </c>
      <c r="AH36" s="304">
        <f t="shared" si="23"/>
        <v>0</v>
      </c>
      <c r="AJ36" s="266">
        <f t="shared" si="24"/>
        <v>0</v>
      </c>
    </row>
    <row r="37" spans="1:36">
      <c r="A37" s="209" t="s">
        <v>215</v>
      </c>
      <c r="B37" s="264">
        <f t="shared" ref="B37" si="30">SUM(B28:B36)</f>
        <v>110773907.53621152</v>
      </c>
      <c r="C37" s="208"/>
      <c r="D37" s="208">
        <f t="shared" ref="D37:F37" si="31">SUM(D28:D36)</f>
        <v>26041947.737322047</v>
      </c>
      <c r="E37" s="208"/>
      <c r="F37" s="264">
        <f t="shared" si="31"/>
        <v>136815855.27353355</v>
      </c>
      <c r="G37" s="208"/>
      <c r="H37" s="208">
        <f t="shared" ref="H37" si="32">SUM(H28:H36)</f>
        <v>-31856131.565024137</v>
      </c>
      <c r="I37" s="208"/>
      <c r="J37" s="264">
        <f t="shared" ref="J37:N37" si="33">SUM(J28:J36)</f>
        <v>104959723.70850942</v>
      </c>
      <c r="K37" s="208"/>
      <c r="L37" s="253">
        <f t="shared" si="33"/>
        <v>7404764.26190616</v>
      </c>
      <c r="M37" s="208">
        <f t="shared" si="33"/>
        <v>-10207298.661163617</v>
      </c>
      <c r="N37" s="208">
        <f t="shared" si="33"/>
        <v>-11733.23545385398</v>
      </c>
      <c r="O37" s="313">
        <f t="shared" ref="O37" si="34">SUM(O28:O36)</f>
        <v>102145456.07379812</v>
      </c>
      <c r="P37" s="227"/>
      <c r="Q37" s="253">
        <f t="shared" ref="Q37:AE37" si="35">SUM(Q28:Q36)</f>
        <v>-191302.79052411631</v>
      </c>
      <c r="R37" s="208">
        <f t="shared" si="35"/>
        <v>120784.9108952594</v>
      </c>
      <c r="S37" s="208">
        <f t="shared" si="35"/>
        <v>-210429.00016611602</v>
      </c>
      <c r="T37" s="208">
        <f t="shared" si="35"/>
        <v>264615.86538839492</v>
      </c>
      <c r="U37" s="208">
        <f t="shared" si="35"/>
        <v>-7834.6458992403695</v>
      </c>
      <c r="V37" s="208">
        <f t="shared" si="35"/>
        <v>6312.063536984524</v>
      </c>
      <c r="W37" s="208">
        <f t="shared" si="35"/>
        <v>7818.1266155111125</v>
      </c>
      <c r="X37" s="208">
        <f t="shared" si="35"/>
        <v>-735661.08941161574</v>
      </c>
      <c r="Y37" s="208">
        <f t="shared" si="35"/>
        <v>15260.219659519822</v>
      </c>
      <c r="Z37" s="208">
        <f t="shared" si="35"/>
        <v>83160.496658971242</v>
      </c>
      <c r="AA37" s="208">
        <f t="shared" si="35"/>
        <v>44121.6556976715</v>
      </c>
      <c r="AB37" s="208">
        <f t="shared" si="35"/>
        <v>-15529.000066578195</v>
      </c>
      <c r="AC37" s="208">
        <f t="shared" si="35"/>
        <v>-1353154.0656198852</v>
      </c>
      <c r="AD37" s="208">
        <f t="shared" si="35"/>
        <v>-284674.24621104967</v>
      </c>
      <c r="AE37" s="208">
        <f t="shared" si="35"/>
        <v>27438.219520086488</v>
      </c>
      <c r="AF37" s="208">
        <f t="shared" ref="AF37" si="36">SUM(AF28:AF36)</f>
        <v>-344440.71140505216</v>
      </c>
      <c r="AG37" s="208">
        <f t="shared" ref="AG37" si="37">SUM(AG28:AG36)</f>
        <v>85366.59421272944</v>
      </c>
      <c r="AH37" s="303">
        <f t="shared" si="23"/>
        <v>-2488147.3971185256</v>
      </c>
      <c r="AJ37" s="266">
        <f>O37+AH37</f>
        <v>99657308.676679596</v>
      </c>
    </row>
    <row r="38" spans="1:36">
      <c r="A38" s="209"/>
      <c r="B38" s="264"/>
      <c r="C38" s="208"/>
      <c r="D38" s="208"/>
      <c r="E38" s="208"/>
      <c r="F38" s="264"/>
      <c r="G38" s="208"/>
      <c r="H38" s="208"/>
      <c r="I38" s="208"/>
      <c r="J38" s="264"/>
      <c r="K38" s="208"/>
      <c r="L38" s="253"/>
      <c r="M38" s="208"/>
      <c r="N38" s="208"/>
      <c r="O38" s="313"/>
      <c r="P38" s="227"/>
      <c r="Q38" s="253"/>
      <c r="R38" s="208"/>
      <c r="S38" s="208"/>
      <c r="T38" s="208"/>
      <c r="U38" s="208"/>
      <c r="V38" s="208"/>
      <c r="W38" s="208"/>
      <c r="X38" s="208"/>
      <c r="Y38" s="208"/>
      <c r="Z38" s="208"/>
      <c r="AA38" s="208"/>
      <c r="AB38" s="208"/>
      <c r="AC38" s="208"/>
      <c r="AD38" s="208"/>
      <c r="AE38" s="208"/>
      <c r="AF38" s="208"/>
      <c r="AG38" s="208"/>
      <c r="AH38" s="303">
        <f t="shared" si="23"/>
        <v>0</v>
      </c>
      <c r="AJ38" s="264"/>
    </row>
    <row r="39" spans="1:36">
      <c r="A39" s="209" t="s">
        <v>216</v>
      </c>
      <c r="B39" s="267">
        <f t="shared" ref="B39" si="38">B15-B37</f>
        <v>-90489557.965761602</v>
      </c>
      <c r="C39" s="208"/>
      <c r="D39" s="212">
        <f t="shared" ref="D39:F39" si="39">D15-D37</f>
        <v>3206604.9770048633</v>
      </c>
      <c r="E39" s="208"/>
      <c r="F39" s="267">
        <f t="shared" si="39"/>
        <v>-87282952.988756716</v>
      </c>
      <c r="G39" s="208"/>
      <c r="H39" s="212">
        <f t="shared" ref="H39" si="40">H15-H37</f>
        <v>8837067.2038637102</v>
      </c>
      <c r="I39" s="208"/>
      <c r="J39" s="267">
        <f t="shared" ref="J39:N39" si="41">J15-J37</f>
        <v>-78445885.784893006</v>
      </c>
      <c r="K39" s="208"/>
      <c r="L39" s="256">
        <f t="shared" si="41"/>
        <v>-6955284.3184192581</v>
      </c>
      <c r="M39" s="212">
        <f t="shared" si="41"/>
        <v>-195945.64197268151</v>
      </c>
      <c r="N39" s="212">
        <f t="shared" si="41"/>
        <v>156482.06975497777</v>
      </c>
      <c r="O39" s="324">
        <f t="shared" ref="O39" si="42">O15-O37</f>
        <v>-85440633.675529987</v>
      </c>
      <c r="P39" s="227"/>
      <c r="Q39" s="256">
        <f t="shared" ref="Q39:AH39" si="43">Q15-Q37</f>
        <v>260766.35045081907</v>
      </c>
      <c r="R39" s="212">
        <f t="shared" si="43"/>
        <v>-153842.5523307125</v>
      </c>
      <c r="S39" s="212">
        <f t="shared" si="43"/>
        <v>214007.18951313171</v>
      </c>
      <c r="T39" s="212">
        <f t="shared" si="43"/>
        <v>-297883.43087371078</v>
      </c>
      <c r="U39" s="212">
        <f t="shared" si="43"/>
        <v>7834.6458992403695</v>
      </c>
      <c r="V39" s="212">
        <f t="shared" si="43"/>
        <v>-13474.990337249015</v>
      </c>
      <c r="W39" s="212">
        <f t="shared" si="43"/>
        <v>-7818.1266155111125</v>
      </c>
      <c r="X39" s="212">
        <f t="shared" si="43"/>
        <v>700690.64975597372</v>
      </c>
      <c r="Y39" s="212">
        <f t="shared" si="43"/>
        <v>-10899.090400825862</v>
      </c>
      <c r="Z39" s="212">
        <f t="shared" si="43"/>
        <v>-83160.496658971242</v>
      </c>
      <c r="AA39" s="212">
        <f t="shared" si="43"/>
        <v>-44121.6556976715</v>
      </c>
      <c r="AB39" s="212">
        <f t="shared" si="43"/>
        <v>15529.000066578195</v>
      </c>
      <c r="AC39" s="212">
        <f t="shared" si="43"/>
        <v>-27990.342524731066</v>
      </c>
      <c r="AD39" s="212">
        <f t="shared" si="43"/>
        <v>284674.24621104967</v>
      </c>
      <c r="AE39" s="212">
        <f t="shared" si="43"/>
        <v>-27438.219520086488</v>
      </c>
      <c r="AF39" s="212">
        <f t="shared" ref="AF39" si="44">AF15-AF37</f>
        <v>650031.05928978091</v>
      </c>
      <c r="AG39" s="212">
        <f t="shared" ref="AG39" si="45">AG15-AG37</f>
        <v>47786.025889851051</v>
      </c>
      <c r="AH39" s="305">
        <f t="shared" si="43"/>
        <v>1514690.2621169556</v>
      </c>
      <c r="AJ39" s="267">
        <f t="shared" ref="AJ39" si="46">AJ15-AJ37</f>
        <v>-83925943.413413033</v>
      </c>
    </row>
    <row r="40" spans="1:36">
      <c r="A40" s="209"/>
      <c r="B40" s="264"/>
      <c r="C40" s="208"/>
      <c r="D40" s="208"/>
      <c r="E40" s="208"/>
      <c r="F40" s="264"/>
      <c r="G40" s="208"/>
      <c r="H40" s="208"/>
      <c r="I40" s="208"/>
      <c r="J40" s="264"/>
      <c r="K40" s="208"/>
      <c r="L40" s="253"/>
      <c r="M40" s="208"/>
      <c r="N40" s="208"/>
      <c r="O40" s="313"/>
      <c r="P40" s="227"/>
      <c r="Q40" s="253"/>
      <c r="R40" s="208"/>
      <c r="S40" s="208"/>
      <c r="T40" s="208"/>
      <c r="U40" s="208"/>
      <c r="V40" s="208"/>
      <c r="W40" s="208"/>
      <c r="X40" s="208"/>
      <c r="Y40" s="208"/>
      <c r="Z40" s="208"/>
      <c r="AA40" s="208"/>
      <c r="AB40" s="208"/>
      <c r="AC40" s="208"/>
      <c r="AD40" s="208"/>
      <c r="AE40" s="208"/>
      <c r="AF40" s="208"/>
      <c r="AG40" s="208"/>
      <c r="AH40" s="303"/>
      <c r="AJ40" s="264"/>
    </row>
    <row r="41" spans="1:36">
      <c r="A41" s="209" t="s">
        <v>217</v>
      </c>
      <c r="B41" s="264"/>
      <c r="C41" s="208"/>
      <c r="D41" s="208"/>
      <c r="E41" s="208"/>
      <c r="F41" s="264"/>
      <c r="G41" s="208"/>
      <c r="H41" s="208"/>
      <c r="I41" s="208"/>
      <c r="J41" s="264"/>
      <c r="K41" s="208"/>
      <c r="L41" s="253"/>
      <c r="M41" s="208"/>
      <c r="N41" s="208"/>
      <c r="O41" s="313"/>
      <c r="P41" s="227"/>
      <c r="Q41" s="253"/>
      <c r="R41" s="208"/>
      <c r="S41" s="208"/>
      <c r="T41" s="208"/>
      <c r="U41" s="208"/>
      <c r="V41" s="208"/>
      <c r="W41" s="208"/>
      <c r="X41" s="208"/>
      <c r="Y41" s="208"/>
      <c r="Z41" s="208"/>
      <c r="AA41" s="208"/>
      <c r="AB41" s="208"/>
      <c r="AC41" s="208"/>
      <c r="AD41" s="208"/>
      <c r="AE41" s="208"/>
      <c r="AF41" s="208"/>
      <c r="AG41" s="208"/>
      <c r="AH41" s="303"/>
      <c r="AJ41" s="264"/>
    </row>
    <row r="42" spans="1:36">
      <c r="A42" s="209" t="s">
        <v>218</v>
      </c>
      <c r="B42" s="266">
        <v>0</v>
      </c>
      <c r="C42" s="211"/>
      <c r="D42" s="211">
        <v>0</v>
      </c>
      <c r="E42" s="211"/>
      <c r="F42" s="266">
        <v>0</v>
      </c>
      <c r="G42" s="211"/>
      <c r="H42" s="211">
        <v>0</v>
      </c>
      <c r="I42" s="211"/>
      <c r="J42" s="266">
        <v>0</v>
      </c>
      <c r="K42" s="211"/>
      <c r="L42" s="255">
        <v>0</v>
      </c>
      <c r="M42" s="211">
        <v>0</v>
      </c>
      <c r="N42" s="211">
        <v>0</v>
      </c>
      <c r="O42" s="315">
        <v>0</v>
      </c>
      <c r="P42" s="247"/>
      <c r="Q42" s="255">
        <v>0</v>
      </c>
      <c r="R42" s="211">
        <v>0</v>
      </c>
      <c r="S42" s="211">
        <v>0</v>
      </c>
      <c r="T42" s="211">
        <v>0</v>
      </c>
      <c r="U42" s="211">
        <v>0</v>
      </c>
      <c r="V42" s="211">
        <v>0</v>
      </c>
      <c r="W42" s="211">
        <v>0</v>
      </c>
      <c r="X42" s="211">
        <v>0</v>
      </c>
      <c r="Y42" s="211">
        <v>0</v>
      </c>
      <c r="Z42" s="211">
        <v>0</v>
      </c>
      <c r="AA42" s="211">
        <v>0</v>
      </c>
      <c r="AB42" s="211">
        <v>0</v>
      </c>
      <c r="AC42" s="211">
        <v>0</v>
      </c>
      <c r="AD42" s="211">
        <v>0</v>
      </c>
      <c r="AE42" s="211">
        <v>0</v>
      </c>
      <c r="AF42" s="211">
        <v>0</v>
      </c>
      <c r="AG42" s="211">
        <v>0</v>
      </c>
      <c r="AH42" s="304">
        <f t="shared" ref="AH42:AH52" si="47">SUM(Q42:AG42)</f>
        <v>0</v>
      </c>
      <c r="AJ42" s="266">
        <f t="shared" ref="AJ42:AJ52" si="48">B42+AH42</f>
        <v>0</v>
      </c>
    </row>
    <row r="43" spans="1:36">
      <c r="A43" s="209" t="s">
        <v>219</v>
      </c>
      <c r="B43" s="266">
        <v>0</v>
      </c>
      <c r="C43" s="211"/>
      <c r="D43" s="211">
        <v>0</v>
      </c>
      <c r="E43" s="211"/>
      <c r="F43" s="266">
        <v>0</v>
      </c>
      <c r="G43" s="211"/>
      <c r="H43" s="211">
        <v>0</v>
      </c>
      <c r="I43" s="211"/>
      <c r="J43" s="266">
        <v>0</v>
      </c>
      <c r="K43" s="211"/>
      <c r="L43" s="255">
        <v>0</v>
      </c>
      <c r="M43" s="211">
        <v>0</v>
      </c>
      <c r="N43" s="211">
        <v>0</v>
      </c>
      <c r="O43" s="315">
        <v>0</v>
      </c>
      <c r="P43" s="247"/>
      <c r="Q43" s="255">
        <v>0</v>
      </c>
      <c r="R43" s="211">
        <v>0</v>
      </c>
      <c r="S43" s="211">
        <v>0</v>
      </c>
      <c r="T43" s="211">
        <v>0</v>
      </c>
      <c r="U43" s="211">
        <v>0</v>
      </c>
      <c r="V43" s="211">
        <v>0</v>
      </c>
      <c r="W43" s="211">
        <v>0</v>
      </c>
      <c r="X43" s="211">
        <v>0</v>
      </c>
      <c r="Y43" s="211">
        <v>0</v>
      </c>
      <c r="Z43" s="211">
        <v>0</v>
      </c>
      <c r="AA43" s="211">
        <v>0</v>
      </c>
      <c r="AB43" s="211">
        <v>0</v>
      </c>
      <c r="AC43" s="211">
        <v>0</v>
      </c>
      <c r="AD43" s="211">
        <v>0</v>
      </c>
      <c r="AE43" s="211">
        <v>0</v>
      </c>
      <c r="AF43" s="211">
        <v>0</v>
      </c>
      <c r="AG43" s="211">
        <v>0</v>
      </c>
      <c r="AH43" s="304">
        <f t="shared" si="47"/>
        <v>0</v>
      </c>
      <c r="AJ43" s="266">
        <f t="shared" si="48"/>
        <v>0</v>
      </c>
    </row>
    <row r="44" spans="1:36">
      <c r="A44" s="209" t="s">
        <v>220</v>
      </c>
      <c r="B44" s="266">
        <v>0</v>
      </c>
      <c r="C44" s="211"/>
      <c r="D44" s="211">
        <v>0</v>
      </c>
      <c r="E44" s="211"/>
      <c r="F44" s="266">
        <v>0</v>
      </c>
      <c r="G44" s="211"/>
      <c r="H44" s="211">
        <v>0</v>
      </c>
      <c r="I44" s="211"/>
      <c r="J44" s="266">
        <v>0</v>
      </c>
      <c r="K44" s="211"/>
      <c r="L44" s="255">
        <v>0</v>
      </c>
      <c r="M44" s="211">
        <v>0</v>
      </c>
      <c r="N44" s="211">
        <v>0</v>
      </c>
      <c r="O44" s="315">
        <v>0</v>
      </c>
      <c r="P44" s="247"/>
      <c r="Q44" s="255">
        <v>0</v>
      </c>
      <c r="R44" s="211">
        <v>0</v>
      </c>
      <c r="S44" s="211">
        <v>0</v>
      </c>
      <c r="T44" s="211">
        <v>0</v>
      </c>
      <c r="U44" s="211">
        <v>0</v>
      </c>
      <c r="V44" s="211">
        <v>0</v>
      </c>
      <c r="W44" s="211">
        <v>0</v>
      </c>
      <c r="X44" s="211">
        <v>0</v>
      </c>
      <c r="Y44" s="211">
        <v>0</v>
      </c>
      <c r="Z44" s="211">
        <v>0</v>
      </c>
      <c r="AA44" s="211">
        <v>0</v>
      </c>
      <c r="AB44" s="211">
        <v>0</v>
      </c>
      <c r="AC44" s="211">
        <v>0</v>
      </c>
      <c r="AD44" s="211">
        <v>0</v>
      </c>
      <c r="AE44" s="211">
        <v>0</v>
      </c>
      <c r="AF44" s="211">
        <v>0</v>
      </c>
      <c r="AG44" s="211">
        <v>0</v>
      </c>
      <c r="AH44" s="304">
        <f t="shared" si="47"/>
        <v>0</v>
      </c>
      <c r="AJ44" s="266">
        <f t="shared" si="48"/>
        <v>0</v>
      </c>
    </row>
    <row r="45" spans="1:36">
      <c r="A45" s="209" t="s">
        <v>221</v>
      </c>
      <c r="B45" s="266">
        <v>0</v>
      </c>
      <c r="C45" s="211"/>
      <c r="D45" s="211">
        <v>0</v>
      </c>
      <c r="E45" s="211"/>
      <c r="F45" s="266">
        <v>0</v>
      </c>
      <c r="G45" s="211"/>
      <c r="H45" s="211">
        <v>0</v>
      </c>
      <c r="I45" s="211"/>
      <c r="J45" s="266">
        <v>0</v>
      </c>
      <c r="K45" s="211"/>
      <c r="L45" s="255">
        <v>0</v>
      </c>
      <c r="M45" s="211">
        <v>0</v>
      </c>
      <c r="N45" s="211">
        <v>0</v>
      </c>
      <c r="O45" s="315">
        <v>0</v>
      </c>
      <c r="P45" s="247"/>
      <c r="Q45" s="255">
        <v>0</v>
      </c>
      <c r="R45" s="211">
        <v>0</v>
      </c>
      <c r="S45" s="211">
        <v>0</v>
      </c>
      <c r="T45" s="211">
        <v>0</v>
      </c>
      <c r="U45" s="211">
        <v>0</v>
      </c>
      <c r="V45" s="211">
        <v>0</v>
      </c>
      <c r="W45" s="211">
        <v>0</v>
      </c>
      <c r="X45" s="211">
        <v>0</v>
      </c>
      <c r="Y45" s="211">
        <v>0</v>
      </c>
      <c r="Z45" s="211">
        <v>0</v>
      </c>
      <c r="AA45" s="211">
        <v>0</v>
      </c>
      <c r="AB45" s="211">
        <v>0</v>
      </c>
      <c r="AC45" s="211">
        <v>0</v>
      </c>
      <c r="AD45" s="211">
        <v>0</v>
      </c>
      <c r="AE45" s="211">
        <v>0</v>
      </c>
      <c r="AF45" s="211">
        <v>0</v>
      </c>
      <c r="AG45" s="211">
        <v>0</v>
      </c>
      <c r="AH45" s="304">
        <f t="shared" si="47"/>
        <v>0</v>
      </c>
      <c r="AJ45" s="266">
        <f t="shared" si="48"/>
        <v>0</v>
      </c>
    </row>
    <row r="46" spans="1:36">
      <c r="A46" s="209" t="s">
        <v>222</v>
      </c>
      <c r="B46" s="266">
        <v>0</v>
      </c>
      <c r="C46" s="211"/>
      <c r="D46" s="211">
        <v>0</v>
      </c>
      <c r="E46" s="211"/>
      <c r="F46" s="266">
        <v>0</v>
      </c>
      <c r="G46" s="211"/>
      <c r="H46" s="211">
        <v>0</v>
      </c>
      <c r="I46" s="211"/>
      <c r="J46" s="266">
        <v>0</v>
      </c>
      <c r="K46" s="211"/>
      <c r="L46" s="255">
        <v>0</v>
      </c>
      <c r="M46" s="211">
        <v>0</v>
      </c>
      <c r="N46" s="211">
        <v>0</v>
      </c>
      <c r="O46" s="315">
        <v>0</v>
      </c>
      <c r="P46" s="247"/>
      <c r="Q46" s="255">
        <v>0</v>
      </c>
      <c r="R46" s="211">
        <v>0</v>
      </c>
      <c r="S46" s="211">
        <v>0</v>
      </c>
      <c r="T46" s="211">
        <v>0</v>
      </c>
      <c r="U46" s="211">
        <v>0</v>
      </c>
      <c r="V46" s="211">
        <v>0</v>
      </c>
      <c r="W46" s="211">
        <v>0</v>
      </c>
      <c r="X46" s="211">
        <v>0</v>
      </c>
      <c r="Y46" s="211">
        <v>0</v>
      </c>
      <c r="Z46" s="211">
        <v>0</v>
      </c>
      <c r="AA46" s="211">
        <v>0</v>
      </c>
      <c r="AB46" s="211">
        <v>0</v>
      </c>
      <c r="AC46" s="211">
        <v>0</v>
      </c>
      <c r="AD46" s="211">
        <v>0</v>
      </c>
      <c r="AE46" s="211">
        <v>0</v>
      </c>
      <c r="AF46" s="211">
        <v>0</v>
      </c>
      <c r="AG46" s="211">
        <v>0</v>
      </c>
      <c r="AH46" s="304">
        <f t="shared" si="47"/>
        <v>0</v>
      </c>
      <c r="AJ46" s="266">
        <f t="shared" si="48"/>
        <v>0</v>
      </c>
    </row>
    <row r="47" spans="1:36">
      <c r="A47" s="209" t="s">
        <v>223</v>
      </c>
      <c r="B47" s="266">
        <v>0</v>
      </c>
      <c r="C47" s="211"/>
      <c r="D47" s="211">
        <v>0</v>
      </c>
      <c r="E47" s="211"/>
      <c r="F47" s="266">
        <v>0</v>
      </c>
      <c r="G47" s="211"/>
      <c r="H47" s="211">
        <v>0</v>
      </c>
      <c r="I47" s="211"/>
      <c r="J47" s="266">
        <v>0</v>
      </c>
      <c r="K47" s="211"/>
      <c r="L47" s="255">
        <v>0</v>
      </c>
      <c r="M47" s="211">
        <v>0</v>
      </c>
      <c r="N47" s="211">
        <v>0</v>
      </c>
      <c r="O47" s="315">
        <v>0</v>
      </c>
      <c r="P47" s="247"/>
      <c r="Q47" s="255">
        <v>0</v>
      </c>
      <c r="R47" s="211">
        <v>0</v>
      </c>
      <c r="S47" s="211">
        <v>0</v>
      </c>
      <c r="T47" s="211">
        <v>0</v>
      </c>
      <c r="U47" s="211">
        <v>0</v>
      </c>
      <c r="V47" s="211">
        <v>0</v>
      </c>
      <c r="W47" s="211">
        <v>0</v>
      </c>
      <c r="X47" s="211">
        <v>0</v>
      </c>
      <c r="Y47" s="211">
        <v>0</v>
      </c>
      <c r="Z47" s="211">
        <v>0</v>
      </c>
      <c r="AA47" s="211">
        <v>0</v>
      </c>
      <c r="AB47" s="211">
        <v>0</v>
      </c>
      <c r="AC47" s="211">
        <v>0</v>
      </c>
      <c r="AD47" s="211">
        <v>0</v>
      </c>
      <c r="AE47" s="211">
        <v>0</v>
      </c>
      <c r="AF47" s="211">
        <v>0</v>
      </c>
      <c r="AG47" s="211">
        <v>0</v>
      </c>
      <c r="AH47" s="304">
        <f t="shared" si="47"/>
        <v>0</v>
      </c>
      <c r="AJ47" s="266">
        <f t="shared" si="48"/>
        <v>0</v>
      </c>
    </row>
    <row r="48" spans="1:36">
      <c r="A48" s="209" t="s">
        <v>224</v>
      </c>
      <c r="B48" s="266">
        <v>0</v>
      </c>
      <c r="C48" s="211"/>
      <c r="D48" s="211">
        <v>0</v>
      </c>
      <c r="E48" s="211"/>
      <c r="F48" s="266">
        <v>0</v>
      </c>
      <c r="G48" s="211"/>
      <c r="H48" s="211">
        <v>0</v>
      </c>
      <c r="I48" s="211"/>
      <c r="J48" s="266">
        <v>0</v>
      </c>
      <c r="K48" s="211"/>
      <c r="L48" s="255">
        <v>0</v>
      </c>
      <c r="M48" s="211">
        <v>0</v>
      </c>
      <c r="N48" s="211">
        <v>0</v>
      </c>
      <c r="O48" s="315">
        <v>0</v>
      </c>
      <c r="P48" s="247"/>
      <c r="Q48" s="255">
        <v>0</v>
      </c>
      <c r="R48" s="211">
        <v>0</v>
      </c>
      <c r="S48" s="211">
        <v>0</v>
      </c>
      <c r="T48" s="211">
        <v>0</v>
      </c>
      <c r="U48" s="211">
        <v>0</v>
      </c>
      <c r="V48" s="211">
        <v>0</v>
      </c>
      <c r="W48" s="211">
        <v>0</v>
      </c>
      <c r="X48" s="211">
        <v>0</v>
      </c>
      <c r="Y48" s="211">
        <v>0</v>
      </c>
      <c r="Z48" s="211">
        <v>0</v>
      </c>
      <c r="AA48" s="211">
        <v>0</v>
      </c>
      <c r="AB48" s="211">
        <v>0</v>
      </c>
      <c r="AC48" s="211">
        <v>0</v>
      </c>
      <c r="AD48" s="211">
        <v>0</v>
      </c>
      <c r="AE48" s="211">
        <v>0</v>
      </c>
      <c r="AF48" s="211">
        <v>0</v>
      </c>
      <c r="AG48" s="211">
        <v>0</v>
      </c>
      <c r="AH48" s="304">
        <f t="shared" si="47"/>
        <v>0</v>
      </c>
      <c r="AJ48" s="266">
        <f t="shared" si="48"/>
        <v>0</v>
      </c>
    </row>
    <row r="49" spans="1:36">
      <c r="A49" s="209" t="s">
        <v>225</v>
      </c>
      <c r="B49" s="266">
        <v>0</v>
      </c>
      <c r="C49" s="211"/>
      <c r="D49" s="211">
        <v>0</v>
      </c>
      <c r="E49" s="211"/>
      <c r="F49" s="266">
        <v>0</v>
      </c>
      <c r="G49" s="211"/>
      <c r="H49" s="211">
        <v>0</v>
      </c>
      <c r="I49" s="211"/>
      <c r="J49" s="266">
        <v>0</v>
      </c>
      <c r="K49" s="211"/>
      <c r="L49" s="255">
        <v>0</v>
      </c>
      <c r="M49" s="211">
        <v>0</v>
      </c>
      <c r="N49" s="211">
        <v>0</v>
      </c>
      <c r="O49" s="315">
        <v>0</v>
      </c>
      <c r="P49" s="247"/>
      <c r="Q49" s="255">
        <v>0</v>
      </c>
      <c r="R49" s="211">
        <v>0</v>
      </c>
      <c r="S49" s="211">
        <v>0</v>
      </c>
      <c r="T49" s="211">
        <v>0</v>
      </c>
      <c r="U49" s="211">
        <v>0</v>
      </c>
      <c r="V49" s="211">
        <v>0</v>
      </c>
      <c r="W49" s="211">
        <v>0</v>
      </c>
      <c r="X49" s="211">
        <v>0</v>
      </c>
      <c r="Y49" s="211">
        <v>0</v>
      </c>
      <c r="Z49" s="211">
        <v>0</v>
      </c>
      <c r="AA49" s="211">
        <v>0</v>
      </c>
      <c r="AB49" s="211">
        <v>0</v>
      </c>
      <c r="AC49" s="211">
        <v>0</v>
      </c>
      <c r="AD49" s="211">
        <v>0</v>
      </c>
      <c r="AE49" s="211">
        <v>0</v>
      </c>
      <c r="AF49" s="211">
        <v>0</v>
      </c>
      <c r="AG49" s="211">
        <v>0</v>
      </c>
      <c r="AH49" s="304">
        <f t="shared" si="47"/>
        <v>0</v>
      </c>
      <c r="AJ49" s="266">
        <f t="shared" si="48"/>
        <v>0</v>
      </c>
    </row>
    <row r="50" spans="1:36">
      <c r="A50" s="209" t="s">
        <v>226</v>
      </c>
      <c r="B50" s="266">
        <v>0</v>
      </c>
      <c r="C50" s="211"/>
      <c r="D50" s="211">
        <v>0</v>
      </c>
      <c r="E50" s="211"/>
      <c r="F50" s="266">
        <v>0</v>
      </c>
      <c r="G50" s="211"/>
      <c r="H50" s="211">
        <v>0</v>
      </c>
      <c r="I50" s="211"/>
      <c r="J50" s="266">
        <v>0</v>
      </c>
      <c r="K50" s="211"/>
      <c r="L50" s="255">
        <v>0</v>
      </c>
      <c r="M50" s="211">
        <v>0</v>
      </c>
      <c r="N50" s="211">
        <v>0</v>
      </c>
      <c r="O50" s="315">
        <v>0</v>
      </c>
      <c r="P50" s="247"/>
      <c r="Q50" s="255">
        <v>0</v>
      </c>
      <c r="R50" s="211">
        <v>0</v>
      </c>
      <c r="S50" s="211">
        <v>0</v>
      </c>
      <c r="T50" s="211">
        <v>0</v>
      </c>
      <c r="U50" s="211">
        <v>0</v>
      </c>
      <c r="V50" s="211">
        <v>0</v>
      </c>
      <c r="W50" s="211">
        <v>0</v>
      </c>
      <c r="X50" s="211">
        <v>0</v>
      </c>
      <c r="Y50" s="211">
        <v>0</v>
      </c>
      <c r="Z50" s="211">
        <v>0</v>
      </c>
      <c r="AA50" s="211">
        <v>0</v>
      </c>
      <c r="AB50" s="211">
        <v>0</v>
      </c>
      <c r="AC50" s="211">
        <v>0</v>
      </c>
      <c r="AD50" s="211">
        <v>0</v>
      </c>
      <c r="AE50" s="211">
        <v>0</v>
      </c>
      <c r="AF50" s="211">
        <v>0</v>
      </c>
      <c r="AG50" s="211">
        <v>0</v>
      </c>
      <c r="AH50" s="304">
        <f t="shared" si="47"/>
        <v>0</v>
      </c>
      <c r="AJ50" s="266">
        <f t="shared" si="48"/>
        <v>0</v>
      </c>
    </row>
    <row r="51" spans="1:36">
      <c r="A51" s="209" t="s">
        <v>227</v>
      </c>
      <c r="B51" s="266">
        <v>0</v>
      </c>
      <c r="C51" s="211"/>
      <c r="D51" s="211">
        <v>0</v>
      </c>
      <c r="E51" s="211"/>
      <c r="F51" s="266">
        <v>0</v>
      </c>
      <c r="G51" s="211"/>
      <c r="H51" s="211">
        <v>0</v>
      </c>
      <c r="I51" s="211"/>
      <c r="J51" s="266">
        <v>0</v>
      </c>
      <c r="K51" s="211"/>
      <c r="L51" s="255">
        <v>0</v>
      </c>
      <c r="M51" s="211">
        <v>0</v>
      </c>
      <c r="N51" s="211">
        <v>0</v>
      </c>
      <c r="O51" s="315">
        <v>0</v>
      </c>
      <c r="P51" s="247"/>
      <c r="Q51" s="255">
        <v>0</v>
      </c>
      <c r="R51" s="211">
        <v>0</v>
      </c>
      <c r="S51" s="211">
        <v>0</v>
      </c>
      <c r="T51" s="211">
        <v>0</v>
      </c>
      <c r="U51" s="211">
        <v>0</v>
      </c>
      <c r="V51" s="211">
        <v>0</v>
      </c>
      <c r="W51" s="211">
        <v>0</v>
      </c>
      <c r="X51" s="211">
        <v>0</v>
      </c>
      <c r="Y51" s="211">
        <v>0</v>
      </c>
      <c r="Z51" s="211">
        <v>0</v>
      </c>
      <c r="AA51" s="211">
        <v>0</v>
      </c>
      <c r="AB51" s="211">
        <v>0</v>
      </c>
      <c r="AC51" s="211">
        <v>0</v>
      </c>
      <c r="AD51" s="211">
        <v>0</v>
      </c>
      <c r="AE51" s="211">
        <v>0</v>
      </c>
      <c r="AF51" s="211">
        <v>0</v>
      </c>
      <c r="AG51" s="211">
        <v>0</v>
      </c>
      <c r="AH51" s="304">
        <f t="shared" si="47"/>
        <v>0</v>
      </c>
      <c r="AJ51" s="266">
        <f t="shared" si="48"/>
        <v>0</v>
      </c>
    </row>
    <row r="52" spans="1:36">
      <c r="A52" s="209" t="s">
        <v>228</v>
      </c>
      <c r="B52" s="266">
        <v>0</v>
      </c>
      <c r="C52" s="211"/>
      <c r="D52" s="211">
        <v>0</v>
      </c>
      <c r="E52" s="211"/>
      <c r="F52" s="266">
        <v>0</v>
      </c>
      <c r="G52" s="211"/>
      <c r="H52" s="211">
        <v>0</v>
      </c>
      <c r="I52" s="211"/>
      <c r="J52" s="266">
        <v>0</v>
      </c>
      <c r="K52" s="211"/>
      <c r="L52" s="255">
        <v>0</v>
      </c>
      <c r="M52" s="211">
        <v>0</v>
      </c>
      <c r="N52" s="211">
        <v>0</v>
      </c>
      <c r="O52" s="315">
        <v>0</v>
      </c>
      <c r="P52" s="247"/>
      <c r="Q52" s="255">
        <v>0</v>
      </c>
      <c r="R52" s="211">
        <v>0</v>
      </c>
      <c r="S52" s="211">
        <v>0</v>
      </c>
      <c r="T52" s="211">
        <v>0</v>
      </c>
      <c r="U52" s="211">
        <v>0</v>
      </c>
      <c r="V52" s="211">
        <v>0</v>
      </c>
      <c r="W52" s="211">
        <v>0</v>
      </c>
      <c r="X52" s="211">
        <v>0</v>
      </c>
      <c r="Y52" s="211">
        <v>0</v>
      </c>
      <c r="Z52" s="211">
        <v>0</v>
      </c>
      <c r="AA52" s="211">
        <v>0</v>
      </c>
      <c r="AB52" s="211">
        <v>0</v>
      </c>
      <c r="AC52" s="211">
        <v>0</v>
      </c>
      <c r="AD52" s="211">
        <v>0</v>
      </c>
      <c r="AE52" s="211">
        <v>0</v>
      </c>
      <c r="AF52" s="211">
        <v>0</v>
      </c>
      <c r="AG52" s="211">
        <v>0</v>
      </c>
      <c r="AH52" s="304">
        <f t="shared" si="47"/>
        <v>0</v>
      </c>
      <c r="AJ52" s="266">
        <f t="shared" si="48"/>
        <v>0</v>
      </c>
    </row>
    <row r="53" spans="1:36">
      <c r="A53" s="209" t="s">
        <v>229</v>
      </c>
      <c r="B53" s="267">
        <f t="shared" ref="B53" si="49">SUM(B42:B52)</f>
        <v>0</v>
      </c>
      <c r="C53" s="208"/>
      <c r="D53" s="212">
        <f t="shared" ref="D53:F53" si="50">SUM(D42:D52)</f>
        <v>0</v>
      </c>
      <c r="E53" s="208"/>
      <c r="F53" s="267">
        <f t="shared" si="50"/>
        <v>0</v>
      </c>
      <c r="G53" s="208"/>
      <c r="H53" s="212">
        <f t="shared" ref="H53" si="51">SUM(H42:H52)</f>
        <v>0</v>
      </c>
      <c r="I53" s="208"/>
      <c r="J53" s="267">
        <f t="shared" ref="J53:N53" si="52">SUM(J42:J52)</f>
        <v>0</v>
      </c>
      <c r="K53" s="208"/>
      <c r="L53" s="256">
        <f t="shared" si="52"/>
        <v>0</v>
      </c>
      <c r="M53" s="212">
        <f t="shared" si="52"/>
        <v>0</v>
      </c>
      <c r="N53" s="212">
        <f t="shared" si="52"/>
        <v>0</v>
      </c>
      <c r="O53" s="324">
        <f t="shared" ref="O53" si="53">SUM(O42:O52)</f>
        <v>0</v>
      </c>
      <c r="P53" s="227"/>
      <c r="Q53" s="256">
        <f t="shared" ref="Q53:AH53" si="54">SUM(Q42:Q52)</f>
        <v>0</v>
      </c>
      <c r="R53" s="212">
        <f t="shared" si="54"/>
        <v>0</v>
      </c>
      <c r="S53" s="212">
        <f t="shared" si="54"/>
        <v>0</v>
      </c>
      <c r="T53" s="212">
        <f t="shared" si="54"/>
        <v>0</v>
      </c>
      <c r="U53" s="212">
        <f t="shared" si="54"/>
        <v>0</v>
      </c>
      <c r="V53" s="212">
        <f t="shared" si="54"/>
        <v>0</v>
      </c>
      <c r="W53" s="212">
        <f t="shared" si="54"/>
        <v>0</v>
      </c>
      <c r="X53" s="212">
        <f t="shared" si="54"/>
        <v>0</v>
      </c>
      <c r="Y53" s="212">
        <f t="shared" si="54"/>
        <v>0</v>
      </c>
      <c r="Z53" s="212">
        <f t="shared" si="54"/>
        <v>0</v>
      </c>
      <c r="AA53" s="212">
        <f t="shared" si="54"/>
        <v>0</v>
      </c>
      <c r="AB53" s="212">
        <f t="shared" si="54"/>
        <v>0</v>
      </c>
      <c r="AC53" s="212">
        <f t="shared" si="54"/>
        <v>0</v>
      </c>
      <c r="AD53" s="212">
        <f t="shared" si="54"/>
        <v>0</v>
      </c>
      <c r="AE53" s="212">
        <f t="shared" si="54"/>
        <v>0</v>
      </c>
      <c r="AF53" s="212">
        <f t="shared" ref="AF53" si="55">SUM(AF42:AF52)</f>
        <v>0</v>
      </c>
      <c r="AG53" s="212">
        <f t="shared" ref="AG53" si="56">SUM(AG42:AG52)</f>
        <v>0</v>
      </c>
      <c r="AH53" s="305">
        <f t="shared" si="54"/>
        <v>0</v>
      </c>
      <c r="AJ53" s="267">
        <f t="shared" ref="AJ53" si="57">SUM(AJ42:AJ52)</f>
        <v>0</v>
      </c>
    </row>
    <row r="54" spans="1:36">
      <c r="A54" s="209"/>
      <c r="B54" s="264"/>
      <c r="C54" s="208"/>
      <c r="D54" s="208"/>
      <c r="E54" s="208"/>
      <c r="F54" s="264"/>
      <c r="G54" s="208"/>
      <c r="H54" s="208"/>
      <c r="I54" s="208"/>
      <c r="J54" s="264"/>
      <c r="K54" s="208"/>
      <c r="L54" s="253"/>
      <c r="M54" s="208"/>
      <c r="N54" s="208"/>
      <c r="O54" s="313"/>
      <c r="P54" s="227"/>
      <c r="Q54" s="253"/>
      <c r="R54" s="208"/>
      <c r="S54" s="208"/>
      <c r="T54" s="208"/>
      <c r="U54" s="208"/>
      <c r="V54" s="208"/>
      <c r="W54" s="208"/>
      <c r="X54" s="208"/>
      <c r="Y54" s="208"/>
      <c r="Z54" s="208"/>
      <c r="AA54" s="208"/>
      <c r="AB54" s="208"/>
      <c r="AC54" s="208"/>
      <c r="AD54" s="208"/>
      <c r="AE54" s="208"/>
      <c r="AF54" s="208"/>
      <c r="AG54" s="208"/>
      <c r="AH54" s="303"/>
      <c r="AJ54" s="264"/>
    </row>
    <row r="55" spans="1:36">
      <c r="A55" s="209" t="s">
        <v>230</v>
      </c>
      <c r="B55" s="264"/>
      <c r="C55" s="208"/>
      <c r="D55" s="208"/>
      <c r="E55" s="208"/>
      <c r="F55" s="264"/>
      <c r="G55" s="208"/>
      <c r="H55" s="208"/>
      <c r="I55" s="208"/>
      <c r="J55" s="264"/>
      <c r="K55" s="208"/>
      <c r="L55" s="253"/>
      <c r="M55" s="208"/>
      <c r="N55" s="208"/>
      <c r="O55" s="313"/>
      <c r="P55" s="227"/>
      <c r="Q55" s="253"/>
      <c r="R55" s="208"/>
      <c r="S55" s="208"/>
      <c r="T55" s="208"/>
      <c r="U55" s="208"/>
      <c r="V55" s="208"/>
      <c r="W55" s="208"/>
      <c r="X55" s="208"/>
      <c r="Y55" s="208"/>
      <c r="Z55" s="208"/>
      <c r="AA55" s="208"/>
      <c r="AB55" s="208"/>
      <c r="AC55" s="208"/>
      <c r="AD55" s="208"/>
      <c r="AE55" s="208"/>
      <c r="AF55" s="208"/>
      <c r="AG55" s="208"/>
      <c r="AH55" s="303"/>
      <c r="AJ55" s="264"/>
    </row>
    <row r="56" spans="1:36">
      <c r="A56" s="209" t="s">
        <v>231</v>
      </c>
      <c r="B56" s="266">
        <v>0</v>
      </c>
      <c r="C56" s="211"/>
      <c r="D56" s="211">
        <v>0</v>
      </c>
      <c r="E56" s="211"/>
      <c r="F56" s="266">
        <v>0</v>
      </c>
      <c r="G56" s="211"/>
      <c r="H56" s="211">
        <v>0</v>
      </c>
      <c r="I56" s="211"/>
      <c r="J56" s="266">
        <v>0</v>
      </c>
      <c r="K56" s="211"/>
      <c r="L56" s="255">
        <v>0</v>
      </c>
      <c r="M56" s="211">
        <v>0</v>
      </c>
      <c r="N56" s="211">
        <v>0</v>
      </c>
      <c r="O56" s="315">
        <v>0</v>
      </c>
      <c r="P56" s="247"/>
      <c r="Q56" s="255">
        <v>0</v>
      </c>
      <c r="R56" s="211">
        <v>0</v>
      </c>
      <c r="S56" s="211">
        <v>0</v>
      </c>
      <c r="T56" s="211">
        <v>0</v>
      </c>
      <c r="U56" s="211">
        <v>0</v>
      </c>
      <c r="V56" s="211">
        <v>0</v>
      </c>
      <c r="W56" s="211">
        <v>0</v>
      </c>
      <c r="X56" s="211">
        <v>0</v>
      </c>
      <c r="Y56" s="211">
        <v>0</v>
      </c>
      <c r="Z56" s="211">
        <v>0</v>
      </c>
      <c r="AA56" s="211">
        <v>0</v>
      </c>
      <c r="AB56" s="211">
        <v>0</v>
      </c>
      <c r="AC56" s="211">
        <v>0</v>
      </c>
      <c r="AD56" s="211">
        <v>0</v>
      </c>
      <c r="AE56" s="211">
        <v>0</v>
      </c>
      <c r="AF56" s="211">
        <v>0</v>
      </c>
      <c r="AG56" s="211">
        <v>0</v>
      </c>
      <c r="AH56" s="304">
        <f t="shared" ref="AH56:AH63" si="58">SUM(Q56:AG56)</f>
        <v>0</v>
      </c>
      <c r="AJ56" s="266">
        <f t="shared" ref="AJ56:AJ63" si="59">B56+AH56</f>
        <v>0</v>
      </c>
    </row>
    <row r="57" spans="1:36">
      <c r="A57" s="209" t="s">
        <v>232</v>
      </c>
      <c r="B57" s="266">
        <v>0</v>
      </c>
      <c r="C57" s="211"/>
      <c r="D57" s="211">
        <v>0</v>
      </c>
      <c r="E57" s="211"/>
      <c r="F57" s="266">
        <v>0</v>
      </c>
      <c r="G57" s="211"/>
      <c r="H57" s="211">
        <v>0</v>
      </c>
      <c r="I57" s="211"/>
      <c r="J57" s="266">
        <v>0</v>
      </c>
      <c r="K57" s="211"/>
      <c r="L57" s="255">
        <v>0</v>
      </c>
      <c r="M57" s="211">
        <v>0</v>
      </c>
      <c r="N57" s="211">
        <v>0</v>
      </c>
      <c r="O57" s="315">
        <v>0</v>
      </c>
      <c r="P57" s="247"/>
      <c r="Q57" s="255">
        <v>0</v>
      </c>
      <c r="R57" s="211">
        <v>0</v>
      </c>
      <c r="S57" s="211">
        <v>0</v>
      </c>
      <c r="T57" s="211">
        <v>0</v>
      </c>
      <c r="U57" s="211">
        <v>0</v>
      </c>
      <c r="V57" s="211">
        <v>0</v>
      </c>
      <c r="W57" s="211">
        <v>0</v>
      </c>
      <c r="X57" s="211">
        <v>0</v>
      </c>
      <c r="Y57" s="211">
        <v>0</v>
      </c>
      <c r="Z57" s="211">
        <v>0</v>
      </c>
      <c r="AA57" s="211">
        <v>0</v>
      </c>
      <c r="AB57" s="211">
        <v>0</v>
      </c>
      <c r="AC57" s="211">
        <v>0</v>
      </c>
      <c r="AD57" s="211">
        <v>0</v>
      </c>
      <c r="AE57" s="211">
        <v>0</v>
      </c>
      <c r="AF57" s="211">
        <v>0</v>
      </c>
      <c r="AG57" s="211">
        <v>0</v>
      </c>
      <c r="AH57" s="304">
        <f t="shared" si="58"/>
        <v>0</v>
      </c>
      <c r="AJ57" s="266">
        <f t="shared" si="59"/>
        <v>0</v>
      </c>
    </row>
    <row r="58" spans="1:36">
      <c r="A58" s="209" t="s">
        <v>233</v>
      </c>
      <c r="B58" s="266">
        <v>0</v>
      </c>
      <c r="C58" s="211"/>
      <c r="D58" s="211">
        <v>0</v>
      </c>
      <c r="E58" s="211"/>
      <c r="F58" s="266">
        <v>0</v>
      </c>
      <c r="G58" s="211"/>
      <c r="H58" s="211">
        <v>0</v>
      </c>
      <c r="I58" s="211"/>
      <c r="J58" s="266">
        <v>0</v>
      </c>
      <c r="K58" s="211"/>
      <c r="L58" s="255">
        <v>0</v>
      </c>
      <c r="M58" s="211">
        <v>0</v>
      </c>
      <c r="N58" s="211">
        <v>0</v>
      </c>
      <c r="O58" s="315">
        <v>0</v>
      </c>
      <c r="P58" s="247"/>
      <c r="Q58" s="255">
        <v>0</v>
      </c>
      <c r="R58" s="211">
        <v>0</v>
      </c>
      <c r="S58" s="211">
        <v>0</v>
      </c>
      <c r="T58" s="211">
        <v>0</v>
      </c>
      <c r="U58" s="211">
        <v>0</v>
      </c>
      <c r="V58" s="211">
        <v>0</v>
      </c>
      <c r="W58" s="211">
        <v>0</v>
      </c>
      <c r="X58" s="211">
        <v>0</v>
      </c>
      <c r="Y58" s="211">
        <v>0</v>
      </c>
      <c r="Z58" s="211">
        <v>0</v>
      </c>
      <c r="AA58" s="211">
        <v>0</v>
      </c>
      <c r="AB58" s="211">
        <v>0</v>
      </c>
      <c r="AC58" s="211">
        <v>0</v>
      </c>
      <c r="AD58" s="211">
        <v>0</v>
      </c>
      <c r="AE58" s="211">
        <v>0</v>
      </c>
      <c r="AF58" s="211">
        <v>0</v>
      </c>
      <c r="AG58" s="211">
        <v>0</v>
      </c>
      <c r="AH58" s="304">
        <f t="shared" si="58"/>
        <v>0</v>
      </c>
      <c r="AJ58" s="266">
        <f t="shared" si="59"/>
        <v>0</v>
      </c>
    </row>
    <row r="59" spans="1:36">
      <c r="A59" s="209" t="s">
        <v>234</v>
      </c>
      <c r="B59" s="266">
        <v>0</v>
      </c>
      <c r="C59" s="211"/>
      <c r="D59" s="211">
        <v>0</v>
      </c>
      <c r="E59" s="211"/>
      <c r="F59" s="266">
        <v>0</v>
      </c>
      <c r="G59" s="211"/>
      <c r="H59" s="211">
        <v>0</v>
      </c>
      <c r="I59" s="211"/>
      <c r="J59" s="266">
        <v>0</v>
      </c>
      <c r="K59" s="211"/>
      <c r="L59" s="255">
        <v>0</v>
      </c>
      <c r="M59" s="211">
        <v>0</v>
      </c>
      <c r="N59" s="211">
        <v>0</v>
      </c>
      <c r="O59" s="315">
        <v>0</v>
      </c>
      <c r="P59" s="247"/>
      <c r="Q59" s="255">
        <v>0</v>
      </c>
      <c r="R59" s="211">
        <v>0</v>
      </c>
      <c r="S59" s="211">
        <v>0</v>
      </c>
      <c r="T59" s="211">
        <v>0</v>
      </c>
      <c r="U59" s="211">
        <v>0</v>
      </c>
      <c r="V59" s="211">
        <v>0</v>
      </c>
      <c r="W59" s="211">
        <v>0</v>
      </c>
      <c r="X59" s="211">
        <v>0</v>
      </c>
      <c r="Y59" s="211">
        <v>0</v>
      </c>
      <c r="Z59" s="211">
        <v>0</v>
      </c>
      <c r="AA59" s="211">
        <v>0</v>
      </c>
      <c r="AB59" s="211">
        <v>0</v>
      </c>
      <c r="AC59" s="211">
        <v>0</v>
      </c>
      <c r="AD59" s="211">
        <v>0</v>
      </c>
      <c r="AE59" s="211">
        <v>0</v>
      </c>
      <c r="AF59" s="211">
        <v>0</v>
      </c>
      <c r="AG59" s="211">
        <v>0</v>
      </c>
      <c r="AH59" s="304">
        <f t="shared" si="58"/>
        <v>0</v>
      </c>
      <c r="AJ59" s="266">
        <f t="shared" si="59"/>
        <v>0</v>
      </c>
    </row>
    <row r="60" spans="1:36">
      <c r="A60" s="209" t="s">
        <v>235</v>
      </c>
      <c r="B60" s="266">
        <v>0</v>
      </c>
      <c r="C60" s="211"/>
      <c r="D60" s="211">
        <v>0</v>
      </c>
      <c r="E60" s="211"/>
      <c r="F60" s="266">
        <v>0</v>
      </c>
      <c r="G60" s="211"/>
      <c r="H60" s="211">
        <v>0</v>
      </c>
      <c r="I60" s="211"/>
      <c r="J60" s="266">
        <v>0</v>
      </c>
      <c r="K60" s="211"/>
      <c r="L60" s="255">
        <v>0</v>
      </c>
      <c r="M60" s="211">
        <v>0</v>
      </c>
      <c r="N60" s="211">
        <v>0</v>
      </c>
      <c r="O60" s="315">
        <v>0</v>
      </c>
      <c r="P60" s="247"/>
      <c r="Q60" s="255">
        <v>0</v>
      </c>
      <c r="R60" s="211">
        <v>0</v>
      </c>
      <c r="S60" s="211">
        <v>0</v>
      </c>
      <c r="T60" s="211">
        <v>0</v>
      </c>
      <c r="U60" s="211">
        <v>0</v>
      </c>
      <c r="V60" s="211">
        <v>0</v>
      </c>
      <c r="W60" s="211">
        <v>0</v>
      </c>
      <c r="X60" s="211">
        <v>0</v>
      </c>
      <c r="Y60" s="211">
        <v>0</v>
      </c>
      <c r="Z60" s="211">
        <v>0</v>
      </c>
      <c r="AA60" s="211">
        <v>0</v>
      </c>
      <c r="AB60" s="211">
        <v>0</v>
      </c>
      <c r="AC60" s="211">
        <v>0</v>
      </c>
      <c r="AD60" s="211">
        <v>0</v>
      </c>
      <c r="AE60" s="211">
        <v>0</v>
      </c>
      <c r="AF60" s="211">
        <v>0</v>
      </c>
      <c r="AG60" s="211">
        <v>0</v>
      </c>
      <c r="AH60" s="304">
        <f t="shared" si="58"/>
        <v>0</v>
      </c>
      <c r="AJ60" s="266">
        <f t="shared" si="59"/>
        <v>0</v>
      </c>
    </row>
    <row r="61" spans="1:36">
      <c r="A61" s="209" t="s">
        <v>236</v>
      </c>
      <c r="B61" s="266">
        <v>0</v>
      </c>
      <c r="C61" s="211"/>
      <c r="D61" s="211">
        <v>0</v>
      </c>
      <c r="E61" s="211"/>
      <c r="F61" s="266">
        <v>0</v>
      </c>
      <c r="G61" s="211"/>
      <c r="H61" s="211">
        <v>0</v>
      </c>
      <c r="I61" s="211"/>
      <c r="J61" s="266">
        <v>0</v>
      </c>
      <c r="K61" s="211"/>
      <c r="L61" s="255">
        <v>0</v>
      </c>
      <c r="M61" s="211">
        <v>0</v>
      </c>
      <c r="N61" s="211">
        <v>0</v>
      </c>
      <c r="O61" s="315">
        <v>0</v>
      </c>
      <c r="P61" s="247"/>
      <c r="Q61" s="255">
        <v>0</v>
      </c>
      <c r="R61" s="211">
        <v>0</v>
      </c>
      <c r="S61" s="211">
        <v>0</v>
      </c>
      <c r="T61" s="211">
        <v>0</v>
      </c>
      <c r="U61" s="211">
        <v>0</v>
      </c>
      <c r="V61" s="211">
        <v>0</v>
      </c>
      <c r="W61" s="211">
        <v>0</v>
      </c>
      <c r="X61" s="211">
        <v>0</v>
      </c>
      <c r="Y61" s="211">
        <v>0</v>
      </c>
      <c r="Z61" s="211">
        <v>0</v>
      </c>
      <c r="AA61" s="211">
        <v>0</v>
      </c>
      <c r="AB61" s="211">
        <v>0</v>
      </c>
      <c r="AC61" s="211">
        <v>0</v>
      </c>
      <c r="AD61" s="211">
        <v>0</v>
      </c>
      <c r="AE61" s="211">
        <v>0</v>
      </c>
      <c r="AF61" s="211">
        <v>0</v>
      </c>
      <c r="AG61" s="211">
        <v>0</v>
      </c>
      <c r="AH61" s="304">
        <f t="shared" si="58"/>
        <v>0</v>
      </c>
      <c r="AJ61" s="266">
        <f t="shared" si="59"/>
        <v>0</v>
      </c>
    </row>
    <row r="62" spans="1:36">
      <c r="A62" s="209" t="s">
        <v>237</v>
      </c>
      <c r="B62" s="266">
        <v>0</v>
      </c>
      <c r="C62" s="211"/>
      <c r="D62" s="211">
        <v>0</v>
      </c>
      <c r="E62" s="211"/>
      <c r="F62" s="266">
        <v>0</v>
      </c>
      <c r="G62" s="211"/>
      <c r="H62" s="211">
        <v>0</v>
      </c>
      <c r="I62" s="211"/>
      <c r="J62" s="266">
        <v>0</v>
      </c>
      <c r="K62" s="211"/>
      <c r="L62" s="255">
        <v>0</v>
      </c>
      <c r="M62" s="211">
        <v>0</v>
      </c>
      <c r="N62" s="211">
        <v>0</v>
      </c>
      <c r="O62" s="315">
        <v>0</v>
      </c>
      <c r="P62" s="247"/>
      <c r="Q62" s="255">
        <v>0</v>
      </c>
      <c r="R62" s="211">
        <v>0</v>
      </c>
      <c r="S62" s="211">
        <v>0</v>
      </c>
      <c r="T62" s="211">
        <v>0</v>
      </c>
      <c r="U62" s="211">
        <v>0</v>
      </c>
      <c r="V62" s="211">
        <v>0</v>
      </c>
      <c r="W62" s="211">
        <v>0</v>
      </c>
      <c r="X62" s="211">
        <v>0</v>
      </c>
      <c r="Y62" s="211">
        <v>0</v>
      </c>
      <c r="Z62" s="211">
        <v>0</v>
      </c>
      <c r="AA62" s="211">
        <v>0</v>
      </c>
      <c r="AB62" s="211">
        <v>0</v>
      </c>
      <c r="AC62" s="211">
        <v>0</v>
      </c>
      <c r="AD62" s="211">
        <v>0</v>
      </c>
      <c r="AE62" s="211">
        <v>0</v>
      </c>
      <c r="AF62" s="211">
        <v>0</v>
      </c>
      <c r="AG62" s="211">
        <v>0</v>
      </c>
      <c r="AH62" s="304">
        <f t="shared" si="58"/>
        <v>0</v>
      </c>
      <c r="AJ62" s="266">
        <f t="shared" si="59"/>
        <v>0</v>
      </c>
    </row>
    <row r="63" spans="1:36">
      <c r="A63" s="209"/>
      <c r="B63" s="264">
        <v>0</v>
      </c>
      <c r="C63" s="208"/>
      <c r="D63" s="208">
        <v>0</v>
      </c>
      <c r="E63" s="208"/>
      <c r="F63" s="264">
        <v>0</v>
      </c>
      <c r="G63" s="208"/>
      <c r="H63" s="208">
        <v>0</v>
      </c>
      <c r="I63" s="208"/>
      <c r="J63" s="264">
        <v>0</v>
      </c>
      <c r="K63" s="208"/>
      <c r="L63" s="253">
        <v>0</v>
      </c>
      <c r="M63" s="208">
        <v>0</v>
      </c>
      <c r="N63" s="208">
        <v>0</v>
      </c>
      <c r="O63" s="313">
        <v>0</v>
      </c>
      <c r="P63" s="227"/>
      <c r="Q63" s="253">
        <v>0</v>
      </c>
      <c r="R63" s="208">
        <v>0</v>
      </c>
      <c r="S63" s="208">
        <v>0</v>
      </c>
      <c r="T63" s="208">
        <v>0</v>
      </c>
      <c r="U63" s="208">
        <v>0</v>
      </c>
      <c r="V63" s="208">
        <v>0</v>
      </c>
      <c r="W63" s="208">
        <v>0</v>
      </c>
      <c r="X63" s="208">
        <v>0</v>
      </c>
      <c r="Y63" s="208">
        <v>0</v>
      </c>
      <c r="Z63" s="208">
        <v>0</v>
      </c>
      <c r="AA63" s="208">
        <v>0</v>
      </c>
      <c r="AB63" s="208">
        <v>0</v>
      </c>
      <c r="AC63" s="208">
        <v>0</v>
      </c>
      <c r="AD63" s="208">
        <v>0</v>
      </c>
      <c r="AE63" s="208">
        <v>0</v>
      </c>
      <c r="AF63" s="208">
        <v>0</v>
      </c>
      <c r="AG63" s="208">
        <v>0</v>
      </c>
      <c r="AH63" s="304">
        <f t="shared" si="58"/>
        <v>0</v>
      </c>
      <c r="AJ63" s="264">
        <f t="shared" si="59"/>
        <v>0</v>
      </c>
    </row>
    <row r="64" spans="1:36">
      <c r="A64" s="209" t="s">
        <v>238</v>
      </c>
      <c r="B64" s="267">
        <f>SUM(B56:B63)</f>
        <v>0</v>
      </c>
      <c r="C64" s="208"/>
      <c r="D64" s="212">
        <f>SUM(D56:D63)</f>
        <v>0</v>
      </c>
      <c r="E64" s="208"/>
      <c r="F64" s="267">
        <f>SUM(F56:F63)</f>
        <v>0</v>
      </c>
      <c r="G64" s="208"/>
      <c r="H64" s="212">
        <f>SUM(H56:H63)</f>
        <v>0</v>
      </c>
      <c r="I64" s="208"/>
      <c r="J64" s="267">
        <f t="shared" ref="J64:AH64" si="60">SUM(J56:J63)</f>
        <v>0</v>
      </c>
      <c r="K64" s="208"/>
      <c r="L64" s="256">
        <f t="shared" si="60"/>
        <v>0</v>
      </c>
      <c r="M64" s="212">
        <f t="shared" si="60"/>
        <v>0</v>
      </c>
      <c r="N64" s="212">
        <f t="shared" si="60"/>
        <v>0</v>
      </c>
      <c r="O64" s="324">
        <f t="shared" ref="O64" si="61">SUM(O56:O63)</f>
        <v>0</v>
      </c>
      <c r="P64" s="227"/>
      <c r="Q64" s="256">
        <f t="shared" si="60"/>
        <v>0</v>
      </c>
      <c r="R64" s="212">
        <f t="shared" si="60"/>
        <v>0</v>
      </c>
      <c r="S64" s="212">
        <f t="shared" si="60"/>
        <v>0</v>
      </c>
      <c r="T64" s="212">
        <f t="shared" si="60"/>
        <v>0</v>
      </c>
      <c r="U64" s="212">
        <f t="shared" si="60"/>
        <v>0</v>
      </c>
      <c r="V64" s="212">
        <f t="shared" si="60"/>
        <v>0</v>
      </c>
      <c r="W64" s="212">
        <f t="shared" si="60"/>
        <v>0</v>
      </c>
      <c r="X64" s="212">
        <f t="shared" si="60"/>
        <v>0</v>
      </c>
      <c r="Y64" s="212">
        <f t="shared" si="60"/>
        <v>0</v>
      </c>
      <c r="Z64" s="212">
        <f t="shared" si="60"/>
        <v>0</v>
      </c>
      <c r="AA64" s="212">
        <f t="shared" si="60"/>
        <v>0</v>
      </c>
      <c r="AB64" s="212">
        <f t="shared" si="60"/>
        <v>0</v>
      </c>
      <c r="AC64" s="212">
        <f t="shared" si="60"/>
        <v>0</v>
      </c>
      <c r="AD64" s="212">
        <f t="shared" si="60"/>
        <v>0</v>
      </c>
      <c r="AE64" s="212">
        <f t="shared" si="60"/>
        <v>0</v>
      </c>
      <c r="AF64" s="212">
        <f t="shared" ref="AF64" si="62">SUM(AF56:AF63)</f>
        <v>0</v>
      </c>
      <c r="AG64" s="212">
        <f t="shared" si="60"/>
        <v>0</v>
      </c>
      <c r="AH64" s="302">
        <f t="shared" si="60"/>
        <v>0</v>
      </c>
      <c r="AJ64" s="269">
        <f>SUM(AJ56:AJ63)</f>
        <v>0</v>
      </c>
    </row>
    <row r="65" spans="1:36">
      <c r="A65" s="209"/>
      <c r="B65" s="264"/>
      <c r="C65" s="208"/>
      <c r="D65" s="208"/>
      <c r="E65" s="208"/>
      <c r="F65" s="264"/>
      <c r="G65" s="208"/>
      <c r="H65" s="208"/>
      <c r="I65" s="208"/>
      <c r="J65" s="264"/>
      <c r="K65" s="208"/>
      <c r="L65" s="253"/>
      <c r="M65" s="208"/>
      <c r="N65" s="208"/>
      <c r="O65" s="313"/>
      <c r="P65" s="227"/>
      <c r="Q65" s="253"/>
      <c r="R65" s="208"/>
      <c r="S65" s="208"/>
      <c r="T65" s="208"/>
      <c r="U65" s="208"/>
      <c r="V65" s="208"/>
      <c r="W65" s="208"/>
      <c r="X65" s="208"/>
      <c r="Y65" s="208"/>
      <c r="Z65" s="208"/>
      <c r="AA65" s="208"/>
      <c r="AB65" s="208"/>
      <c r="AC65" s="208"/>
      <c r="AD65" s="208"/>
      <c r="AE65" s="208"/>
      <c r="AF65" s="208"/>
      <c r="AG65" s="208"/>
      <c r="AH65" s="303"/>
      <c r="AJ65" s="264"/>
    </row>
    <row r="66" spans="1:36">
      <c r="A66" s="209" t="s">
        <v>239</v>
      </c>
      <c r="B66" s="267">
        <f>B53+B64</f>
        <v>0</v>
      </c>
      <c r="C66" s="208"/>
      <c r="D66" s="212">
        <f>D53+D64</f>
        <v>0</v>
      </c>
      <c r="E66" s="208"/>
      <c r="F66" s="267">
        <f>F53+F64</f>
        <v>0</v>
      </c>
      <c r="G66" s="208"/>
      <c r="H66" s="212">
        <f>H53+H64</f>
        <v>0</v>
      </c>
      <c r="I66" s="208"/>
      <c r="J66" s="267">
        <f t="shared" ref="J66:AJ66" si="63">J53+J64</f>
        <v>0</v>
      </c>
      <c r="K66" s="208"/>
      <c r="L66" s="256">
        <f t="shared" si="63"/>
        <v>0</v>
      </c>
      <c r="M66" s="212">
        <f t="shared" si="63"/>
        <v>0</v>
      </c>
      <c r="N66" s="212">
        <f t="shared" si="63"/>
        <v>0</v>
      </c>
      <c r="O66" s="324">
        <f t="shared" ref="O66" si="64">O53+O64</f>
        <v>0</v>
      </c>
      <c r="P66" s="227"/>
      <c r="Q66" s="256">
        <f t="shared" si="63"/>
        <v>0</v>
      </c>
      <c r="R66" s="212">
        <f t="shared" si="63"/>
        <v>0</v>
      </c>
      <c r="S66" s="212">
        <f t="shared" si="63"/>
        <v>0</v>
      </c>
      <c r="T66" s="212">
        <f t="shared" si="63"/>
        <v>0</v>
      </c>
      <c r="U66" s="212">
        <f t="shared" si="63"/>
        <v>0</v>
      </c>
      <c r="V66" s="212">
        <f t="shared" si="63"/>
        <v>0</v>
      </c>
      <c r="W66" s="212">
        <f t="shared" si="63"/>
        <v>0</v>
      </c>
      <c r="X66" s="212">
        <f t="shared" si="63"/>
        <v>0</v>
      </c>
      <c r="Y66" s="212">
        <f t="shared" si="63"/>
        <v>0</v>
      </c>
      <c r="Z66" s="212">
        <f t="shared" si="63"/>
        <v>0</v>
      </c>
      <c r="AA66" s="212">
        <f t="shared" si="63"/>
        <v>0</v>
      </c>
      <c r="AB66" s="212">
        <f t="shared" si="63"/>
        <v>0</v>
      </c>
      <c r="AC66" s="212">
        <f t="shared" si="63"/>
        <v>0</v>
      </c>
      <c r="AD66" s="212">
        <f t="shared" si="63"/>
        <v>0</v>
      </c>
      <c r="AE66" s="212">
        <f t="shared" si="63"/>
        <v>0</v>
      </c>
      <c r="AF66" s="212">
        <f t="shared" ref="AF66" si="65">AF53+AF64</f>
        <v>0</v>
      </c>
      <c r="AG66" s="212">
        <f t="shared" ref="AG66" si="66">AG53+AG64</f>
        <v>0</v>
      </c>
      <c r="AH66" s="302">
        <f t="shared" si="63"/>
        <v>0</v>
      </c>
      <c r="AJ66" s="269">
        <f t="shared" si="63"/>
        <v>0</v>
      </c>
    </row>
    <row r="67" spans="1:36">
      <c r="A67" s="209"/>
      <c r="B67" s="264"/>
      <c r="C67" s="208"/>
      <c r="D67" s="208"/>
      <c r="E67" s="208"/>
      <c r="F67" s="264"/>
      <c r="G67" s="208"/>
      <c r="H67" s="208"/>
      <c r="I67" s="208"/>
      <c r="J67" s="264"/>
      <c r="K67" s="208"/>
      <c r="L67" s="253"/>
      <c r="M67" s="208"/>
      <c r="N67" s="208"/>
      <c r="O67" s="313"/>
      <c r="P67" s="227"/>
      <c r="Q67" s="253"/>
      <c r="R67" s="208"/>
      <c r="S67" s="208"/>
      <c r="T67" s="208"/>
      <c r="U67" s="208"/>
      <c r="V67" s="208"/>
      <c r="W67" s="208"/>
      <c r="X67" s="208"/>
      <c r="Y67" s="208"/>
      <c r="Z67" s="208"/>
      <c r="AA67" s="208"/>
      <c r="AB67" s="208"/>
      <c r="AC67" s="208"/>
      <c r="AD67" s="208"/>
      <c r="AE67" s="208"/>
      <c r="AF67" s="208"/>
      <c r="AG67" s="208"/>
      <c r="AH67" s="303"/>
      <c r="AJ67" s="264"/>
    </row>
    <row r="68" spans="1:36">
      <c r="A68" s="209"/>
      <c r="B68" s="264"/>
      <c r="C68" s="208"/>
      <c r="D68" s="208"/>
      <c r="E68" s="208"/>
      <c r="F68" s="264"/>
      <c r="G68" s="208"/>
      <c r="H68" s="208"/>
      <c r="I68" s="208"/>
      <c r="J68" s="264"/>
      <c r="K68" s="208"/>
      <c r="L68" s="253"/>
      <c r="M68" s="208"/>
      <c r="N68" s="208"/>
      <c r="O68" s="313"/>
      <c r="P68" s="227"/>
      <c r="Q68" s="253"/>
      <c r="R68" s="208"/>
      <c r="S68" s="208"/>
      <c r="T68" s="208"/>
      <c r="U68" s="208"/>
      <c r="V68" s="208"/>
      <c r="W68" s="208"/>
      <c r="X68" s="208"/>
      <c r="Y68" s="208"/>
      <c r="Z68" s="208"/>
      <c r="AA68" s="208"/>
      <c r="AB68" s="208"/>
      <c r="AC68" s="208"/>
      <c r="AD68" s="208"/>
      <c r="AE68" s="208"/>
      <c r="AF68" s="208"/>
      <c r="AG68" s="208"/>
      <c r="AH68" s="303"/>
      <c r="AJ68" s="264"/>
    </row>
    <row r="69" spans="1:36">
      <c r="A69" s="209" t="s">
        <v>240</v>
      </c>
      <c r="B69" s="270"/>
      <c r="C69" s="214"/>
      <c r="D69" s="214">
        <f t="shared" ref="D69" si="67">(((D39+32980839.8284795)/(D66+773492974.398685))-0.0251275-0.00015344)/0.5222-0.0332399380918121</f>
        <v>7.9387517492900128E-3</v>
      </c>
      <c r="E69" s="214"/>
      <c r="F69" s="270"/>
      <c r="G69" s="214"/>
      <c r="H69" s="214">
        <f t="shared" ref="H69" si="68">(((H39+32980839.8284795)/(H66+773492974.398685))-0.0251275-0.00015344)/0.5222-0.0332399380918121</f>
        <v>2.187836768992845E-2</v>
      </c>
      <c r="I69" s="214"/>
      <c r="J69" s="270"/>
      <c r="K69" s="214"/>
      <c r="L69" s="258">
        <f t="shared" ref="L69:N69" si="69">(((L39+32980839.8284795)/(L66+773492974.398685))-0.0251275-0.00015344)/0.5222-0.0332399380918121</f>
        <v>-1.7219544017933918E-2</v>
      </c>
      <c r="M69" s="214">
        <f t="shared" si="69"/>
        <v>-4.8511239118381039E-4</v>
      </c>
      <c r="N69" s="214">
        <f t="shared" si="69"/>
        <v>3.8741045869637725E-4</v>
      </c>
      <c r="O69" s="317"/>
      <c r="P69" s="214"/>
      <c r="Q69" s="258">
        <f t="shared" ref="Q69:AH69" si="70">(((Q39+32980839.8284795)/(Q66+773492974.398685))-0.0251275-0.00015344)/0.5222-0.0332399380918121</f>
        <v>6.4559224963555567E-4</v>
      </c>
      <c r="R69" s="214">
        <f t="shared" si="70"/>
        <v>-3.8087567386357879E-4</v>
      </c>
      <c r="S69" s="214">
        <f t="shared" si="70"/>
        <v>5.2982826456367954E-4</v>
      </c>
      <c r="T69" s="214">
        <f t="shared" si="70"/>
        <v>-7.3748485544433001E-4</v>
      </c>
      <c r="U69" s="214">
        <f t="shared" si="70"/>
        <v>1.9396623308257088E-5</v>
      </c>
      <c r="V69" s="214">
        <f t="shared" si="70"/>
        <v>-3.3360705131733892E-5</v>
      </c>
      <c r="W69" s="214">
        <f t="shared" si="70"/>
        <v>-1.9355725694447656E-5</v>
      </c>
      <c r="X69" s="214">
        <f t="shared" si="70"/>
        <v>1.7347347619527942E-3</v>
      </c>
      <c r="Y69" s="214">
        <f t="shared" si="70"/>
        <v>-2.6983421283890974E-5</v>
      </c>
      <c r="Z69" s="214">
        <f t="shared" si="70"/>
        <v>-2.0588458605218241E-4</v>
      </c>
      <c r="AA69" s="214">
        <f t="shared" si="70"/>
        <v>-1.0923418190379036E-4</v>
      </c>
      <c r="AB69" s="214">
        <f t="shared" si="70"/>
        <v>3.8445919384219596E-5</v>
      </c>
      <c r="AC69" s="214">
        <f t="shared" si="70"/>
        <v>-6.9297085944546033E-5</v>
      </c>
      <c r="AD69" s="214">
        <f t="shared" si="70"/>
        <v>7.0478221866804996E-4</v>
      </c>
      <c r="AE69" s="214">
        <f t="shared" si="70"/>
        <v>-6.7930167505773908E-5</v>
      </c>
      <c r="AF69" s="214">
        <f t="shared" ref="AF69" si="71">(((AF39+32980839.8284795)/(AF66+773492974.398685))-0.0251275-0.00015344)/0.5222-0.0332399380918121</f>
        <v>1.6093142891113049E-3</v>
      </c>
      <c r="AG69" s="214">
        <f t="shared" si="70"/>
        <v>1.1830624580977389E-4</v>
      </c>
      <c r="AH69" s="306">
        <f t="shared" si="70"/>
        <v>3.7499941696108458E-3</v>
      </c>
      <c r="AJ69" s="270"/>
    </row>
    <row r="70" spans="1:36">
      <c r="A70" s="209" t="s">
        <v>241</v>
      </c>
      <c r="B70" s="264"/>
      <c r="C70" s="208"/>
      <c r="D70" s="208">
        <f t="shared" ref="D70" si="72">-(D39-(D66*7.75%))/0.6194</f>
        <v>-5176953.466265521</v>
      </c>
      <c r="E70" s="208"/>
      <c r="F70" s="264"/>
      <c r="G70" s="208"/>
      <c r="H70" s="208">
        <f t="shared" ref="H70" si="73">-(H39-(H66*7.75%))/0.6194</f>
        <v>-14267141.110532306</v>
      </c>
      <c r="I70" s="208"/>
      <c r="J70" s="264"/>
      <c r="K70" s="208"/>
      <c r="L70" s="253">
        <f t="shared" ref="L70:N70" si="74">-(L39-(L66*7.75%))/0.6194</f>
        <v>11229067.352953276</v>
      </c>
      <c r="M70" s="208">
        <f t="shared" si="74"/>
        <v>316347.50076312805</v>
      </c>
      <c r="N70" s="208">
        <f t="shared" si="74"/>
        <v>-252634.92049560507</v>
      </c>
      <c r="O70" s="313"/>
      <c r="P70" s="227"/>
      <c r="Q70" s="259">
        <f t="shared" ref="Q70:AH70" si="75">-(Q39-(Q66*7.75%))/0.6194</f>
        <v>-420998.30553893943</v>
      </c>
      <c r="R70" s="227">
        <f t="shared" si="75"/>
        <v>248373.51038216421</v>
      </c>
      <c r="S70" s="227">
        <f t="shared" si="75"/>
        <v>-345507.2481645653</v>
      </c>
      <c r="T70" s="227">
        <f t="shared" si="75"/>
        <v>480922.55549517402</v>
      </c>
      <c r="U70" s="227">
        <f t="shared" si="75"/>
        <v>-12648.766385599565</v>
      </c>
      <c r="V70" s="227">
        <f t="shared" si="75"/>
        <v>21754.908519937064</v>
      </c>
      <c r="W70" s="227">
        <f t="shared" si="75"/>
        <v>12622.096570085749</v>
      </c>
      <c r="X70" s="227">
        <f t="shared" si="75"/>
        <v>-1131240.9585986014</v>
      </c>
      <c r="Y70" s="227">
        <f t="shared" si="75"/>
        <v>17596.206652931647</v>
      </c>
      <c r="Z70" s="227">
        <f t="shared" si="75"/>
        <v>134259.76212297587</v>
      </c>
      <c r="AA70" s="227">
        <f t="shared" si="75"/>
        <v>71232.89586320876</v>
      </c>
      <c r="AB70" s="227">
        <f t="shared" si="75"/>
        <v>-25071.036594411038</v>
      </c>
      <c r="AC70" s="227">
        <f t="shared" si="75"/>
        <v>45189.445470989776</v>
      </c>
      <c r="AD70" s="227">
        <f t="shared" si="75"/>
        <v>-459596.78109630238</v>
      </c>
      <c r="AE70" s="227">
        <f t="shared" si="75"/>
        <v>44298.061866461881</v>
      </c>
      <c r="AF70" s="227">
        <f t="shared" ref="AF70" si="76">-(AF39-(AF66*7.75%))/0.6194</f>
        <v>-1049452.7918788844</v>
      </c>
      <c r="AG70" s="227">
        <f t="shared" si="75"/>
        <v>-77148.89552768979</v>
      </c>
      <c r="AH70" s="309">
        <f t="shared" si="75"/>
        <v>-2445415.3408410652</v>
      </c>
      <c r="AJ70" s="264"/>
    </row>
    <row r="71" spans="1:36">
      <c r="A71" s="209"/>
      <c r="B71" s="271"/>
      <c r="C71" s="215"/>
      <c r="D71" s="215"/>
      <c r="E71" s="215"/>
      <c r="F71" s="271"/>
      <c r="G71" s="215"/>
      <c r="H71" s="215"/>
      <c r="I71" s="215"/>
      <c r="J71" s="271"/>
      <c r="K71" s="215"/>
      <c r="L71" s="260"/>
      <c r="M71" s="215"/>
      <c r="N71" s="215"/>
      <c r="O71" s="318"/>
      <c r="P71" s="249"/>
      <c r="Q71" s="260"/>
      <c r="R71" s="215"/>
      <c r="S71" s="215"/>
      <c r="T71" s="215"/>
      <c r="U71" s="215"/>
      <c r="V71" s="215"/>
      <c r="W71" s="215"/>
      <c r="X71" s="215"/>
      <c r="Y71" s="215"/>
      <c r="Z71" s="215"/>
      <c r="AA71" s="215"/>
      <c r="AB71" s="215"/>
      <c r="AC71" s="215"/>
      <c r="AD71" s="215"/>
      <c r="AE71" s="215"/>
      <c r="AF71" s="215"/>
      <c r="AG71" s="215"/>
      <c r="AH71" s="307"/>
      <c r="AJ71" s="271"/>
    </row>
    <row r="72" spans="1:36">
      <c r="A72" s="209" t="s">
        <v>242</v>
      </c>
      <c r="B72" s="264"/>
      <c r="C72" s="208"/>
      <c r="D72" s="208"/>
      <c r="E72" s="208"/>
      <c r="F72" s="264"/>
      <c r="G72" s="208"/>
      <c r="H72" s="208"/>
      <c r="I72" s="208"/>
      <c r="J72" s="264"/>
      <c r="K72" s="208"/>
      <c r="L72" s="253"/>
      <c r="M72" s="208"/>
      <c r="N72" s="208"/>
      <c r="O72" s="313"/>
      <c r="P72" s="227"/>
      <c r="Q72" s="253"/>
      <c r="R72" s="208"/>
      <c r="S72" s="208"/>
      <c r="T72" s="208"/>
      <c r="U72" s="208"/>
      <c r="V72" s="208"/>
      <c r="W72" s="208"/>
      <c r="X72" s="208"/>
      <c r="Y72" s="208"/>
      <c r="Z72" s="208"/>
      <c r="AA72" s="208"/>
      <c r="AB72" s="208"/>
      <c r="AC72" s="208"/>
      <c r="AD72" s="208"/>
      <c r="AE72" s="208"/>
      <c r="AF72" s="208"/>
      <c r="AG72" s="208"/>
      <c r="AH72" s="303"/>
      <c r="AJ72" s="264"/>
    </row>
    <row r="73" spans="1:36">
      <c r="A73" s="209" t="s">
        <v>243</v>
      </c>
      <c r="B73" s="322">
        <f t="shared" ref="B73:AH73" si="77">B15-B28-B29-B30-B31-B36</f>
        <v>-139214704.56271014</v>
      </c>
      <c r="C73" s="218"/>
      <c r="D73" s="219">
        <f t="shared" ref="D73:F73" si="78">D15-D28-D29-D30-D31-D36</f>
        <v>4933238.4261613265</v>
      </c>
      <c r="E73" s="219"/>
      <c r="F73" s="322">
        <f t="shared" si="78"/>
        <v>-134281466.13654879</v>
      </c>
      <c r="G73" s="218"/>
      <c r="H73" s="219">
        <f t="shared" ref="H73" si="79">H15-H28-H29-H30-H31-H36</f>
        <v>13595488.00594417</v>
      </c>
      <c r="I73" s="218"/>
      <c r="J73" s="322">
        <f t="shared" ref="J73:N73" si="80">J15-J28-J29-J30-J31-J36</f>
        <v>-120685978.13060462</v>
      </c>
      <c r="K73" s="218"/>
      <c r="L73" s="325">
        <f t="shared" si="80"/>
        <v>-10700437.412952706</v>
      </c>
      <c r="M73" s="219">
        <f t="shared" si="80"/>
        <v>-301454.83380412497</v>
      </c>
      <c r="N73" s="219">
        <f t="shared" si="80"/>
        <v>240741.64577688885</v>
      </c>
      <c r="O73" s="319">
        <f t="shared" ref="O73" si="81">O15-O28-O29-O30-O31-O36</f>
        <v>-131447128.73158458</v>
      </c>
      <c r="P73" s="250"/>
      <c r="Q73" s="253">
        <f t="shared" si="77"/>
        <v>401179.0006935678</v>
      </c>
      <c r="R73" s="208">
        <f t="shared" si="77"/>
        <v>-236680.84973955766</v>
      </c>
      <c r="S73" s="208">
        <f t="shared" si="77"/>
        <v>329241.83002020261</v>
      </c>
      <c r="T73" s="227">
        <f t="shared" si="77"/>
        <v>-458282.20134417043</v>
      </c>
      <c r="U73" s="208">
        <f t="shared" si="77"/>
        <v>12053.301383446722</v>
      </c>
      <c r="V73" s="208">
        <f t="shared" si="77"/>
        <v>-20730.754364998484</v>
      </c>
      <c r="W73" s="208">
        <f t="shared" si="77"/>
        <v>-12027.887100786327</v>
      </c>
      <c r="X73" s="208">
        <f t="shared" si="77"/>
        <v>1077985.6150091903</v>
      </c>
      <c r="Y73" s="208">
        <f t="shared" si="77"/>
        <v>-16767.83138588594</v>
      </c>
      <c r="Z73" s="208">
        <f t="shared" si="77"/>
        <v>-127939.22562918653</v>
      </c>
      <c r="AA73" s="208">
        <f t="shared" si="77"/>
        <v>-67879.47030411</v>
      </c>
      <c r="AB73" s="208">
        <f t="shared" si="77"/>
        <v>23890.769333197222</v>
      </c>
      <c r="AC73" s="208">
        <f t="shared" si="77"/>
        <v>-43062.065422663232</v>
      </c>
      <c r="AD73" s="208">
        <f t="shared" si="77"/>
        <v>437960.37878623023</v>
      </c>
      <c r="AE73" s="208">
        <f t="shared" si="77"/>
        <v>-42212.645415517669</v>
      </c>
      <c r="AF73" s="208">
        <f>AF15-AF28-AF29-AF30-AF31-AF36</f>
        <v>1000047.7835227398</v>
      </c>
      <c r="AG73" s="208">
        <f t="shared" ref="AG73" si="82">AG15-AG28-AG29-AG30-AG31-AG36</f>
        <v>73516.962907463152</v>
      </c>
      <c r="AH73" s="303">
        <f t="shared" si="77"/>
        <v>2330292.7109491611</v>
      </c>
      <c r="AJ73" s="264">
        <f t="shared" ref="AJ73" si="83">AJ15-AJ28-AJ29-AJ30-AJ31-AJ36</f>
        <v>-129116836.02063543</v>
      </c>
    </row>
    <row r="74" spans="1:36">
      <c r="A74" s="209" t="s">
        <v>244</v>
      </c>
      <c r="B74" s="264"/>
      <c r="C74" s="208"/>
      <c r="D74" s="208"/>
      <c r="E74" s="208"/>
      <c r="F74" s="264"/>
      <c r="G74" s="208"/>
      <c r="H74" s="208"/>
      <c r="I74" s="208"/>
      <c r="J74" s="264"/>
      <c r="K74" s="208"/>
      <c r="L74" s="253"/>
      <c r="M74" s="208"/>
      <c r="N74" s="208"/>
      <c r="O74" s="313"/>
      <c r="P74" s="227"/>
      <c r="Q74" s="253"/>
      <c r="R74" s="208"/>
      <c r="S74" s="208"/>
      <c r="T74" s="208"/>
      <c r="U74" s="208"/>
      <c r="V74" s="208"/>
      <c r="W74" s="208"/>
      <c r="X74" s="208"/>
      <c r="Y74" s="208"/>
      <c r="Z74" s="208"/>
      <c r="AA74" s="208"/>
      <c r="AB74" s="208"/>
      <c r="AC74" s="208"/>
      <c r="AD74" s="208"/>
      <c r="AE74" s="208"/>
      <c r="AF74" s="208"/>
      <c r="AG74" s="208"/>
      <c r="AH74" s="303"/>
      <c r="AJ74" s="264"/>
    </row>
    <row r="75" spans="1:36">
      <c r="A75" s="209" t="s">
        <v>245</v>
      </c>
      <c r="B75" s="265"/>
      <c r="C75" s="210"/>
      <c r="D75" s="210"/>
      <c r="E75" s="210"/>
      <c r="F75" s="265"/>
      <c r="G75" s="210"/>
      <c r="H75" s="210"/>
      <c r="I75" s="210"/>
      <c r="J75" s="265"/>
      <c r="K75" s="210"/>
      <c r="L75" s="254"/>
      <c r="M75" s="210"/>
      <c r="N75" s="210"/>
      <c r="O75" s="314"/>
      <c r="P75" s="246"/>
      <c r="Q75" s="254"/>
      <c r="R75" s="210"/>
      <c r="S75" s="210"/>
      <c r="T75" s="210"/>
      <c r="U75" s="210"/>
      <c r="V75" s="210"/>
      <c r="W75" s="210"/>
      <c r="X75" s="210"/>
      <c r="Y75" s="210"/>
      <c r="Z75" s="210"/>
      <c r="AA75" s="210"/>
      <c r="AB75" s="210"/>
      <c r="AC75" s="210"/>
      <c r="AD75" s="210"/>
      <c r="AE75" s="210"/>
      <c r="AF75" s="210"/>
      <c r="AG75" s="210"/>
      <c r="AH75" s="304"/>
      <c r="AJ75" s="265"/>
    </row>
    <row r="76" spans="1:36">
      <c r="A76" s="209" t="s">
        <v>246</v>
      </c>
      <c r="B76" s="265"/>
      <c r="C76" s="210"/>
      <c r="D76" s="210"/>
      <c r="E76" s="210"/>
      <c r="F76" s="265"/>
      <c r="G76" s="210"/>
      <c r="H76" s="210"/>
      <c r="I76" s="210"/>
      <c r="J76" s="265"/>
      <c r="K76" s="210"/>
      <c r="L76" s="254"/>
      <c r="M76" s="210"/>
      <c r="N76" s="210"/>
      <c r="O76" s="314"/>
      <c r="P76" s="246"/>
      <c r="Q76" s="254"/>
      <c r="R76" s="210"/>
      <c r="S76" s="210"/>
      <c r="T76" s="210"/>
      <c r="U76" s="210"/>
      <c r="V76" s="210"/>
      <c r="W76" s="210"/>
      <c r="X76" s="210"/>
      <c r="Y76" s="210"/>
      <c r="Z76" s="210"/>
      <c r="AA76" s="210"/>
      <c r="AB76" s="210"/>
      <c r="AC76" s="210"/>
      <c r="AD76" s="210"/>
      <c r="AE76" s="210"/>
      <c r="AF76" s="210"/>
      <c r="AG76" s="210"/>
      <c r="AH76" s="304"/>
      <c r="AJ76" s="265"/>
    </row>
    <row r="77" spans="1:36">
      <c r="A77" s="209" t="s">
        <v>247</v>
      </c>
      <c r="B77" s="265"/>
      <c r="C77" s="210"/>
      <c r="D77" s="210"/>
      <c r="E77" s="210"/>
      <c r="F77" s="265"/>
      <c r="G77" s="210"/>
      <c r="H77" s="210"/>
      <c r="I77" s="210"/>
      <c r="J77" s="265"/>
      <c r="K77" s="210"/>
      <c r="L77" s="254"/>
      <c r="M77" s="210"/>
      <c r="N77" s="210"/>
      <c r="O77" s="314"/>
      <c r="P77" s="246"/>
      <c r="Q77" s="254"/>
      <c r="R77" s="210"/>
      <c r="S77" s="210"/>
      <c r="T77" s="210"/>
      <c r="U77" s="210"/>
      <c r="V77" s="210"/>
      <c r="W77" s="210"/>
      <c r="X77" s="210"/>
      <c r="Y77" s="210"/>
      <c r="Z77" s="210"/>
      <c r="AA77" s="210"/>
      <c r="AB77" s="210"/>
      <c r="AC77" s="210"/>
      <c r="AD77" s="210"/>
      <c r="AE77" s="210"/>
      <c r="AF77" s="210"/>
      <c r="AG77" s="210"/>
      <c r="AH77" s="304"/>
      <c r="AJ77" s="265"/>
    </row>
    <row r="78" spans="1:36">
      <c r="A78" s="209" t="s">
        <v>248</v>
      </c>
      <c r="B78" s="264"/>
      <c r="C78" s="208"/>
      <c r="D78" s="208"/>
      <c r="E78" s="208"/>
      <c r="F78" s="264"/>
      <c r="G78" s="208"/>
      <c r="H78" s="208"/>
      <c r="I78" s="208"/>
      <c r="J78" s="264"/>
      <c r="K78" s="208"/>
      <c r="L78" s="253"/>
      <c r="M78" s="208"/>
      <c r="N78" s="208"/>
      <c r="O78" s="313"/>
      <c r="P78" s="227"/>
      <c r="Q78" s="253"/>
      <c r="R78" s="208"/>
      <c r="S78" s="208"/>
      <c r="T78" s="208"/>
      <c r="U78" s="208"/>
      <c r="V78" s="208"/>
      <c r="W78" s="208"/>
      <c r="X78" s="208"/>
      <c r="Y78" s="208"/>
      <c r="Z78" s="208"/>
      <c r="AA78" s="208"/>
      <c r="AB78" s="208"/>
      <c r="AC78" s="208"/>
      <c r="AD78" s="208"/>
      <c r="AE78" s="208"/>
      <c r="AF78" s="208"/>
      <c r="AG78" s="208"/>
      <c r="AH78" s="303"/>
      <c r="AJ78" s="264"/>
    </row>
    <row r="79" spans="1:36">
      <c r="A79" s="209" t="s">
        <v>249</v>
      </c>
      <c r="B79" s="264">
        <f t="shared" ref="B79:AH79" si="84">B73-B75-B76+B77-B78</f>
        <v>-139214704.56271014</v>
      </c>
      <c r="C79" s="208"/>
      <c r="D79" s="208">
        <f t="shared" ref="D79:F79" si="85">D73-D75-D76+D77-D78</f>
        <v>4933238.4261613265</v>
      </c>
      <c r="E79" s="208"/>
      <c r="F79" s="264">
        <f t="shared" si="85"/>
        <v>-134281466.13654879</v>
      </c>
      <c r="G79" s="208"/>
      <c r="H79" s="208">
        <f t="shared" ref="H79" si="86">H73-H75-H76+H77-H78</f>
        <v>13595488.00594417</v>
      </c>
      <c r="I79" s="208"/>
      <c r="J79" s="264">
        <f t="shared" ref="J79:N79" si="87">J73-J75-J76+J77-J78</f>
        <v>-120685978.13060462</v>
      </c>
      <c r="K79" s="208"/>
      <c r="L79" s="253">
        <f t="shared" si="87"/>
        <v>-10700437.412952706</v>
      </c>
      <c r="M79" s="208">
        <f t="shared" si="87"/>
        <v>-301454.83380412497</v>
      </c>
      <c r="N79" s="208">
        <f t="shared" si="87"/>
        <v>240741.64577688885</v>
      </c>
      <c r="O79" s="313">
        <f t="shared" ref="O79" si="88">O73-O75-O76+O77-O78</f>
        <v>-131447128.73158458</v>
      </c>
      <c r="P79" s="227"/>
      <c r="Q79" s="253">
        <f t="shared" si="84"/>
        <v>401179.0006935678</v>
      </c>
      <c r="R79" s="208">
        <f t="shared" si="84"/>
        <v>-236680.84973955766</v>
      </c>
      <c r="S79" s="208">
        <f t="shared" si="84"/>
        <v>329241.83002020261</v>
      </c>
      <c r="T79" s="208">
        <f t="shared" si="84"/>
        <v>-458282.20134417043</v>
      </c>
      <c r="U79" s="208">
        <f t="shared" si="84"/>
        <v>12053.301383446722</v>
      </c>
      <c r="V79" s="208">
        <f t="shared" si="84"/>
        <v>-20730.754364998484</v>
      </c>
      <c r="W79" s="208">
        <f t="shared" si="84"/>
        <v>-12027.887100786327</v>
      </c>
      <c r="X79" s="208">
        <f t="shared" si="84"/>
        <v>1077985.6150091903</v>
      </c>
      <c r="Y79" s="208">
        <f t="shared" si="84"/>
        <v>-16767.83138588594</v>
      </c>
      <c r="Z79" s="208">
        <f t="shared" si="84"/>
        <v>-127939.22562918653</v>
      </c>
      <c r="AA79" s="208">
        <f t="shared" si="84"/>
        <v>-67879.47030411</v>
      </c>
      <c r="AB79" s="208">
        <f t="shared" si="84"/>
        <v>23890.769333197222</v>
      </c>
      <c r="AC79" s="208">
        <f t="shared" si="84"/>
        <v>-43062.065422663232</v>
      </c>
      <c r="AD79" s="208">
        <f t="shared" si="84"/>
        <v>437960.37878623023</v>
      </c>
      <c r="AE79" s="208">
        <f t="shared" si="84"/>
        <v>-42212.645415517669</v>
      </c>
      <c r="AF79" s="208">
        <f t="shared" ref="AF79" si="89">AF73-AF75-AF76+AF77-AF78</f>
        <v>1000047.7835227398</v>
      </c>
      <c r="AG79" s="208">
        <f t="shared" ref="AG79" si="90">AG73-AG75-AG76+AG77-AG78</f>
        <v>73516.962907463152</v>
      </c>
      <c r="AH79" s="303">
        <f t="shared" si="84"/>
        <v>2330292.7109491611</v>
      </c>
      <c r="AJ79" s="264">
        <f t="shared" ref="AJ79" si="91">AJ73-AJ75-AJ76+AJ77-AJ78</f>
        <v>-129116836.02063543</v>
      </c>
    </row>
    <row r="80" spans="1:36">
      <c r="A80" s="209"/>
      <c r="B80" s="264"/>
      <c r="C80" s="208"/>
      <c r="D80" s="208"/>
      <c r="E80" s="208"/>
      <c r="F80" s="264"/>
      <c r="G80" s="208"/>
      <c r="H80" s="208"/>
      <c r="I80" s="208"/>
      <c r="J80" s="264"/>
      <c r="K80" s="208"/>
      <c r="L80" s="253"/>
      <c r="M80" s="208"/>
      <c r="N80" s="208"/>
      <c r="O80" s="313"/>
      <c r="P80" s="227"/>
      <c r="Q80" s="253"/>
      <c r="R80" s="208"/>
      <c r="S80" s="208"/>
      <c r="T80" s="208"/>
      <c r="U80" s="208"/>
      <c r="V80" s="208"/>
      <c r="W80" s="208"/>
      <c r="X80" s="208"/>
      <c r="Y80" s="208"/>
      <c r="Z80" s="208"/>
      <c r="AA80" s="208"/>
      <c r="AB80" s="208"/>
      <c r="AC80" s="208"/>
      <c r="AD80" s="208"/>
      <c r="AE80" s="208"/>
      <c r="AF80" s="208"/>
      <c r="AG80" s="208"/>
      <c r="AH80" s="303"/>
      <c r="AJ80" s="264"/>
    </row>
    <row r="81" spans="1:36">
      <c r="A81" s="209" t="s">
        <v>250</v>
      </c>
      <c r="B81" s="264">
        <v>0</v>
      </c>
      <c r="C81" s="208"/>
      <c r="D81" s="208">
        <v>0</v>
      </c>
      <c r="E81" s="208"/>
      <c r="F81" s="264">
        <v>0</v>
      </c>
      <c r="G81" s="208"/>
      <c r="H81" s="208">
        <v>0</v>
      </c>
      <c r="I81" s="208"/>
      <c r="J81" s="264">
        <v>0</v>
      </c>
      <c r="K81" s="208"/>
      <c r="L81" s="253">
        <v>0</v>
      </c>
      <c r="M81" s="208">
        <v>0</v>
      </c>
      <c r="N81" s="208">
        <v>0</v>
      </c>
      <c r="O81" s="313">
        <v>0</v>
      </c>
      <c r="P81" s="227"/>
      <c r="Q81" s="253">
        <v>0</v>
      </c>
      <c r="R81" s="208">
        <v>0</v>
      </c>
      <c r="S81" s="208">
        <v>0</v>
      </c>
      <c r="T81" s="208">
        <v>0</v>
      </c>
      <c r="U81" s="208">
        <v>0</v>
      </c>
      <c r="V81" s="208">
        <v>0</v>
      </c>
      <c r="W81" s="208">
        <v>0</v>
      </c>
      <c r="X81" s="208">
        <v>0</v>
      </c>
      <c r="Y81" s="208">
        <v>0</v>
      </c>
      <c r="Z81" s="208">
        <v>0</v>
      </c>
      <c r="AA81" s="208">
        <v>0</v>
      </c>
      <c r="AB81" s="208">
        <v>0</v>
      </c>
      <c r="AC81" s="208">
        <v>0</v>
      </c>
      <c r="AD81" s="208">
        <v>0</v>
      </c>
      <c r="AE81" s="208">
        <v>0</v>
      </c>
      <c r="AF81" s="208">
        <v>0</v>
      </c>
      <c r="AG81" s="208">
        <v>0</v>
      </c>
      <c r="AH81" s="303">
        <v>0</v>
      </c>
      <c r="AJ81" s="264">
        <v>0</v>
      </c>
    </row>
    <row r="82" spans="1:36">
      <c r="A82" s="209" t="s">
        <v>251</v>
      </c>
      <c r="B82" s="264">
        <f t="shared" ref="B82" si="92">B79-B81</f>
        <v>-139214704.56271014</v>
      </c>
      <c r="C82" s="208"/>
      <c r="D82" s="208">
        <f t="shared" ref="D82:F82" si="93">D79-D81</f>
        <v>4933238.4261613265</v>
      </c>
      <c r="E82" s="208"/>
      <c r="F82" s="264">
        <f t="shared" si="93"/>
        <v>-134281466.13654879</v>
      </c>
      <c r="G82" s="208"/>
      <c r="H82" s="208">
        <f t="shared" ref="H82" si="94">H79-H81</f>
        <v>13595488.00594417</v>
      </c>
      <c r="I82" s="208"/>
      <c r="J82" s="264">
        <f t="shared" ref="J82:N82" si="95">J79-J81</f>
        <v>-120685978.13060462</v>
      </c>
      <c r="K82" s="208"/>
      <c r="L82" s="253">
        <f t="shared" si="95"/>
        <v>-10700437.412952706</v>
      </c>
      <c r="M82" s="208">
        <f t="shared" si="95"/>
        <v>-301454.83380412497</v>
      </c>
      <c r="N82" s="208">
        <f t="shared" si="95"/>
        <v>240741.64577688885</v>
      </c>
      <c r="O82" s="313">
        <f t="shared" ref="O82" si="96">O79-O81</f>
        <v>-131447128.73158458</v>
      </c>
      <c r="P82" s="227"/>
      <c r="Q82" s="253">
        <f t="shared" ref="Q82:AH82" si="97">Q79-Q81</f>
        <v>401179.0006935678</v>
      </c>
      <c r="R82" s="208">
        <f t="shared" si="97"/>
        <v>-236680.84973955766</v>
      </c>
      <c r="S82" s="208">
        <f t="shared" si="97"/>
        <v>329241.83002020261</v>
      </c>
      <c r="T82" s="208">
        <f t="shared" si="97"/>
        <v>-458282.20134417043</v>
      </c>
      <c r="U82" s="208">
        <f t="shared" si="97"/>
        <v>12053.301383446722</v>
      </c>
      <c r="V82" s="208">
        <f t="shared" si="97"/>
        <v>-20730.754364998484</v>
      </c>
      <c r="W82" s="208">
        <f t="shared" si="97"/>
        <v>-12027.887100786327</v>
      </c>
      <c r="X82" s="208">
        <f t="shared" si="97"/>
        <v>1077985.6150091903</v>
      </c>
      <c r="Y82" s="208">
        <f t="shared" si="97"/>
        <v>-16767.83138588594</v>
      </c>
      <c r="Z82" s="208">
        <f t="shared" si="97"/>
        <v>-127939.22562918653</v>
      </c>
      <c r="AA82" s="208">
        <f t="shared" si="97"/>
        <v>-67879.47030411</v>
      </c>
      <c r="AB82" s="208">
        <f t="shared" si="97"/>
        <v>23890.769333197222</v>
      </c>
      <c r="AC82" s="208">
        <f t="shared" si="97"/>
        <v>-43062.065422663232</v>
      </c>
      <c r="AD82" s="208">
        <f t="shared" si="97"/>
        <v>437960.37878623023</v>
      </c>
      <c r="AE82" s="208">
        <f t="shared" si="97"/>
        <v>-42212.645415517669</v>
      </c>
      <c r="AF82" s="208">
        <f t="shared" ref="AF82" si="98">AF79-AF81</f>
        <v>1000047.7835227398</v>
      </c>
      <c r="AG82" s="208">
        <f t="shared" ref="AG82" si="99">AG79-AG81</f>
        <v>73516.962907463152</v>
      </c>
      <c r="AH82" s="303">
        <f t="shared" si="97"/>
        <v>2330292.7109491611</v>
      </c>
      <c r="AJ82" s="264">
        <f t="shared" ref="AJ82" si="100">AJ79-AJ81</f>
        <v>-129116836.02063543</v>
      </c>
    </row>
    <row r="83" spans="1:36">
      <c r="A83" s="209"/>
      <c r="B83" s="264"/>
      <c r="C83" s="208"/>
      <c r="D83" s="208"/>
      <c r="E83" s="208"/>
      <c r="F83" s="264"/>
      <c r="G83" s="208"/>
      <c r="H83" s="208"/>
      <c r="I83" s="208"/>
      <c r="J83" s="264"/>
      <c r="K83" s="208"/>
      <c r="L83" s="253"/>
      <c r="M83" s="208"/>
      <c r="N83" s="208"/>
      <c r="O83" s="313"/>
      <c r="P83" s="227"/>
      <c r="Q83" s="253"/>
      <c r="R83" s="208"/>
      <c r="S83" s="208"/>
      <c r="T83" s="208"/>
      <c r="U83" s="208"/>
      <c r="V83" s="208"/>
      <c r="W83" s="208"/>
      <c r="X83" s="208"/>
      <c r="Y83" s="208"/>
      <c r="Z83" s="208"/>
      <c r="AA83" s="208"/>
      <c r="AB83" s="208"/>
      <c r="AC83" s="208"/>
      <c r="AD83" s="208"/>
      <c r="AE83" s="208"/>
      <c r="AF83" s="208"/>
      <c r="AG83" s="208"/>
      <c r="AH83" s="303"/>
      <c r="AJ83" s="264"/>
    </row>
    <row r="84" spans="1:36">
      <c r="A84" s="209" t="s">
        <v>252</v>
      </c>
      <c r="B84" s="264">
        <f t="shared" ref="B84:AH84" si="101">B82*0.35</f>
        <v>-48725146.596948542</v>
      </c>
      <c r="C84" s="208"/>
      <c r="D84" s="208">
        <f t="shared" ref="D84:F84" si="102">D82*0.35</f>
        <v>1726633.4491564641</v>
      </c>
      <c r="E84" s="208"/>
      <c r="F84" s="264">
        <f t="shared" si="102"/>
        <v>-46998513.147792071</v>
      </c>
      <c r="G84" s="208"/>
      <c r="H84" s="208">
        <f t="shared" ref="H84" si="103">H82*0.35</f>
        <v>4758420.802080459</v>
      </c>
      <c r="I84" s="208"/>
      <c r="J84" s="264">
        <f t="shared" ref="J84:N84" si="104">J82*0.35</f>
        <v>-42240092.345711619</v>
      </c>
      <c r="K84" s="208"/>
      <c r="L84" s="253">
        <f t="shared" si="104"/>
        <v>-3745153.0945334467</v>
      </c>
      <c r="M84" s="208">
        <f t="shared" si="104"/>
        <v>-105509.19183144374</v>
      </c>
      <c r="N84" s="208">
        <f t="shared" si="104"/>
        <v>84259.576021911096</v>
      </c>
      <c r="O84" s="313">
        <f t="shared" ref="O84" si="105">O82*0.35</f>
        <v>-46006495.0560546</v>
      </c>
      <c r="P84" s="227"/>
      <c r="Q84" s="253">
        <f t="shared" si="101"/>
        <v>140412.65024274873</v>
      </c>
      <c r="R84" s="208">
        <f t="shared" si="101"/>
        <v>-82838.297408845174</v>
      </c>
      <c r="S84" s="208">
        <f t="shared" si="101"/>
        <v>115234.6405070709</v>
      </c>
      <c r="T84" s="208">
        <f t="shared" si="101"/>
        <v>-160398.77047045965</v>
      </c>
      <c r="U84" s="208">
        <f t="shared" si="101"/>
        <v>4218.6554842063524</v>
      </c>
      <c r="V84" s="208">
        <f t="shared" si="101"/>
        <v>-7255.7640277494684</v>
      </c>
      <c r="W84" s="208">
        <f t="shared" si="101"/>
        <v>-4209.7604852752147</v>
      </c>
      <c r="X84" s="208">
        <f t="shared" si="101"/>
        <v>377294.96525321656</v>
      </c>
      <c r="Y84" s="208">
        <f t="shared" si="101"/>
        <v>-5868.7409850600789</v>
      </c>
      <c r="Z84" s="208">
        <f t="shared" si="101"/>
        <v>-44778.728970215285</v>
      </c>
      <c r="AA84" s="208">
        <f t="shared" si="101"/>
        <v>-23757.8146064385</v>
      </c>
      <c r="AB84" s="208">
        <f t="shared" si="101"/>
        <v>8361.7692666190269</v>
      </c>
      <c r="AC84" s="208">
        <f t="shared" si="101"/>
        <v>-15071.72289793213</v>
      </c>
      <c r="AD84" s="208">
        <f t="shared" si="101"/>
        <v>153286.13257518056</v>
      </c>
      <c r="AE84" s="208">
        <f t="shared" si="101"/>
        <v>-14774.425895431183</v>
      </c>
      <c r="AF84" s="208">
        <f t="shared" ref="AF84" si="106">AF82*0.35</f>
        <v>350016.72423295892</v>
      </c>
      <c r="AG84" s="208">
        <f t="shared" ref="AG84" si="107">AG82*0.35</f>
        <v>25730.937017612101</v>
      </c>
      <c r="AH84" s="303">
        <f t="shared" si="101"/>
        <v>815602.44883220631</v>
      </c>
      <c r="AJ84" s="264">
        <f t="shared" ref="AJ84" si="108">AJ82*0.35</f>
        <v>-45190892.607222393</v>
      </c>
    </row>
    <row r="85" spans="1:36">
      <c r="A85" s="209" t="s">
        <v>253</v>
      </c>
      <c r="B85" s="264"/>
      <c r="C85" s="208"/>
      <c r="D85" s="208"/>
      <c r="E85" s="208"/>
      <c r="F85" s="264"/>
      <c r="G85" s="208"/>
      <c r="H85" s="208"/>
      <c r="I85" s="208"/>
      <c r="J85" s="264"/>
      <c r="K85" s="208"/>
      <c r="L85" s="253"/>
      <c r="M85" s="208"/>
      <c r="N85" s="208"/>
      <c r="O85" s="313"/>
      <c r="P85" s="227"/>
      <c r="Q85" s="253"/>
      <c r="R85" s="208"/>
      <c r="S85" s="208"/>
      <c r="T85" s="208"/>
      <c r="U85" s="208"/>
      <c r="V85" s="208"/>
      <c r="W85" s="208"/>
      <c r="X85" s="208"/>
      <c r="Y85" s="208"/>
      <c r="Z85" s="208"/>
      <c r="AA85" s="208"/>
      <c r="AB85" s="208"/>
      <c r="AC85" s="208"/>
      <c r="AD85" s="208"/>
      <c r="AE85" s="208"/>
      <c r="AF85" s="208"/>
      <c r="AG85" s="208"/>
      <c r="AH85" s="303"/>
      <c r="AJ85" s="264"/>
    </row>
    <row r="86" spans="1:36" s="203" customFormat="1">
      <c r="A86" s="209" t="s">
        <v>254</v>
      </c>
      <c r="B86" s="272">
        <f t="shared" ref="B86" si="109">B84+B85</f>
        <v>-48725146.596948542</v>
      </c>
      <c r="C86" s="262"/>
      <c r="D86" s="262">
        <f t="shared" ref="D86:F86" si="110">D84+D85</f>
        <v>1726633.4491564641</v>
      </c>
      <c r="E86" s="262"/>
      <c r="F86" s="272">
        <f t="shared" si="110"/>
        <v>-46998513.147792071</v>
      </c>
      <c r="G86" s="262"/>
      <c r="H86" s="262">
        <f t="shared" ref="H86" si="111">H84+H85</f>
        <v>4758420.802080459</v>
      </c>
      <c r="I86" s="262"/>
      <c r="J86" s="272">
        <f t="shared" ref="J86:N86" si="112">J84+J85</f>
        <v>-42240092.345711619</v>
      </c>
      <c r="K86" s="208"/>
      <c r="L86" s="261">
        <f t="shared" si="112"/>
        <v>-3745153.0945334467</v>
      </c>
      <c r="M86" s="262">
        <f t="shared" si="112"/>
        <v>-105509.19183144374</v>
      </c>
      <c r="N86" s="262">
        <f t="shared" si="112"/>
        <v>84259.576021911096</v>
      </c>
      <c r="O86" s="320">
        <f t="shared" ref="O86" si="113">O84+O85</f>
        <v>-46006495.0560546</v>
      </c>
      <c r="P86" s="227"/>
      <c r="Q86" s="261">
        <f t="shared" ref="Q86:AH86" si="114">Q84+Q85</f>
        <v>140412.65024274873</v>
      </c>
      <c r="R86" s="262">
        <f t="shared" si="114"/>
        <v>-82838.297408845174</v>
      </c>
      <c r="S86" s="262">
        <f t="shared" si="114"/>
        <v>115234.6405070709</v>
      </c>
      <c r="T86" s="262">
        <f t="shared" si="114"/>
        <v>-160398.77047045965</v>
      </c>
      <c r="U86" s="262">
        <f t="shared" si="114"/>
        <v>4218.6554842063524</v>
      </c>
      <c r="V86" s="262">
        <f t="shared" si="114"/>
        <v>-7255.7640277494684</v>
      </c>
      <c r="W86" s="262">
        <f t="shared" si="114"/>
        <v>-4209.7604852752147</v>
      </c>
      <c r="X86" s="262">
        <f t="shared" si="114"/>
        <v>377294.96525321656</v>
      </c>
      <c r="Y86" s="262">
        <f t="shared" si="114"/>
        <v>-5868.7409850600789</v>
      </c>
      <c r="Z86" s="262">
        <f t="shared" si="114"/>
        <v>-44778.728970215285</v>
      </c>
      <c r="AA86" s="262">
        <f t="shared" si="114"/>
        <v>-23757.8146064385</v>
      </c>
      <c r="AB86" s="262">
        <f t="shared" si="114"/>
        <v>8361.7692666190269</v>
      </c>
      <c r="AC86" s="262">
        <f t="shared" si="114"/>
        <v>-15071.72289793213</v>
      </c>
      <c r="AD86" s="262">
        <f t="shared" si="114"/>
        <v>153286.13257518056</v>
      </c>
      <c r="AE86" s="262">
        <f t="shared" si="114"/>
        <v>-14774.425895431183</v>
      </c>
      <c r="AF86" s="262">
        <f t="shared" ref="AF86" si="115">AF84+AF85</f>
        <v>350016.72423295892</v>
      </c>
      <c r="AG86" s="262">
        <f t="shared" ref="AG86" si="116">AG84+AG85</f>
        <v>25730.937017612101</v>
      </c>
      <c r="AH86" s="308">
        <f t="shared" si="114"/>
        <v>815602.44883220631</v>
      </c>
      <c r="AJ86" s="272">
        <f t="shared" ref="AJ86" si="117">AJ84+AJ85</f>
        <v>-45190892.607222393</v>
      </c>
    </row>
    <row r="87" spans="1:36" s="203" customFormat="1">
      <c r="A87" s="209"/>
      <c r="B87" s="208"/>
      <c r="C87" s="208"/>
      <c r="D87" s="208"/>
      <c r="E87" s="208"/>
      <c r="F87" s="208"/>
      <c r="G87" s="208"/>
      <c r="H87" s="208"/>
      <c r="I87" s="208"/>
      <c r="J87" s="208"/>
      <c r="K87" s="208"/>
      <c r="L87" s="208"/>
      <c r="M87" s="208"/>
      <c r="N87" s="208"/>
      <c r="O87" s="208"/>
      <c r="P87" s="227"/>
      <c r="Q87" s="208"/>
      <c r="R87" s="208"/>
      <c r="S87" s="208"/>
      <c r="T87" s="208"/>
      <c r="U87" s="208"/>
      <c r="V87" s="208"/>
      <c r="W87" s="208"/>
      <c r="X87" s="208"/>
      <c r="Y87" s="208"/>
      <c r="Z87" s="208"/>
      <c r="AA87" s="208"/>
      <c r="AB87" s="208"/>
      <c r="AC87" s="208"/>
      <c r="AD87" s="208"/>
      <c r="AE87" s="208"/>
      <c r="AF87" s="208"/>
      <c r="AG87" s="208"/>
      <c r="AH87" s="208"/>
      <c r="AJ87" s="208"/>
    </row>
    <row r="88" spans="1:36" s="203" customFormat="1">
      <c r="A88" s="209"/>
      <c r="B88" s="208"/>
      <c r="C88" s="208"/>
      <c r="D88" s="208"/>
      <c r="E88" s="208"/>
      <c r="F88" s="208"/>
      <c r="G88" s="208"/>
      <c r="H88" s="208"/>
      <c r="I88" s="208"/>
      <c r="J88" s="208"/>
      <c r="K88" s="208"/>
      <c r="L88" s="208"/>
      <c r="M88" s="208"/>
      <c r="N88" s="208"/>
      <c r="O88" s="208"/>
      <c r="P88" s="227"/>
      <c r="Q88" s="208"/>
      <c r="R88" s="208"/>
      <c r="S88" s="208"/>
      <c r="T88" s="208"/>
      <c r="U88" s="208"/>
      <c r="V88" s="208"/>
      <c r="W88" s="208"/>
      <c r="X88" s="208"/>
      <c r="Y88" s="208"/>
      <c r="Z88" s="208"/>
      <c r="AA88" s="208"/>
      <c r="AB88" s="208"/>
      <c r="AC88" s="208"/>
      <c r="AD88" s="208"/>
      <c r="AE88" s="208"/>
      <c r="AF88" s="208"/>
      <c r="AG88" s="208"/>
      <c r="AH88" s="208"/>
      <c r="AJ88" s="208"/>
    </row>
    <row r="89" spans="1:36" s="203" customFormat="1">
      <c r="A89" s="216"/>
      <c r="B89" s="208"/>
      <c r="C89" s="208"/>
      <c r="D89" s="208"/>
      <c r="E89" s="208"/>
      <c r="F89" s="208"/>
      <c r="G89" s="208"/>
      <c r="H89" s="208"/>
      <c r="I89" s="208"/>
      <c r="J89" s="208"/>
      <c r="K89" s="208"/>
      <c r="L89" s="208"/>
      <c r="M89" s="208"/>
      <c r="N89" s="208"/>
      <c r="O89" s="208"/>
      <c r="P89" s="227"/>
      <c r="Q89" s="208"/>
      <c r="R89" s="208"/>
      <c r="S89" s="208"/>
      <c r="T89" s="208"/>
      <c r="U89" s="208"/>
      <c r="V89" s="208"/>
      <c r="W89" s="208"/>
      <c r="X89" s="208"/>
      <c r="Y89" s="208"/>
      <c r="Z89" s="208"/>
      <c r="AA89" s="208"/>
      <c r="AB89" s="208"/>
      <c r="AC89" s="208"/>
      <c r="AD89" s="208"/>
      <c r="AE89" s="208"/>
      <c r="AF89" s="208"/>
      <c r="AG89" s="208"/>
      <c r="AH89" s="208"/>
      <c r="AJ89" s="208"/>
    </row>
    <row r="90" spans="1:36" s="203" customFormat="1">
      <c r="A90" s="209"/>
      <c r="B90" s="208"/>
      <c r="C90" s="208"/>
      <c r="D90" s="208"/>
      <c r="E90" s="208"/>
      <c r="F90" s="208"/>
      <c r="G90" s="208"/>
      <c r="H90" s="208"/>
      <c r="I90" s="208"/>
      <c r="J90" s="208"/>
      <c r="K90" s="208"/>
      <c r="L90" s="208"/>
      <c r="M90" s="208"/>
      <c r="N90" s="208"/>
      <c r="O90" s="208"/>
      <c r="P90" s="227"/>
      <c r="Q90" s="208"/>
      <c r="R90" s="208"/>
      <c r="S90" s="208"/>
      <c r="T90" s="208"/>
      <c r="U90" s="208"/>
      <c r="V90" s="208"/>
      <c r="W90" s="208"/>
      <c r="X90" s="208"/>
      <c r="Y90" s="208"/>
      <c r="Z90" s="208"/>
      <c r="AA90" s="208"/>
      <c r="AB90" s="208"/>
      <c r="AC90" s="208"/>
      <c r="AD90" s="208"/>
      <c r="AE90" s="208"/>
      <c r="AF90" s="208"/>
      <c r="AG90" s="208"/>
      <c r="AH90" s="208"/>
      <c r="AJ90" s="208"/>
    </row>
    <row r="91" spans="1:36" s="203" customFormat="1">
      <c r="A91" s="209"/>
      <c r="P91" s="243"/>
    </row>
    <row r="92" spans="1:36" s="203" customFormat="1">
      <c r="A92" s="217"/>
      <c r="P92" s="243"/>
    </row>
    <row r="93" spans="1:36" s="203" customFormat="1">
      <c r="P93" s="243"/>
    </row>
  </sheetData>
  <pageMargins left="0.45" right="0.25" top="0.75" bottom="0.75" header="0.4" footer="0.5"/>
  <pageSetup scale="55" fitToWidth="0" orientation="portrait" r:id="rId1"/>
  <headerFooter alignWithMargins="0">
    <oddHeader>&amp;L&amp;"Arial,Regular"&amp;10WA UE-130043
Bench Request 9&amp;R&amp;"Arial,Bold"&amp;10Attachment Bench Request 9</oddHeader>
    <oddFooter>&amp;L&amp;"Arial,Regular"&amp;10&amp;F&amp;C9.0.&amp;P-1 - Columnar Summary</oddFooter>
    <firstFooter>&amp;C9.0 - Columnar Summary</firstFooter>
  </headerFooter>
  <colBreaks count="3" manualBreakCount="3">
    <brk id="10" max="83" man="1"/>
    <brk id="19" max="83" man="1"/>
    <brk id="28" max="83" man="1"/>
  </colBreaks>
  <ignoredErrors>
    <ignoredError sqref="AI11:AJ12 AH64 AJ64 AH66 AJ66 Q13:AE68 AG13:AG68 Q71:AE86 B69:C69 AG71:AG86 B70:C70 B71:J86 B14:J17 I69:J69 I70:J70 E69:G69 E70:G70 AF13:AF66 L14:N17 L71:N76 O69:O70 L70:N70 L19:N20 L23:N68 O14:O17 O71:O76 O19:O20 O23:O68 B13:I13 B19:J20 B18:I18 B23:J68 B21:I21 B22:I22" unlockedFormula="1"/>
    <ignoredError sqref="AI15:AJ17 AH65:AJ65 AI64 AH67:AJ68 AI66 AI14:AJ14 AI28:AJ28 AI19:AJ20 AI39:AJ41 AI29:AJ31 AI53:AJ55 AI42:AJ52 AI56:AJ63 AH11 AH15:AH17 AH18 AH12:AH14 AH28 AH39:AH41 AH42:AH51 AH29:AH38 AH19:AH27 AH56:AH63 AH52 AH53:AH55 AH71:AJ86 AI69:AJ69 AI70:AJ70 AI13 AI18 AI23:AJ27 AI21 AI22 AI38:AJ38 AI37 AI33:AJ36 AI32" formulaRange="1" unlockedFormula="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0"/>
  <sheetViews>
    <sheetView zoomScale="85" zoomScaleNormal="85" workbookViewId="0">
      <selection activeCell="T91" sqref="T91"/>
    </sheetView>
  </sheetViews>
  <sheetFormatPr defaultRowHeight="12.75"/>
  <cols>
    <col min="1" max="1" width="4.83203125" style="275" customWidth="1"/>
    <col min="2" max="2" width="8" style="275" customWidth="1"/>
    <col min="3" max="3" width="32.83203125" style="275" customWidth="1"/>
    <col min="4" max="4" width="12.33203125" style="275" customWidth="1"/>
    <col min="5" max="5" width="9.33203125" style="275"/>
    <col min="6" max="6" width="17" style="106" customWidth="1"/>
    <col min="7" max="7" width="9.33203125" style="276"/>
    <col min="8" max="8" width="12.1640625" style="276" bestFit="1" customWidth="1"/>
    <col min="9" max="9" width="15.33203125" style="276" bestFit="1" customWidth="1"/>
    <col min="10" max="16384" width="9.33203125" style="275"/>
  </cols>
  <sheetData>
    <row r="1" spans="1:10">
      <c r="A1" s="274" t="s">
        <v>118</v>
      </c>
      <c r="B1" s="274"/>
      <c r="I1" s="277" t="s">
        <v>272</v>
      </c>
      <c r="J1" s="330">
        <v>9.6</v>
      </c>
    </row>
    <row r="2" spans="1:10">
      <c r="A2" s="274" t="s">
        <v>186</v>
      </c>
      <c r="B2" s="274"/>
    </row>
    <row r="3" spans="1:10">
      <c r="A3" s="274" t="s">
        <v>371</v>
      </c>
      <c r="B3" s="274"/>
    </row>
    <row r="5" spans="1:10">
      <c r="F5" s="105" t="s">
        <v>274</v>
      </c>
      <c r="I5" s="276" t="s">
        <v>126</v>
      </c>
    </row>
    <row r="6" spans="1:10" ht="15">
      <c r="D6" s="279" t="s">
        <v>275</v>
      </c>
      <c r="E6" s="279" t="s">
        <v>276</v>
      </c>
      <c r="F6" s="280" t="s">
        <v>277</v>
      </c>
      <c r="G6" s="279" t="s">
        <v>278</v>
      </c>
      <c r="H6" s="279" t="s">
        <v>134</v>
      </c>
      <c r="I6" s="279" t="s">
        <v>279</v>
      </c>
      <c r="J6" s="279" t="s">
        <v>280</v>
      </c>
    </row>
    <row r="7" spans="1:10" ht="15">
      <c r="B7" s="274" t="s">
        <v>281</v>
      </c>
      <c r="D7" s="279"/>
      <c r="E7" s="279"/>
      <c r="F7" s="280"/>
      <c r="G7" s="279"/>
      <c r="H7" s="279"/>
      <c r="I7" s="279"/>
      <c r="J7" s="279"/>
    </row>
    <row r="8" spans="1:10" ht="15">
      <c r="B8" s="274"/>
      <c r="C8" s="281"/>
      <c r="D8" s="279"/>
      <c r="E8" s="279"/>
      <c r="F8" s="280"/>
      <c r="G8" s="279"/>
      <c r="H8" s="279"/>
      <c r="I8" s="279"/>
      <c r="J8" s="279"/>
    </row>
    <row r="9" spans="1:10">
      <c r="B9" s="274" t="s">
        <v>137</v>
      </c>
      <c r="C9" s="281"/>
    </row>
    <row r="10" spans="1:10">
      <c r="B10" s="281" t="s">
        <v>138</v>
      </c>
      <c r="C10" s="281"/>
      <c r="D10" s="282" t="s">
        <v>139</v>
      </c>
      <c r="E10" s="283" t="s">
        <v>286</v>
      </c>
      <c r="F10" s="106">
        <f>'9.1 - Summary '!W15</f>
        <v>0</v>
      </c>
      <c r="G10" s="276" t="s">
        <v>140</v>
      </c>
      <c r="H10" s="284">
        <v>0.2262649010137</v>
      </c>
      <c r="I10" s="276">
        <f>F10*H10</f>
        <v>0</v>
      </c>
      <c r="J10" s="276"/>
    </row>
    <row r="11" spans="1:10">
      <c r="B11" s="281" t="s">
        <v>141</v>
      </c>
      <c r="C11" s="281"/>
      <c r="D11" s="282" t="s">
        <v>139</v>
      </c>
      <c r="E11" s="283" t="s">
        <v>286</v>
      </c>
      <c r="F11" s="106">
        <f>'9.1 - Summary '!W16</f>
        <v>-45978162.129999995</v>
      </c>
      <c r="G11" s="276" t="s">
        <v>140</v>
      </c>
      <c r="H11" s="284">
        <v>0.2262649010137</v>
      </c>
      <c r="I11" s="276">
        <f t="shared" ref="I11:I12" si="0">F11*H11</f>
        <v>-10403244.303136298</v>
      </c>
      <c r="J11" s="276"/>
    </row>
    <row r="12" spans="1:10">
      <c r="B12" s="281" t="s">
        <v>142</v>
      </c>
      <c r="C12" s="281"/>
      <c r="D12" s="282" t="s">
        <v>139</v>
      </c>
      <c r="E12" s="283" t="s">
        <v>286</v>
      </c>
      <c r="F12" s="106">
        <f>'9.1 - Summary '!W17</f>
        <v>0</v>
      </c>
      <c r="G12" s="276" t="s">
        <v>143</v>
      </c>
      <c r="H12" s="284">
        <v>0.22648067236840891</v>
      </c>
      <c r="I12" s="276">
        <f t="shared" si="0"/>
        <v>0</v>
      </c>
      <c r="J12" s="276"/>
    </row>
    <row r="13" spans="1:10">
      <c r="B13" s="281" t="s">
        <v>144</v>
      </c>
      <c r="C13" s="281"/>
      <c r="D13" s="282"/>
      <c r="E13" s="283"/>
      <c r="F13" s="285">
        <f>SUM(F10:F12)</f>
        <v>-45978162.129999995</v>
      </c>
      <c r="H13" s="284"/>
      <c r="I13" s="285">
        <f>SUM(I10:I12)</f>
        <v>-10403244.303136298</v>
      </c>
      <c r="J13" s="332" t="s">
        <v>334</v>
      </c>
    </row>
    <row r="14" spans="1:10">
      <c r="B14" s="281"/>
      <c r="C14" s="286"/>
      <c r="D14" s="282"/>
      <c r="E14" s="283"/>
      <c r="H14" s="284"/>
    </row>
    <row r="15" spans="1:10">
      <c r="B15" s="274" t="s">
        <v>145</v>
      </c>
      <c r="C15" s="286"/>
      <c r="D15" s="282"/>
      <c r="E15" s="283"/>
      <c r="H15" s="284"/>
    </row>
    <row r="16" spans="1:10">
      <c r="B16" s="281" t="s">
        <v>146</v>
      </c>
      <c r="C16" s="286"/>
      <c r="D16" s="282" t="s">
        <v>147</v>
      </c>
      <c r="E16" s="283" t="s">
        <v>286</v>
      </c>
      <c r="F16" s="106">
        <f>'9.1 - Summary '!W21</f>
        <v>0</v>
      </c>
      <c r="G16" s="276" t="s">
        <v>140</v>
      </c>
      <c r="H16" s="284">
        <v>0.2262649010137</v>
      </c>
      <c r="I16" s="276">
        <f t="shared" ref="I16:I20" si="1">F16*H16</f>
        <v>0</v>
      </c>
      <c r="J16" s="276"/>
    </row>
    <row r="17" spans="2:10">
      <c r="B17" s="281" t="s">
        <v>148</v>
      </c>
      <c r="C17" s="286"/>
      <c r="D17" s="282" t="s">
        <v>147</v>
      </c>
      <c r="E17" s="283" t="s">
        <v>286</v>
      </c>
      <c r="F17" s="106">
        <f>'9.1 - Summary '!W22</f>
        <v>0</v>
      </c>
      <c r="G17" s="276" t="s">
        <v>143</v>
      </c>
      <c r="H17" s="284">
        <v>0.22648067236840891</v>
      </c>
      <c r="I17" s="276">
        <f t="shared" si="1"/>
        <v>0</v>
      </c>
      <c r="J17" s="276"/>
    </row>
    <row r="18" spans="2:10">
      <c r="B18" s="281" t="s">
        <v>149</v>
      </c>
      <c r="C18" s="286"/>
      <c r="D18" s="282" t="s">
        <v>147</v>
      </c>
      <c r="E18" s="283" t="s">
        <v>286</v>
      </c>
      <c r="F18" s="106">
        <f>'9.1 - Summary '!W23</f>
        <v>0</v>
      </c>
      <c r="G18" s="276" t="s">
        <v>140</v>
      </c>
      <c r="H18" s="284">
        <v>0.2262649010137</v>
      </c>
      <c r="I18" s="276">
        <f t="shared" si="1"/>
        <v>0</v>
      </c>
      <c r="J18" s="276"/>
    </row>
    <row r="19" spans="2:10">
      <c r="B19" s="281" t="s">
        <v>150</v>
      </c>
      <c r="C19" s="286"/>
      <c r="D19" s="282" t="s">
        <v>147</v>
      </c>
      <c r="E19" s="283" t="s">
        <v>286</v>
      </c>
      <c r="F19" s="106">
        <f>'9.1 - Summary '!W24</f>
        <v>-41099215.769999981</v>
      </c>
      <c r="G19" s="276" t="s">
        <v>140</v>
      </c>
      <c r="H19" s="284">
        <v>0.2262649010137</v>
      </c>
      <c r="I19" s="276">
        <f t="shared" si="1"/>
        <v>-9299309.9879397433</v>
      </c>
      <c r="J19" s="276"/>
    </row>
    <row r="20" spans="2:10">
      <c r="B20" s="281" t="s">
        <v>151</v>
      </c>
      <c r="C20" s="281"/>
      <c r="D20" s="282" t="s">
        <v>147</v>
      </c>
      <c r="E20" s="283" t="s">
        <v>286</v>
      </c>
      <c r="F20" s="106">
        <f>'9.1 - Summary '!W25</f>
        <v>0</v>
      </c>
      <c r="G20" s="276" t="s">
        <v>140</v>
      </c>
      <c r="H20" s="284">
        <v>0.2262649010137</v>
      </c>
      <c r="I20" s="276">
        <f t="shared" si="1"/>
        <v>0</v>
      </c>
      <c r="J20" s="276"/>
    </row>
    <row r="21" spans="2:10">
      <c r="B21" s="281" t="s">
        <v>152</v>
      </c>
      <c r="C21" s="281"/>
      <c r="D21" s="282"/>
      <c r="E21" s="283"/>
      <c r="F21" s="285">
        <f>SUM(F16:F20)</f>
        <v>-41099215.769999981</v>
      </c>
      <c r="H21" s="284"/>
      <c r="I21" s="285">
        <f>SUM(I16:I20)</f>
        <v>-9299309.9879397433</v>
      </c>
      <c r="J21" s="332" t="s">
        <v>334</v>
      </c>
    </row>
    <row r="22" spans="2:10">
      <c r="B22" s="281"/>
      <c r="C22" s="281"/>
      <c r="D22" s="282"/>
      <c r="E22" s="283"/>
      <c r="H22" s="284"/>
    </row>
    <row r="23" spans="2:10">
      <c r="B23" s="274" t="s">
        <v>153</v>
      </c>
      <c r="C23" s="281"/>
      <c r="D23" s="282"/>
      <c r="E23" s="283"/>
      <c r="H23" s="284"/>
      <c r="J23" s="276"/>
    </row>
    <row r="24" spans="2:10">
      <c r="B24" s="281" t="s">
        <v>154</v>
      </c>
      <c r="C24" s="281"/>
      <c r="D24" s="282" t="s">
        <v>155</v>
      </c>
      <c r="E24" s="283" t="s">
        <v>286</v>
      </c>
      <c r="F24" s="106">
        <f>'9.1 - Summary '!W29</f>
        <v>0</v>
      </c>
      <c r="G24" s="276" t="s">
        <v>140</v>
      </c>
      <c r="H24" s="284">
        <v>0.2262649010137</v>
      </c>
      <c r="I24" s="276">
        <f t="shared" ref="I24:I26" si="2">F24*H24</f>
        <v>0</v>
      </c>
      <c r="J24" s="276"/>
    </row>
    <row r="25" spans="2:10">
      <c r="B25" s="281" t="s">
        <v>156</v>
      </c>
      <c r="C25" s="286"/>
      <c r="D25" s="282" t="s">
        <v>155</v>
      </c>
      <c r="E25" s="283" t="s">
        <v>286</v>
      </c>
      <c r="F25" s="106">
        <f>'9.1 - Summary '!W30</f>
        <v>0</v>
      </c>
      <c r="G25" s="276" t="s">
        <v>140</v>
      </c>
      <c r="H25" s="284">
        <v>0.2262649010137</v>
      </c>
      <c r="I25" s="276">
        <f t="shared" si="2"/>
        <v>0</v>
      </c>
      <c r="J25" s="276"/>
    </row>
    <row r="26" spans="2:10">
      <c r="B26" s="281" t="s">
        <v>157</v>
      </c>
      <c r="C26" s="286"/>
      <c r="D26" s="282" t="s">
        <v>155</v>
      </c>
      <c r="E26" s="283" t="s">
        <v>286</v>
      </c>
      <c r="F26" s="106">
        <f>'9.1 - Summary '!W31</f>
        <v>0</v>
      </c>
      <c r="G26" s="276" t="s">
        <v>143</v>
      </c>
      <c r="H26" s="284">
        <v>0.22648067236840891</v>
      </c>
      <c r="I26" s="276">
        <f t="shared" si="2"/>
        <v>0</v>
      </c>
      <c r="J26" s="276"/>
    </row>
    <row r="27" spans="2:10">
      <c r="B27" s="281" t="s">
        <v>158</v>
      </c>
      <c r="C27" s="281"/>
      <c r="D27" s="282"/>
      <c r="E27" s="283"/>
      <c r="F27" s="285">
        <f>SUM(F24:F26)</f>
        <v>0</v>
      </c>
      <c r="H27" s="284"/>
      <c r="I27" s="285">
        <f>SUM(I24:I26)</f>
        <v>0</v>
      </c>
      <c r="J27" s="332" t="s">
        <v>334</v>
      </c>
    </row>
    <row r="28" spans="2:10">
      <c r="B28" s="281"/>
      <c r="C28" s="281"/>
      <c r="D28" s="282"/>
      <c r="E28" s="283"/>
      <c r="H28" s="284"/>
    </row>
    <row r="29" spans="2:10">
      <c r="B29" s="274" t="s">
        <v>159</v>
      </c>
      <c r="C29" s="274"/>
      <c r="D29" s="282"/>
      <c r="E29" s="283"/>
      <c r="H29" s="284"/>
      <c r="J29" s="276"/>
    </row>
    <row r="30" spans="2:10">
      <c r="B30" s="281" t="s">
        <v>160</v>
      </c>
      <c r="C30" s="274"/>
      <c r="D30" s="282" t="s">
        <v>161</v>
      </c>
      <c r="E30" s="283" t="s">
        <v>286</v>
      </c>
      <c r="F30" s="106">
        <f>'9.1 - Summary '!W35</f>
        <v>-4042264.5200000107</v>
      </c>
      <c r="G30" s="276" t="s">
        <v>143</v>
      </c>
      <c r="H30" s="284">
        <v>0.22648067236840891</v>
      </c>
      <c r="I30" s="276">
        <f t="shared" ref="I30:I31" si="3">F30*H30</f>
        <v>-915494.78638056607</v>
      </c>
      <c r="J30" s="276"/>
    </row>
    <row r="31" spans="2:10">
      <c r="B31" s="281" t="s">
        <v>162</v>
      </c>
      <c r="C31" s="274"/>
      <c r="D31" s="282" t="s">
        <v>163</v>
      </c>
      <c r="E31" s="283" t="s">
        <v>286</v>
      </c>
      <c r="F31" s="106">
        <f>'9.1 - Summary '!W36</f>
        <v>499006.39999999106</v>
      </c>
      <c r="G31" s="276" t="s">
        <v>143</v>
      </c>
      <c r="H31" s="284">
        <v>0.22648067236840891</v>
      </c>
      <c r="I31" s="276">
        <f t="shared" si="3"/>
        <v>113015.30498813718</v>
      </c>
      <c r="J31" s="276"/>
    </row>
    <row r="32" spans="2:10">
      <c r="B32" s="281" t="s">
        <v>164</v>
      </c>
      <c r="C32" s="274"/>
      <c r="D32" s="282"/>
      <c r="E32" s="283"/>
      <c r="F32" s="285">
        <f>SUM(F30:F31)</f>
        <v>-3543258.1200000197</v>
      </c>
      <c r="H32" s="287"/>
      <c r="I32" s="285">
        <f>SUM(I30:I31)</f>
        <v>-802479.48139242886</v>
      </c>
      <c r="J32" s="332" t="s">
        <v>334</v>
      </c>
    </row>
    <row r="33" spans="1:11">
      <c r="B33" s="281"/>
      <c r="C33" s="274"/>
      <c r="D33" s="282"/>
      <c r="E33" s="283"/>
      <c r="H33" s="287"/>
      <c r="I33" s="106"/>
      <c r="J33" s="276"/>
    </row>
    <row r="34" spans="1:11">
      <c r="B34" s="288" t="s">
        <v>284</v>
      </c>
      <c r="C34" s="274"/>
      <c r="D34" s="282"/>
      <c r="E34" s="283"/>
      <c r="F34" s="285">
        <f>-F13+F21+F27+F32</f>
        <v>1335688.2399999946</v>
      </c>
      <c r="H34" s="287"/>
      <c r="I34" s="285">
        <f>-I13+I21+I27+I32</f>
        <v>301454.83380412625</v>
      </c>
      <c r="J34" s="332" t="s">
        <v>334</v>
      </c>
    </row>
    <row r="35" spans="1:11">
      <c r="C35" s="274"/>
      <c r="F35" s="289"/>
      <c r="J35" s="276"/>
    </row>
    <row r="36" spans="1:11">
      <c r="C36" s="274"/>
      <c r="F36" s="289"/>
      <c r="J36" s="276"/>
    </row>
    <row r="37" spans="1:11">
      <c r="C37" s="274"/>
      <c r="F37" s="289"/>
      <c r="J37" s="276"/>
    </row>
    <row r="42" spans="1:11" ht="13.5" thickBot="1">
      <c r="B42" s="290" t="s">
        <v>283</v>
      </c>
    </row>
    <row r="43" spans="1:11">
      <c r="A43" s="347" t="s">
        <v>407</v>
      </c>
      <c r="B43" s="348"/>
      <c r="C43" s="348"/>
      <c r="D43" s="348"/>
      <c r="E43" s="348"/>
      <c r="F43" s="348"/>
      <c r="G43" s="348"/>
      <c r="H43" s="348"/>
      <c r="I43" s="348"/>
      <c r="J43" s="348"/>
      <c r="K43" s="349"/>
    </row>
    <row r="44" spans="1:11">
      <c r="A44" s="350"/>
      <c r="B44" s="351"/>
      <c r="C44" s="351"/>
      <c r="D44" s="351"/>
      <c r="E44" s="351"/>
      <c r="F44" s="351"/>
      <c r="G44" s="351"/>
      <c r="H44" s="351"/>
      <c r="I44" s="351"/>
      <c r="J44" s="351"/>
      <c r="K44" s="352"/>
    </row>
    <row r="45" spans="1:11">
      <c r="A45" s="350"/>
      <c r="B45" s="351"/>
      <c r="C45" s="351"/>
      <c r="D45" s="351"/>
      <c r="E45" s="351"/>
      <c r="F45" s="351"/>
      <c r="G45" s="351"/>
      <c r="H45" s="351"/>
      <c r="I45" s="351"/>
      <c r="J45" s="351"/>
      <c r="K45" s="352"/>
    </row>
    <row r="46" spans="1:11">
      <c r="A46" s="350"/>
      <c r="B46" s="351"/>
      <c r="C46" s="351"/>
      <c r="D46" s="351"/>
      <c r="E46" s="351"/>
      <c r="F46" s="351"/>
      <c r="G46" s="351"/>
      <c r="H46" s="351"/>
      <c r="I46" s="351"/>
      <c r="J46" s="351"/>
      <c r="K46" s="352"/>
    </row>
    <row r="47" spans="1:11">
      <c r="A47" s="350"/>
      <c r="B47" s="351"/>
      <c r="C47" s="351"/>
      <c r="D47" s="351"/>
      <c r="E47" s="351"/>
      <c r="F47" s="351"/>
      <c r="G47" s="351"/>
      <c r="H47" s="351"/>
      <c r="I47" s="351"/>
      <c r="J47" s="351"/>
      <c r="K47" s="352"/>
    </row>
    <row r="48" spans="1:11">
      <c r="A48" s="350"/>
      <c r="B48" s="351"/>
      <c r="C48" s="351"/>
      <c r="D48" s="351"/>
      <c r="E48" s="351"/>
      <c r="F48" s="351"/>
      <c r="G48" s="351"/>
      <c r="H48" s="351"/>
      <c r="I48" s="351"/>
      <c r="J48" s="351"/>
      <c r="K48" s="352"/>
    </row>
    <row r="49" spans="1:11">
      <c r="A49" s="350"/>
      <c r="B49" s="351"/>
      <c r="C49" s="351"/>
      <c r="D49" s="351"/>
      <c r="E49" s="351"/>
      <c r="F49" s="351"/>
      <c r="G49" s="351"/>
      <c r="H49" s="351"/>
      <c r="I49" s="351"/>
      <c r="J49" s="351"/>
      <c r="K49" s="352"/>
    </row>
    <row r="50" spans="1:11" ht="13.5" thickBot="1">
      <c r="A50" s="353"/>
      <c r="B50" s="354"/>
      <c r="C50" s="354"/>
      <c r="D50" s="354"/>
      <c r="E50" s="354"/>
      <c r="F50" s="354"/>
      <c r="G50" s="354"/>
      <c r="H50" s="354"/>
      <c r="I50" s="354"/>
      <c r="J50" s="354"/>
      <c r="K50" s="355"/>
    </row>
  </sheetData>
  <mergeCells count="1">
    <mergeCell ref="A43:K50"/>
  </mergeCells>
  <conditionalFormatting sqref="B9:B26">
    <cfRule type="cellIs" dxfId="62" priority="3" stopIfTrue="1" operator="equal">
      <formula>"Adjustment to Income/Expense/Rate Base:"</formula>
    </cfRule>
  </conditionalFormatting>
  <conditionalFormatting sqref="B20:B22">
    <cfRule type="cellIs" dxfId="61" priority="2" stopIfTrue="1" operator="equal">
      <formula>"Title"</formula>
    </cfRule>
  </conditionalFormatting>
  <conditionalFormatting sqref="B27:B34">
    <cfRule type="cellIs" dxfId="60" priority="1" stopIfTrue="1" operator="equal">
      <formula>"Adjustment to Income/Expense/Rate Base:"</formula>
    </cfRule>
  </conditionalFormatting>
  <pageMargins left="0.65" right="0.72" top="1" bottom="1" header="0.5" footer="0.5"/>
  <pageSetup scale="72" orientation="portrait" r:id="rId1"/>
  <headerFooter alignWithMargins="0">
    <oddHeader>&amp;L&amp;"Arial,Regular"&amp;10WA UE-130043
Bench Request 9&amp;R&amp;"Arial,Bold"&amp;10Attachment Bench Request 9</oddHeader>
    <oddFooter>&amp;L&amp;"Arial,Regular"&amp;10&amp;F&amp;C&amp;A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23"/>
  <sheetViews>
    <sheetView view="pageBreakPreview" zoomScale="85" zoomScaleNormal="85" zoomScaleSheetLayoutView="85" workbookViewId="0">
      <pane xSplit="3" ySplit="6" topLeftCell="D7" activePane="bottomRight" state="frozen"/>
      <selection activeCell="T91" sqref="T91"/>
      <selection pane="topRight" activeCell="T91" sqref="T91"/>
      <selection pane="bottomLeft" activeCell="T91" sqref="T91"/>
      <selection pane="bottomRight" activeCell="T91" sqref="T91"/>
    </sheetView>
  </sheetViews>
  <sheetFormatPr defaultColWidth="11" defaultRowHeight="10.5"/>
  <cols>
    <col min="1" max="1" width="3" style="3" customWidth="1"/>
    <col min="2" max="2" width="2.6640625" style="3" customWidth="1"/>
    <col min="3" max="3" width="33.1640625" style="3" customWidth="1"/>
    <col min="4" max="4" width="13.83203125" style="3" customWidth="1"/>
    <col min="5" max="5" width="2.33203125" style="3" customWidth="1"/>
    <col min="6" max="6" width="15.83203125" style="3" customWidth="1"/>
    <col min="7" max="8" width="13.33203125" style="3" bestFit="1" customWidth="1"/>
    <col min="9" max="9" width="13.83203125" style="3" bestFit="1" customWidth="1"/>
    <col min="10" max="10" width="11" style="3" customWidth="1"/>
    <col min="11" max="11" width="14.5" style="3" customWidth="1"/>
    <col min="12" max="12" width="11" style="3" customWidth="1"/>
    <col min="13" max="13" width="14.1640625" style="3" bestFit="1" customWidth="1"/>
    <col min="14" max="14" width="20.1640625" style="27" bestFit="1" customWidth="1"/>
    <col min="15" max="15" width="15" style="3" bestFit="1" customWidth="1"/>
    <col min="16" max="16" width="14.6640625" style="3" bestFit="1" customWidth="1"/>
    <col min="17" max="16384" width="11" style="3"/>
  </cols>
  <sheetData>
    <row r="1" spans="1:14">
      <c r="A1" s="4" t="s">
        <v>118</v>
      </c>
      <c r="D1"/>
      <c r="E1" s="9"/>
      <c r="F1" s="8" t="s">
        <v>42</v>
      </c>
    </row>
    <row r="2" spans="1:14">
      <c r="A2" s="20"/>
      <c r="D2"/>
      <c r="E2" s="9"/>
      <c r="F2" s="9" t="s">
        <v>0</v>
      </c>
      <c r="K2" s="50"/>
    </row>
    <row r="3" spans="1:14">
      <c r="A3" s="5" t="s">
        <v>52</v>
      </c>
      <c r="D3" s="10"/>
      <c r="E3" s="10"/>
      <c r="F3" s="8" t="s">
        <v>1</v>
      </c>
    </row>
    <row r="4" spans="1:14">
      <c r="A4" s="358">
        <v>41974</v>
      </c>
      <c r="B4" s="358"/>
      <c r="C4" s="358"/>
      <c r="D4" s="10"/>
      <c r="E4" s="10"/>
      <c r="F4" s="9"/>
    </row>
    <row r="5" spans="1:14">
      <c r="B5" s="5"/>
      <c r="D5" s="11" t="s">
        <v>2</v>
      </c>
      <c r="E5" s="11"/>
      <c r="F5" s="12" t="s">
        <v>3</v>
      </c>
      <c r="G5" s="12" t="s">
        <v>3</v>
      </c>
      <c r="H5" s="12"/>
      <c r="I5" s="12"/>
    </row>
    <row r="6" spans="1:14" s="11" customFormat="1">
      <c r="A6" s="3"/>
      <c r="B6" s="3"/>
      <c r="C6" s="3"/>
      <c r="D6" s="41" t="s">
        <v>117</v>
      </c>
      <c r="E6" s="15"/>
      <c r="F6" s="13" t="s">
        <v>4</v>
      </c>
      <c r="G6" s="13" t="s">
        <v>5</v>
      </c>
      <c r="H6" s="13" t="s">
        <v>6</v>
      </c>
      <c r="I6" s="13" t="s">
        <v>7</v>
      </c>
      <c r="N6" s="28"/>
    </row>
    <row r="7" spans="1:14">
      <c r="A7" s="3" t="s">
        <v>8</v>
      </c>
      <c r="F7" s="6"/>
      <c r="G7" s="6"/>
      <c r="H7" s="6"/>
      <c r="I7" s="6"/>
    </row>
    <row r="8" spans="1:14">
      <c r="B8" t="s">
        <v>9</v>
      </c>
      <c r="D8" s="26">
        <v>12964800</v>
      </c>
      <c r="E8" s="16"/>
      <c r="F8" s="26">
        <f>D8</f>
        <v>12964800</v>
      </c>
      <c r="G8"/>
      <c r="H8"/>
      <c r="I8"/>
    </row>
    <row r="9" spans="1:14" hidden="1">
      <c r="B9"/>
      <c r="D9" s="16"/>
      <c r="E9" s="16"/>
      <c r="F9" s="1"/>
      <c r="G9" s="6"/>
      <c r="H9" s="6"/>
      <c r="I9" s="6"/>
    </row>
    <row r="10" spans="1:14">
      <c r="B10" t="s">
        <v>10</v>
      </c>
      <c r="D10" s="26">
        <v>106841968.88</v>
      </c>
      <c r="E10" s="16"/>
      <c r="F10" s="1"/>
      <c r="G10" s="6"/>
      <c r="H10" s="6"/>
      <c r="I10" s="26">
        <f>D10</f>
        <v>106841968.88</v>
      </c>
    </row>
    <row r="11" spans="1:14" hidden="1">
      <c r="B11"/>
      <c r="D11" s="16"/>
      <c r="E11" s="16"/>
      <c r="F11" s="1"/>
      <c r="G11" s="6"/>
      <c r="H11" s="6"/>
      <c r="I11" s="6"/>
    </row>
    <row r="12" spans="1:14" hidden="1">
      <c r="B12" t="s">
        <v>11</v>
      </c>
      <c r="D12" s="26">
        <v>0</v>
      </c>
      <c r="E12" s="16"/>
      <c r="F12" s="26">
        <f>D12</f>
        <v>0</v>
      </c>
      <c r="G12" s="6"/>
      <c r="H12" s="6"/>
      <c r="I12" s="6"/>
    </row>
    <row r="13" spans="1:14" hidden="1">
      <c r="C13"/>
      <c r="D13" s="16"/>
      <c r="E13" s="16"/>
      <c r="F13" s="6"/>
      <c r="G13" s="6"/>
      <c r="H13" s="6"/>
      <c r="I13" s="6"/>
    </row>
    <row r="14" spans="1:14" hidden="1">
      <c r="B14" s="3" t="s">
        <v>12</v>
      </c>
      <c r="C14"/>
      <c r="D14" s="26">
        <v>0</v>
      </c>
      <c r="E14" s="16"/>
      <c r="F14" s="6"/>
      <c r="G14" s="6"/>
      <c r="H14" s="26">
        <f>D14</f>
        <v>0</v>
      </c>
      <c r="I14" s="6"/>
    </row>
    <row r="15" spans="1:14" ht="11.25" thickBot="1">
      <c r="D15" s="11" t="s">
        <v>14</v>
      </c>
      <c r="E15" s="14" t="s">
        <v>13</v>
      </c>
      <c r="F15" s="11" t="s">
        <v>14</v>
      </c>
      <c r="G15" s="11" t="s">
        <v>14</v>
      </c>
      <c r="H15" s="11" t="s">
        <v>14</v>
      </c>
      <c r="I15" s="11" t="s">
        <v>14</v>
      </c>
    </row>
    <row r="16" spans="1:14" ht="11.25" thickBot="1">
      <c r="A16" s="3" t="s">
        <v>15</v>
      </c>
      <c r="D16" s="26">
        <f>SUM(D8:D14)</f>
        <v>119806768.88</v>
      </c>
      <c r="E16" s="16"/>
      <c r="F16" s="26">
        <f>SUM(F8:F14)</f>
        <v>12964800</v>
      </c>
      <c r="G16" s="26">
        <f>SUM(G8:G14)</f>
        <v>0</v>
      </c>
      <c r="H16" s="26">
        <f>SUM(H8:H14)</f>
        <v>0</v>
      </c>
      <c r="I16" s="26">
        <f>SUM(I8:I14)</f>
        <v>106841968.88</v>
      </c>
      <c r="K16" s="36">
        <v>0</v>
      </c>
      <c r="L16" s="24" t="s">
        <v>40</v>
      </c>
      <c r="M16" s="37">
        <f>D16-SUM(F16:I16)</f>
        <v>0</v>
      </c>
    </row>
    <row r="17" spans="1:19">
      <c r="D17" s="16"/>
      <c r="E17" s="16"/>
      <c r="F17" s="16"/>
      <c r="G17" s="16"/>
      <c r="H17" s="16"/>
      <c r="I17" s="16"/>
      <c r="P17" s="8" t="s">
        <v>67</v>
      </c>
    </row>
    <row r="18" spans="1:19">
      <c r="D18"/>
      <c r="E18" s="6"/>
      <c r="F18" s="6"/>
      <c r="G18" s="6"/>
      <c r="H18" s="6"/>
      <c r="I18" s="6"/>
      <c r="N18" s="39"/>
      <c r="O18" s="35"/>
      <c r="P18" s="48">
        <f>+A4</f>
        <v>41974</v>
      </c>
    </row>
    <row r="19" spans="1:19" ht="11.25">
      <c r="A19" s="3" t="s">
        <v>16</v>
      </c>
      <c r="D19" s="16"/>
      <c r="E19" s="16"/>
      <c r="F19" s="45"/>
      <c r="G19" s="6"/>
      <c r="H19" s="6"/>
      <c r="I19" s="6"/>
      <c r="N19" s="29" t="s">
        <v>56</v>
      </c>
      <c r="O19" s="42">
        <v>0.42634034956164213</v>
      </c>
      <c r="P19" s="16">
        <v>14785516.07</v>
      </c>
      <c r="Q19" s="44"/>
      <c r="R19" s="30"/>
      <c r="S19" s="16"/>
    </row>
    <row r="20" spans="1:19" ht="11.25" hidden="1">
      <c r="B20"/>
      <c r="C20" s="3" t="s">
        <v>17</v>
      </c>
      <c r="D20" s="26">
        <v>0</v>
      </c>
      <c r="E20" s="16"/>
      <c r="F20" s="26">
        <f>D20</f>
        <v>0</v>
      </c>
      <c r="G20" s="6"/>
      <c r="H20" s="6"/>
      <c r="I20" s="6"/>
      <c r="N20" s="29" t="s">
        <v>58</v>
      </c>
      <c r="O20" s="42">
        <f>1-O19</f>
        <v>0.57365965043835787</v>
      </c>
      <c r="P20" s="16">
        <v>19894560.739999998</v>
      </c>
      <c r="Q20" s="44"/>
      <c r="R20" s="30"/>
      <c r="S20" s="16"/>
    </row>
    <row r="21" spans="1:19" ht="11.25" hidden="1">
      <c r="B21"/>
      <c r="C21" s="3" t="s">
        <v>18</v>
      </c>
      <c r="D21" s="26">
        <v>0</v>
      </c>
      <c r="E21" s="16"/>
      <c r="F21" s="26">
        <f>D21-G21</f>
        <v>0</v>
      </c>
      <c r="G21" s="26">
        <v>0</v>
      </c>
      <c r="H21" s="6"/>
      <c r="I21" s="6"/>
      <c r="N21" s="29" t="s">
        <v>57</v>
      </c>
      <c r="O21" s="42">
        <f>IFERROR(P21/(P21+P22),0)</f>
        <v>0</v>
      </c>
      <c r="P21" s="16">
        <v>0</v>
      </c>
      <c r="Q21" s="44"/>
      <c r="R21" s="30"/>
      <c r="S21" s="16"/>
    </row>
    <row r="22" spans="1:19" ht="11.25">
      <c r="B22"/>
      <c r="C22" s="3" t="s">
        <v>19</v>
      </c>
      <c r="D22" s="26">
        <v>-148246.80999999959</v>
      </c>
      <c r="E22" s="16"/>
      <c r="F22" s="26">
        <f>D22*0.3</f>
        <v>-44474.042999999874</v>
      </c>
      <c r="G22" s="26">
        <f>D22*0.7</f>
        <v>-103772.7669999997</v>
      </c>
      <c r="H22" s="6"/>
      <c r="I22" s="6"/>
      <c r="N22" s="29" t="s">
        <v>59</v>
      </c>
      <c r="O22" s="42">
        <f>1-O21</f>
        <v>1</v>
      </c>
      <c r="P22" s="16">
        <v>0</v>
      </c>
      <c r="Q22" s="44"/>
      <c r="R22" s="30"/>
      <c r="S22" s="16"/>
    </row>
    <row r="23" spans="1:19">
      <c r="B23"/>
      <c r="C23" s="3" t="s">
        <v>20</v>
      </c>
      <c r="D23" s="26">
        <v>270000</v>
      </c>
      <c r="E23" s="16"/>
      <c r="F23" s="26">
        <f>D23*0.2073628</f>
        <v>55987.956000000006</v>
      </c>
      <c r="G23" s="26">
        <f>D23-F23</f>
        <v>214012.04399999999</v>
      </c>
      <c r="H23" s="6"/>
      <c r="I23" s="6"/>
    </row>
    <row r="24" spans="1:19">
      <c r="B24"/>
      <c r="C24" s="3" t="s">
        <v>21</v>
      </c>
      <c r="D24" s="26">
        <f>N27</f>
        <v>76897305.959999993</v>
      </c>
      <c r="E24" s="16"/>
      <c r="F24" s="31">
        <f>(N25+N24*O19)*K24</f>
        <v>2517906.851172646</v>
      </c>
      <c r="G24" s="31">
        <f>(N25+N24*O19)*L24</f>
        <v>12267609.214563949</v>
      </c>
      <c r="H24" s="6"/>
      <c r="I24" s="31">
        <f>(N26+N24*O20)</f>
        <v>62111789.894263402</v>
      </c>
      <c r="K24" s="25">
        <v>0.17029549999999999</v>
      </c>
      <c r="L24" s="25">
        <f>1-K24</f>
        <v>0.82970450000000007</v>
      </c>
      <c r="N24" s="26">
        <v>34680076.799999997</v>
      </c>
      <c r="O24" t="s">
        <v>53</v>
      </c>
    </row>
    <row r="25" spans="1:19">
      <c r="B25"/>
      <c r="C25" s="49" t="s">
        <v>90</v>
      </c>
      <c r="D25" s="26">
        <v>0</v>
      </c>
      <c r="E25" s="16"/>
      <c r="F25" s="6"/>
      <c r="G25" s="26">
        <f>D25</f>
        <v>0</v>
      </c>
      <c r="H25" s="6"/>
      <c r="I25" s="26"/>
      <c r="N25" s="26">
        <v>0</v>
      </c>
      <c r="O25" t="s">
        <v>50</v>
      </c>
    </row>
    <row r="26" spans="1:19">
      <c r="B26" s="40" t="s">
        <v>65</v>
      </c>
      <c r="C26" s="14"/>
      <c r="D26" s="11" t="s">
        <v>14</v>
      </c>
      <c r="E26" s="14" t="s">
        <v>13</v>
      </c>
      <c r="F26" s="11" t="s">
        <v>14</v>
      </c>
      <c r="G26" s="11" t="s">
        <v>14</v>
      </c>
      <c r="H26" s="11" t="s">
        <v>14</v>
      </c>
      <c r="I26" s="11" t="s">
        <v>14</v>
      </c>
      <c r="K26" s="25"/>
      <c r="L26" s="25"/>
      <c r="N26" s="43">
        <v>42217229.159999996</v>
      </c>
      <c r="O26" t="s">
        <v>49</v>
      </c>
    </row>
    <row r="27" spans="1:19">
      <c r="B27" s="3" t="s">
        <v>22</v>
      </c>
      <c r="C27"/>
      <c r="D27" s="26">
        <f>SUM(D20:D26)</f>
        <v>77019059.149999991</v>
      </c>
      <c r="E27" s="16"/>
      <c r="F27" s="26">
        <f t="shared" ref="F27:I27" si="0">SUM(F20:F26)</f>
        <v>2529420.7641726462</v>
      </c>
      <c r="G27" s="26">
        <f t="shared" si="0"/>
        <v>12377848.49156395</v>
      </c>
      <c r="H27" s="26">
        <f t="shared" si="0"/>
        <v>0</v>
      </c>
      <c r="I27" s="26">
        <f t="shared" si="0"/>
        <v>62111789.894263402</v>
      </c>
      <c r="K27" s="25"/>
      <c r="L27" s="25"/>
      <c r="N27" s="26">
        <f>SUM(N24:N26)</f>
        <v>76897305.959999993</v>
      </c>
      <c r="O27"/>
    </row>
    <row r="28" spans="1:19" ht="12.75">
      <c r="D28" s="1"/>
      <c r="E28" s="16"/>
      <c r="F28" s="1"/>
      <c r="G28" s="1"/>
      <c r="H28" s="6"/>
      <c r="I28" s="6"/>
      <c r="K28" s="25"/>
      <c r="L28" s="25"/>
      <c r="N28" s="34"/>
      <c r="O28" s="32"/>
    </row>
    <row r="29" spans="1:19" hidden="1">
      <c r="B29"/>
      <c r="C29" s="3" t="s">
        <v>41</v>
      </c>
      <c r="D29" s="26">
        <v>0</v>
      </c>
      <c r="E29" s="16"/>
      <c r="F29" s="26"/>
      <c r="G29" s="26">
        <f>D29</f>
        <v>0</v>
      </c>
      <c r="H29" s="6"/>
      <c r="I29" s="6"/>
      <c r="K29" s="25"/>
      <c r="L29" s="25"/>
      <c r="N29" s="26">
        <v>0</v>
      </c>
      <c r="O29" t="s">
        <v>54</v>
      </c>
    </row>
    <row r="30" spans="1:19" hidden="1">
      <c r="B30"/>
      <c r="C30" s="3" t="s">
        <v>23</v>
      </c>
      <c r="D30" s="26">
        <v>0</v>
      </c>
      <c r="E30" s="16"/>
      <c r="F30" s="26"/>
      <c r="G30" s="26">
        <f>D30</f>
        <v>0</v>
      </c>
      <c r="H30" s="6"/>
      <c r="I30" s="6"/>
      <c r="K30" s="25"/>
      <c r="L30" s="25"/>
      <c r="M30" s="21"/>
      <c r="N30" s="26">
        <v>0</v>
      </c>
      <c r="O30" t="s">
        <v>51</v>
      </c>
    </row>
    <row r="31" spans="1:19" hidden="1">
      <c r="B31"/>
      <c r="C31" s="3" t="s">
        <v>24</v>
      </c>
      <c r="D31" s="26">
        <f>N32</f>
        <v>0</v>
      </c>
      <c r="E31" s="16"/>
      <c r="F31" s="31">
        <f>(N30+N29*O21)*K31</f>
        <v>0</v>
      </c>
      <c r="G31" s="31">
        <f>(N30+N29*O21)*L31</f>
        <v>0</v>
      </c>
      <c r="H31" s="6"/>
      <c r="I31" s="31">
        <f>(N31+N29*O22)</f>
        <v>0</v>
      </c>
      <c r="K31" s="25">
        <v>0.7</v>
      </c>
      <c r="L31" s="25">
        <f>1-K31</f>
        <v>0.30000000000000004</v>
      </c>
      <c r="N31" s="43">
        <v>0</v>
      </c>
      <c r="O31" t="s">
        <v>48</v>
      </c>
    </row>
    <row r="32" spans="1:19" hidden="1">
      <c r="B32"/>
      <c r="C32" s="3" t="s">
        <v>25</v>
      </c>
      <c r="D32" s="26">
        <v>0</v>
      </c>
      <c r="E32" s="16"/>
      <c r="F32" s="26">
        <f>D32</f>
        <v>0</v>
      </c>
      <c r="G32" s="26">
        <v>0</v>
      </c>
      <c r="H32" s="6"/>
      <c r="I32" s="6"/>
      <c r="N32" s="33">
        <f>SUM(N29:N31)</f>
        <v>0</v>
      </c>
      <c r="O32"/>
    </row>
    <row r="33" spans="2:18" hidden="1">
      <c r="B33"/>
      <c r="C33" s="3" t="s">
        <v>89</v>
      </c>
      <c r="D33" s="26">
        <v>0</v>
      </c>
      <c r="E33" s="16"/>
      <c r="F33" s="6"/>
      <c r="G33" s="26">
        <f>D33</f>
        <v>0</v>
      </c>
      <c r="H33" s="6"/>
      <c r="I33" s="6"/>
      <c r="N33" s="33"/>
      <c r="O33"/>
    </row>
    <row r="34" spans="2:18" hidden="1">
      <c r="B34"/>
      <c r="C34" s="3" t="s">
        <v>26</v>
      </c>
      <c r="D34" s="26">
        <v>0</v>
      </c>
      <c r="E34" s="16"/>
      <c r="F34" s="26">
        <v>0</v>
      </c>
      <c r="G34" s="26">
        <v>0</v>
      </c>
      <c r="H34" s="6"/>
      <c r="I34" s="6"/>
    </row>
    <row r="35" spans="2:18" hidden="1">
      <c r="B35" s="40" t="s">
        <v>65</v>
      </c>
      <c r="C35" s="14"/>
      <c r="D35" s="11" t="s">
        <v>14</v>
      </c>
      <c r="E35" s="14" t="s">
        <v>13</v>
      </c>
      <c r="F35" s="11" t="s">
        <v>14</v>
      </c>
      <c r="G35" s="11" t="s">
        <v>14</v>
      </c>
      <c r="H35" s="11" t="s">
        <v>14</v>
      </c>
      <c r="I35" s="11" t="s">
        <v>14</v>
      </c>
      <c r="R35" s="30"/>
    </row>
    <row r="36" spans="2:18" hidden="1">
      <c r="B36" s="3" t="s">
        <v>27</v>
      </c>
      <c r="C36"/>
      <c r="D36" s="26">
        <f>SUM(D29:D35)</f>
        <v>0</v>
      </c>
      <c r="E36" s="16"/>
      <c r="F36" s="26">
        <f t="shared" ref="F36:I36" si="1">SUM(F29:F35)</f>
        <v>0</v>
      </c>
      <c r="G36" s="26">
        <f t="shared" si="1"/>
        <v>0</v>
      </c>
      <c r="H36" s="26">
        <f t="shared" si="1"/>
        <v>0</v>
      </c>
      <c r="I36" s="26">
        <f t="shared" si="1"/>
        <v>0</v>
      </c>
    </row>
    <row r="37" spans="2:18">
      <c r="D37" s="16"/>
      <c r="E37" s="16"/>
      <c r="F37" s="6"/>
      <c r="G37" s="6"/>
      <c r="H37" s="6"/>
      <c r="I37" s="6"/>
      <c r="N37" s="3"/>
    </row>
    <row r="38" spans="2:18" hidden="1">
      <c r="B38"/>
      <c r="C38" s="3" t="s">
        <v>68</v>
      </c>
      <c r="D38" s="26">
        <v>0</v>
      </c>
      <c r="E38" s="16"/>
      <c r="F38" s="6"/>
      <c r="G38" s="6"/>
      <c r="H38" s="6"/>
      <c r="I38" s="26">
        <f t="shared" ref="I38:I63" si="2">IF(K38="Post Merger",D38,0)</f>
        <v>0</v>
      </c>
      <c r="K38" s="3" t="s">
        <v>10</v>
      </c>
    </row>
    <row r="39" spans="2:18" hidden="1">
      <c r="B39"/>
      <c r="C39" s="3" t="s">
        <v>55</v>
      </c>
      <c r="D39" s="26">
        <v>0</v>
      </c>
      <c r="E39" s="16"/>
      <c r="F39" s="6"/>
      <c r="G39" s="6"/>
      <c r="H39" s="6"/>
      <c r="I39" s="26">
        <f t="shared" si="2"/>
        <v>0</v>
      </c>
      <c r="K39" s="3" t="s">
        <v>10</v>
      </c>
    </row>
    <row r="40" spans="2:18" hidden="1">
      <c r="B40"/>
      <c r="C40" s="3" t="s">
        <v>69</v>
      </c>
      <c r="D40" s="26">
        <v>0</v>
      </c>
      <c r="E40" s="16"/>
      <c r="F40" s="6"/>
      <c r="G40" s="6"/>
      <c r="H40" s="6"/>
      <c r="I40" s="26">
        <f>IF(K40="Post Merger",D40,0)</f>
        <v>0</v>
      </c>
      <c r="K40" s="3" t="s">
        <v>10</v>
      </c>
    </row>
    <row r="41" spans="2:18" hidden="1">
      <c r="B41"/>
      <c r="C41" s="3" t="s">
        <v>88</v>
      </c>
      <c r="D41" s="26">
        <v>0</v>
      </c>
      <c r="E41" s="16"/>
      <c r="F41" s="6"/>
      <c r="G41" s="6"/>
      <c r="H41" s="6"/>
      <c r="I41" s="26">
        <f>IF(K41="Post Merger",D41,0)</f>
        <v>0</v>
      </c>
      <c r="K41" s="3" t="s">
        <v>10</v>
      </c>
    </row>
    <row r="42" spans="2:18" hidden="1">
      <c r="B42"/>
      <c r="C42" s="3" t="s">
        <v>70</v>
      </c>
      <c r="D42" s="26">
        <v>0</v>
      </c>
      <c r="E42" s="16"/>
      <c r="F42" s="6"/>
      <c r="G42" s="6"/>
      <c r="H42" s="6"/>
      <c r="I42" s="26">
        <f>IF(K42="Post Merger",D42,0)</f>
        <v>0</v>
      </c>
      <c r="K42" s="3" t="s">
        <v>10</v>
      </c>
    </row>
    <row r="43" spans="2:18">
      <c r="B43"/>
      <c r="C43" s="3" t="s">
        <v>71</v>
      </c>
      <c r="D43" s="26">
        <v>4575693.2</v>
      </c>
      <c r="E43" s="16"/>
      <c r="F43" s="6"/>
      <c r="G43" s="6"/>
      <c r="H43" s="6"/>
      <c r="I43" s="26">
        <f t="shared" si="2"/>
        <v>4575693.2</v>
      </c>
      <c r="K43" s="3" t="s">
        <v>10</v>
      </c>
    </row>
    <row r="44" spans="2:18" hidden="1">
      <c r="B44"/>
      <c r="C44" s="3" t="s">
        <v>72</v>
      </c>
      <c r="D44" s="26">
        <v>0</v>
      </c>
      <c r="E44" s="16"/>
      <c r="F44" s="6"/>
      <c r="G44" s="6"/>
      <c r="H44" s="6"/>
      <c r="I44" s="26">
        <f t="shared" si="2"/>
        <v>0</v>
      </c>
      <c r="K44" s="3" t="s">
        <v>10</v>
      </c>
    </row>
    <row r="45" spans="2:18">
      <c r="B45"/>
      <c r="C45" s="3" t="s">
        <v>46</v>
      </c>
      <c r="D45" s="26">
        <v>8005931.2199999997</v>
      </c>
      <c r="E45" s="16"/>
      <c r="F45" s="6"/>
      <c r="G45" s="6"/>
      <c r="H45" s="6"/>
      <c r="I45" s="26">
        <f t="shared" si="2"/>
        <v>8005931.2199999997</v>
      </c>
      <c r="K45" s="3" t="s">
        <v>10</v>
      </c>
    </row>
    <row r="46" spans="2:18">
      <c r="B46"/>
      <c r="C46" s="3" t="s">
        <v>73</v>
      </c>
      <c r="D46" s="26">
        <v>84107675.969999999</v>
      </c>
      <c r="E46" s="16"/>
      <c r="F46" s="6"/>
      <c r="G46" s="6"/>
      <c r="H46" s="6"/>
      <c r="I46" s="26">
        <f t="shared" si="2"/>
        <v>84107675.969999999</v>
      </c>
      <c r="K46" s="3" t="s">
        <v>10</v>
      </c>
    </row>
    <row r="47" spans="2:18" hidden="1">
      <c r="B47"/>
      <c r="C47" s="3" t="s">
        <v>74</v>
      </c>
      <c r="D47" s="26">
        <v>0</v>
      </c>
      <c r="E47" s="16"/>
      <c r="F47" s="6"/>
      <c r="G47" s="6"/>
      <c r="H47" s="6"/>
      <c r="I47" s="26">
        <f t="shared" si="2"/>
        <v>0</v>
      </c>
      <c r="K47" s="3" t="s">
        <v>10</v>
      </c>
    </row>
    <row r="48" spans="2:18" hidden="1">
      <c r="B48"/>
      <c r="C48" s="3" t="s">
        <v>75</v>
      </c>
      <c r="D48" s="26">
        <v>0</v>
      </c>
      <c r="E48" s="16"/>
      <c r="F48" s="6"/>
      <c r="G48" s="6"/>
      <c r="H48" s="6"/>
      <c r="I48" s="26">
        <f t="shared" si="2"/>
        <v>0</v>
      </c>
      <c r="K48" s="3" t="s">
        <v>10</v>
      </c>
    </row>
    <row r="49" spans="2:11" hidden="1">
      <c r="B49"/>
      <c r="C49" s="3" t="s">
        <v>45</v>
      </c>
      <c r="D49" s="26">
        <v>0</v>
      </c>
      <c r="E49" s="16"/>
      <c r="F49" s="6"/>
      <c r="G49" s="6"/>
      <c r="H49" s="6"/>
      <c r="I49" s="26">
        <f t="shared" si="2"/>
        <v>0</v>
      </c>
      <c r="K49" s="3" t="s">
        <v>10</v>
      </c>
    </row>
    <row r="50" spans="2:11" hidden="1">
      <c r="B50"/>
      <c r="C50" s="22" t="s">
        <v>76</v>
      </c>
      <c r="D50" s="26">
        <v>0</v>
      </c>
      <c r="E50" s="16"/>
      <c r="F50" s="6"/>
      <c r="G50" s="6"/>
      <c r="H50" s="6"/>
      <c r="I50" s="26">
        <f>IF(K50="Post Merger",D50,0)</f>
        <v>0</v>
      </c>
      <c r="K50" s="3" t="s">
        <v>10</v>
      </c>
    </row>
    <row r="51" spans="2:11" hidden="1">
      <c r="B51"/>
      <c r="C51" s="3" t="s">
        <v>77</v>
      </c>
      <c r="D51" s="26">
        <v>0</v>
      </c>
      <c r="E51" s="16"/>
      <c r="F51" s="6"/>
      <c r="G51" s="6"/>
      <c r="H51" s="6"/>
      <c r="I51" s="26">
        <f t="shared" si="2"/>
        <v>0</v>
      </c>
      <c r="K51" s="3" t="s">
        <v>10</v>
      </c>
    </row>
    <row r="52" spans="2:11" hidden="1">
      <c r="B52"/>
      <c r="C52" s="3" t="s">
        <v>78</v>
      </c>
      <c r="D52" s="26">
        <v>0</v>
      </c>
      <c r="E52" s="16"/>
      <c r="F52" s="6"/>
      <c r="G52" s="6"/>
      <c r="H52" s="6"/>
      <c r="I52" s="26">
        <f t="shared" si="2"/>
        <v>0</v>
      </c>
      <c r="K52" s="3" t="s">
        <v>10</v>
      </c>
    </row>
    <row r="53" spans="2:11" hidden="1">
      <c r="B53"/>
      <c r="C53" s="3" t="s">
        <v>79</v>
      </c>
      <c r="D53" s="26">
        <v>0</v>
      </c>
      <c r="E53" s="16"/>
      <c r="F53" s="6"/>
      <c r="G53" s="6"/>
      <c r="H53" s="6"/>
      <c r="I53" s="26">
        <f t="shared" si="2"/>
        <v>0</v>
      </c>
      <c r="K53" s="3" t="s">
        <v>10</v>
      </c>
    </row>
    <row r="54" spans="2:11" hidden="1">
      <c r="B54"/>
      <c r="C54" s="3" t="s">
        <v>80</v>
      </c>
      <c r="D54" s="26">
        <v>0</v>
      </c>
      <c r="E54" s="16"/>
      <c r="F54" s="6"/>
      <c r="G54" s="6"/>
      <c r="H54" s="6"/>
      <c r="I54" s="26">
        <f t="shared" si="2"/>
        <v>0</v>
      </c>
      <c r="K54" s="3" t="s">
        <v>10</v>
      </c>
    </row>
    <row r="55" spans="2:11" hidden="1">
      <c r="B55"/>
      <c r="C55" s="3" t="s">
        <v>81</v>
      </c>
      <c r="D55" s="26">
        <v>0</v>
      </c>
      <c r="E55" s="16"/>
      <c r="F55" s="6"/>
      <c r="G55" s="6"/>
      <c r="H55" s="6"/>
      <c r="I55" s="26">
        <f t="shared" si="2"/>
        <v>0</v>
      </c>
      <c r="K55" s="3" t="s">
        <v>10</v>
      </c>
    </row>
    <row r="56" spans="2:11" hidden="1">
      <c r="B56"/>
      <c r="C56" s="3" t="s">
        <v>82</v>
      </c>
      <c r="D56" s="26">
        <v>0</v>
      </c>
      <c r="E56" s="16"/>
      <c r="F56" s="6"/>
      <c r="G56" s="6"/>
      <c r="H56" s="6"/>
      <c r="I56" s="26">
        <f t="shared" si="2"/>
        <v>0</v>
      </c>
      <c r="K56" s="3" t="s">
        <v>10</v>
      </c>
    </row>
    <row r="57" spans="2:11" hidden="1">
      <c r="B57"/>
      <c r="C57" s="27" t="s">
        <v>83</v>
      </c>
      <c r="D57" s="26">
        <v>0</v>
      </c>
      <c r="E57" s="16"/>
      <c r="F57" s="6"/>
      <c r="G57" s="6"/>
      <c r="H57" s="6"/>
      <c r="I57" s="26">
        <f>IF(K57="Post Merger",D57,0)</f>
        <v>0</v>
      </c>
      <c r="K57" s="3" t="s">
        <v>10</v>
      </c>
    </row>
    <row r="58" spans="2:11" hidden="1">
      <c r="B58"/>
      <c r="C58" s="27" t="s">
        <v>92</v>
      </c>
      <c r="D58" s="26">
        <v>0</v>
      </c>
      <c r="E58" s="16"/>
      <c r="F58" s="6"/>
      <c r="G58" s="6"/>
      <c r="H58" s="6"/>
      <c r="I58" s="26">
        <f>IF(K58="Post Merger",D58,0)</f>
        <v>0</v>
      </c>
      <c r="K58" s="3" t="s">
        <v>10</v>
      </c>
    </row>
    <row r="59" spans="2:11" hidden="1">
      <c r="B59"/>
      <c r="C59" s="3" t="s">
        <v>84</v>
      </c>
      <c r="D59" s="26">
        <v>0</v>
      </c>
      <c r="E59" s="16"/>
      <c r="F59" s="6"/>
      <c r="G59" s="6"/>
      <c r="H59" s="6"/>
      <c r="I59" s="26">
        <f t="shared" si="2"/>
        <v>0</v>
      </c>
      <c r="K59" s="3" t="s">
        <v>10</v>
      </c>
    </row>
    <row r="60" spans="2:11" hidden="1">
      <c r="B60"/>
      <c r="C60" s="3" t="s">
        <v>95</v>
      </c>
      <c r="D60" s="26">
        <v>0</v>
      </c>
      <c r="E60" s="16"/>
      <c r="F60" s="6"/>
      <c r="G60" s="6"/>
      <c r="H60" s="6"/>
      <c r="I60" s="26">
        <f t="shared" si="2"/>
        <v>0</v>
      </c>
      <c r="K60" s="3" t="s">
        <v>10</v>
      </c>
    </row>
    <row r="61" spans="2:11" hidden="1">
      <c r="B61"/>
      <c r="C61" s="3" t="s">
        <v>85</v>
      </c>
      <c r="D61" s="26">
        <v>0</v>
      </c>
      <c r="E61" s="16"/>
      <c r="F61" s="6"/>
      <c r="G61" s="6"/>
      <c r="H61" s="6"/>
      <c r="I61" s="26">
        <f t="shared" si="2"/>
        <v>0</v>
      </c>
      <c r="K61" s="3" t="s">
        <v>10</v>
      </c>
    </row>
    <row r="62" spans="2:11" hidden="1">
      <c r="B62"/>
      <c r="C62" s="3" t="s">
        <v>86</v>
      </c>
      <c r="D62" s="26">
        <v>0</v>
      </c>
      <c r="E62" s="16"/>
      <c r="F62" s="6"/>
      <c r="G62" s="6"/>
      <c r="H62" s="6"/>
      <c r="I62" s="26">
        <f t="shared" si="2"/>
        <v>0</v>
      </c>
      <c r="K62" s="3" t="s">
        <v>10</v>
      </c>
    </row>
    <row r="63" spans="2:11" hidden="1">
      <c r="B63"/>
      <c r="C63" s="3" t="s">
        <v>94</v>
      </c>
      <c r="D63" s="26">
        <v>0</v>
      </c>
      <c r="E63" s="16"/>
      <c r="F63" s="6"/>
      <c r="G63" s="6"/>
      <c r="H63" s="6"/>
      <c r="I63" s="26">
        <f t="shared" si="2"/>
        <v>0</v>
      </c>
      <c r="K63" s="3" t="s">
        <v>10</v>
      </c>
    </row>
    <row r="64" spans="2:11" hidden="1">
      <c r="B64"/>
      <c r="C64" s="27" t="s">
        <v>87</v>
      </c>
      <c r="D64" s="26">
        <v>0</v>
      </c>
      <c r="E64" s="16"/>
      <c r="F64" s="6"/>
      <c r="G64" s="6"/>
      <c r="H64" s="6"/>
      <c r="I64" s="26">
        <f>IF(K64="Post Merger",D64,0)</f>
        <v>0</v>
      </c>
      <c r="K64" s="3" t="s">
        <v>10</v>
      </c>
    </row>
    <row r="65" spans="1:16" hidden="1">
      <c r="B65"/>
      <c r="C65" s="3" t="s">
        <v>93</v>
      </c>
      <c r="D65" s="26">
        <v>0</v>
      </c>
      <c r="E65" s="16"/>
      <c r="F65" s="6"/>
      <c r="G65" s="6"/>
      <c r="H65" s="6"/>
      <c r="I65" s="26">
        <f>IF(K65="Post Merger",D65,0)</f>
        <v>0</v>
      </c>
      <c r="K65" s="3" t="s">
        <v>10</v>
      </c>
    </row>
    <row r="66" spans="1:16" ht="11.25" thickBot="1">
      <c r="B66"/>
      <c r="C66" s="27"/>
      <c r="D66" s="26"/>
      <c r="E66" s="16"/>
      <c r="F66" s="6"/>
      <c r="G66" s="6"/>
      <c r="H66" s="6"/>
      <c r="I66" s="26"/>
    </row>
    <row r="67" spans="1:16" hidden="1">
      <c r="B67" s="22" t="s">
        <v>64</v>
      </c>
      <c r="C67" s="27"/>
      <c r="D67" s="26"/>
      <c r="E67" s="16"/>
      <c r="F67" s="6"/>
      <c r="G67" s="6"/>
      <c r="H67" s="6"/>
      <c r="I67" s="26"/>
    </row>
    <row r="68" spans="1:16" ht="11.25" hidden="1" thickBot="1">
      <c r="B68"/>
      <c r="C68" s="3" t="s">
        <v>96</v>
      </c>
      <c r="D68" s="26">
        <v>0</v>
      </c>
      <c r="E68" s="16"/>
      <c r="F68" s="6"/>
      <c r="G68" s="6"/>
      <c r="H68" s="6"/>
      <c r="I68" s="26">
        <f>IF(K68="Post Merger",D68,0)</f>
        <v>0</v>
      </c>
      <c r="K68" s="3" t="s">
        <v>10</v>
      </c>
    </row>
    <row r="69" spans="1:16" ht="11.25" thickBot="1">
      <c r="B69"/>
      <c r="D69" s="16"/>
      <c r="E69" s="16"/>
      <c r="F69" s="6"/>
      <c r="G69" s="6"/>
      <c r="H69" s="6"/>
      <c r="I69" s="6"/>
      <c r="K69" s="36">
        <v>0</v>
      </c>
      <c r="L69" s="24" t="s">
        <v>40</v>
      </c>
      <c r="M69" s="37">
        <v>0</v>
      </c>
    </row>
    <row r="70" spans="1:16">
      <c r="B70"/>
      <c r="C70" t="s">
        <v>115</v>
      </c>
      <c r="D70" s="26">
        <v>108637347.29000001</v>
      </c>
      <c r="E70" s="16"/>
      <c r="F70" s="6"/>
      <c r="G70" s="6"/>
      <c r="H70" s="6"/>
      <c r="I70" s="26">
        <f>D70</f>
        <v>108637347.29000001</v>
      </c>
    </row>
    <row r="71" spans="1:16" ht="11.25" thickBot="1">
      <c r="B71" s="40" t="s">
        <v>65</v>
      </c>
      <c r="C71" s="14"/>
      <c r="D71" s="11" t="s">
        <v>14</v>
      </c>
      <c r="E71" s="14" t="s">
        <v>13</v>
      </c>
      <c r="F71" s="11" t="s">
        <v>14</v>
      </c>
      <c r="G71" s="11" t="s">
        <v>14</v>
      </c>
      <c r="H71" s="11" t="s">
        <v>14</v>
      </c>
      <c r="I71" s="11" t="s">
        <v>14</v>
      </c>
    </row>
    <row r="72" spans="1:16" ht="11.25" thickBot="1">
      <c r="B72" s="3" t="s">
        <v>28</v>
      </c>
      <c r="C72"/>
      <c r="D72" s="26">
        <f>SUM(D38:D70)</f>
        <v>205326647.68000001</v>
      </c>
      <c r="E72" s="16"/>
      <c r="F72" s="26">
        <f>SUM(F38:F70)</f>
        <v>0</v>
      </c>
      <c r="G72" s="26">
        <f>SUM(G38:G70)</f>
        <v>0</v>
      </c>
      <c r="H72" s="26">
        <f>SUM(H38:H70)</f>
        <v>0</v>
      </c>
      <c r="I72" s="26">
        <f>SUM(I38:I70)</f>
        <v>205326647.68000001</v>
      </c>
      <c r="K72" s="36"/>
      <c r="L72" s="24" t="s">
        <v>40</v>
      </c>
      <c r="M72" s="37">
        <f>D72-SUM(F72:I72)</f>
        <v>0</v>
      </c>
    </row>
    <row r="73" spans="1:16">
      <c r="B73" s="3" t="s">
        <v>116</v>
      </c>
      <c r="D73" s="26">
        <v>663166.31000000006</v>
      </c>
      <c r="E73" s="16"/>
      <c r="F73" s="14"/>
      <c r="H73" s="26"/>
      <c r="I73" s="26">
        <f>D73</f>
        <v>663166.31000000006</v>
      </c>
      <c r="J73"/>
      <c r="K73"/>
      <c r="L73"/>
      <c r="M73"/>
    </row>
    <row r="74" spans="1:16" hidden="1">
      <c r="B74" s="3" t="s">
        <v>29</v>
      </c>
      <c r="C74"/>
      <c r="D74" s="26">
        <v>0</v>
      </c>
      <c r="E74" s="16"/>
      <c r="F74" s="26"/>
      <c r="G74" s="26"/>
      <c r="H74" s="26">
        <f>D74</f>
        <v>0</v>
      </c>
      <c r="I74" s="6"/>
    </row>
    <row r="75" spans="1:16" ht="11.25" thickBot="1">
      <c r="D75" s="11" t="s">
        <v>14</v>
      </c>
      <c r="E75" s="14" t="s">
        <v>13</v>
      </c>
      <c r="F75" s="11" t="s">
        <v>14</v>
      </c>
      <c r="G75" s="11" t="s">
        <v>14</v>
      </c>
      <c r="H75" s="11" t="s">
        <v>14</v>
      </c>
      <c r="I75" s="11" t="s">
        <v>14</v>
      </c>
    </row>
    <row r="76" spans="1:16" ht="11.25" thickBot="1">
      <c r="A76" s="3" t="s">
        <v>30</v>
      </c>
      <c r="D76" s="26">
        <f>D72+D73+D74+D36+D27</f>
        <v>283008873.13999999</v>
      </c>
      <c r="E76" s="16"/>
      <c r="F76" s="26">
        <f>F72+F73+F74+F36+F27</f>
        <v>2529420.7641726462</v>
      </c>
      <c r="G76" s="26">
        <f>G72+G73+G74+G36+G27</f>
        <v>12377848.49156395</v>
      </c>
      <c r="H76" s="26">
        <f>H72+H73+H74+H36+H27</f>
        <v>0</v>
      </c>
      <c r="I76" s="26">
        <f>I72+I73+I74+I36+I27</f>
        <v>268101603.8842634</v>
      </c>
      <c r="K76" s="36">
        <v>0</v>
      </c>
      <c r="L76" s="24" t="s">
        <v>40</v>
      </c>
      <c r="M76" s="37">
        <f>D76-SUM(F76:I76)</f>
        <v>0</v>
      </c>
    </row>
    <row r="77" spans="1:16">
      <c r="D77" s="16"/>
      <c r="E77" s="16"/>
      <c r="F77" s="16"/>
      <c r="G77" s="16"/>
      <c r="H77" s="16"/>
      <c r="I77" s="16"/>
    </row>
    <row r="78" spans="1:16">
      <c r="D78" s="16"/>
      <c r="E78" s="16"/>
      <c r="F78" s="16"/>
      <c r="G78" s="16"/>
      <c r="H78" s="16"/>
      <c r="I78" s="16"/>
    </row>
    <row r="79" spans="1:16" ht="11.25">
      <c r="A79" s="3" t="s">
        <v>31</v>
      </c>
      <c r="F79" s="6"/>
      <c r="G79" s="6"/>
      <c r="H79" s="6"/>
      <c r="I79" s="6"/>
      <c r="N79" s="29" t="s">
        <v>60</v>
      </c>
      <c r="O79" s="32">
        <v>24999835.973468848</v>
      </c>
      <c r="P79" s="26"/>
    </row>
    <row r="80" spans="1:16" ht="11.25">
      <c r="F80" s="6"/>
      <c r="G80" s="6"/>
      <c r="H80" s="6"/>
      <c r="I80" s="6"/>
      <c r="N80" s="29" t="s">
        <v>61</v>
      </c>
      <c r="O80" s="32">
        <v>0</v>
      </c>
      <c r="P80" s="26"/>
    </row>
    <row r="81" spans="1:16" customFormat="1" ht="12" thickBot="1">
      <c r="A81" s="3"/>
      <c r="B81" s="3" t="s">
        <v>32</v>
      </c>
      <c r="D81" s="26">
        <f>SUM(F81:I81)</f>
        <v>24999835.973468848</v>
      </c>
      <c r="E81" s="16"/>
      <c r="F81" s="26">
        <f>O79</f>
        <v>24999835.973468848</v>
      </c>
      <c r="G81" s="6"/>
      <c r="H81" s="6"/>
      <c r="I81" s="6"/>
      <c r="J81" s="3"/>
      <c r="K81" s="18"/>
      <c r="L81" s="3"/>
      <c r="M81" s="3"/>
      <c r="N81" s="29" t="s">
        <v>62</v>
      </c>
      <c r="O81" s="32">
        <v>83304574.000558719</v>
      </c>
      <c r="P81" s="38"/>
    </row>
    <row r="82" spans="1:16" ht="11.25" hidden="1">
      <c r="A82"/>
      <c r="B82"/>
      <c r="C82"/>
      <c r="D82"/>
      <c r="E82"/>
      <c r="F82"/>
      <c r="G82"/>
      <c r="H82"/>
      <c r="I82"/>
      <c r="J82"/>
      <c r="K82" s="23"/>
      <c r="L82"/>
      <c r="M82"/>
      <c r="N82" s="29" t="s">
        <v>91</v>
      </c>
      <c r="O82" s="32">
        <v>0</v>
      </c>
      <c r="P82" s="26"/>
    </row>
    <row r="83" spans="1:16" ht="11.25" hidden="1">
      <c r="B83" s="3" t="s">
        <v>33</v>
      </c>
      <c r="C83"/>
      <c r="D83" s="26">
        <f>SUM(F83:I83)</f>
        <v>0</v>
      </c>
      <c r="E83" s="16"/>
      <c r="F83" s="26">
        <f>O80</f>
        <v>0</v>
      </c>
      <c r="G83" s="6"/>
      <c r="H83" s="6"/>
      <c r="I83" s="6"/>
      <c r="N83" s="29" t="s">
        <v>63</v>
      </c>
      <c r="O83" s="32">
        <v>1038267.1499999999</v>
      </c>
      <c r="P83" s="26"/>
    </row>
    <row r="84" spans="1:16" ht="11.25" hidden="1" thickBot="1">
      <c r="C84"/>
      <c r="D84" s="16"/>
      <c r="E84" s="16"/>
      <c r="F84" s="6"/>
      <c r="G84" s="6"/>
      <c r="H84" s="6"/>
      <c r="I84" s="6"/>
      <c r="O84" s="32">
        <f>SUM(O79:O83)</f>
        <v>109342677.12402758</v>
      </c>
      <c r="P84" s="26"/>
    </row>
    <row r="85" spans="1:16" ht="11.25" thickBot="1">
      <c r="B85" s="3" t="s">
        <v>10</v>
      </c>
      <c r="C85"/>
      <c r="D85" s="26">
        <f>D90-(D81+D83+D87)</f>
        <v>84342841.02653116</v>
      </c>
      <c r="E85" s="16"/>
      <c r="F85" s="17"/>
      <c r="G85" s="6"/>
      <c r="H85" s="6"/>
      <c r="I85" s="26">
        <f>D85</f>
        <v>84342841.02653116</v>
      </c>
      <c r="N85" s="47" t="s">
        <v>40</v>
      </c>
      <c r="O85" s="37">
        <v>0</v>
      </c>
      <c r="P85" s="46"/>
    </row>
    <row r="86" spans="1:16" hidden="1">
      <c r="F86" s="6"/>
      <c r="G86" s="6"/>
      <c r="H86" s="6"/>
      <c r="I86" s="6"/>
    </row>
    <row r="87" spans="1:16" customFormat="1">
      <c r="A87" s="3"/>
      <c r="B87" t="s">
        <v>34</v>
      </c>
      <c r="C87" s="3"/>
      <c r="D87" s="26">
        <v>0</v>
      </c>
      <c r="E87" s="16"/>
      <c r="F87" s="6"/>
      <c r="H87" s="26">
        <f>D87</f>
        <v>0</v>
      </c>
      <c r="I87" s="6"/>
      <c r="J87" s="3"/>
      <c r="K87" s="3"/>
      <c r="L87" s="3"/>
      <c r="M87" s="3"/>
      <c r="N87" s="27"/>
    </row>
    <row r="88" spans="1:16">
      <c r="A88"/>
      <c r="B88"/>
      <c r="C88"/>
      <c r="D88"/>
      <c r="E88"/>
      <c r="F88"/>
      <c r="G88"/>
      <c r="H88"/>
      <c r="I88"/>
      <c r="J88"/>
      <c r="K88"/>
      <c r="L88"/>
      <c r="M88"/>
    </row>
    <row r="89" spans="1:16" ht="11.25" thickBot="1">
      <c r="D89" s="11" t="s">
        <v>14</v>
      </c>
      <c r="E89" s="14" t="s">
        <v>13</v>
      </c>
      <c r="F89" s="11" t="s">
        <v>14</v>
      </c>
      <c r="G89" s="11" t="s">
        <v>14</v>
      </c>
      <c r="H89" s="11" t="s">
        <v>14</v>
      </c>
      <c r="I89" s="11" t="s">
        <v>14</v>
      </c>
    </row>
    <row r="90" spans="1:16" customFormat="1" ht="11.25" thickBot="1">
      <c r="A90" s="3" t="s">
        <v>35</v>
      </c>
      <c r="B90" s="3"/>
      <c r="C90" s="3"/>
      <c r="D90" s="26">
        <v>109342677</v>
      </c>
      <c r="E90" s="16"/>
      <c r="F90" s="26">
        <f>SUM(F81:F87)</f>
        <v>24999835.973468848</v>
      </c>
      <c r="G90" s="26">
        <f>SUM(G81:G87)</f>
        <v>0</v>
      </c>
      <c r="H90" s="26">
        <f>SUM(H81:H87)</f>
        <v>0</v>
      </c>
      <c r="I90" s="26">
        <f>SUM(I81:I87)</f>
        <v>84342841.02653116</v>
      </c>
      <c r="J90" s="3"/>
      <c r="K90" s="36">
        <f>D90-(D81+D83+D85+D87)</f>
        <v>0</v>
      </c>
      <c r="L90" s="24" t="s">
        <v>40</v>
      </c>
      <c r="M90" s="37">
        <f>D90-SUM(F90:I90)</f>
        <v>0</v>
      </c>
      <c r="N90" s="27"/>
    </row>
    <row r="91" spans="1:16" customFormat="1">
      <c r="A91" s="3"/>
      <c r="B91" s="3"/>
      <c r="C91" s="3"/>
      <c r="D91" s="3"/>
      <c r="E91" s="3"/>
      <c r="G91" s="3"/>
      <c r="H91" s="3"/>
      <c r="I91" s="3"/>
      <c r="N91" s="27"/>
    </row>
    <row r="92" spans="1:16" customFormat="1">
      <c r="A92" s="3" t="s">
        <v>36</v>
      </c>
      <c r="B92" s="3"/>
      <c r="C92" s="3"/>
      <c r="D92" s="3"/>
      <c r="E92" s="3"/>
      <c r="G92" s="3"/>
      <c r="H92" s="3"/>
      <c r="I92" s="3"/>
      <c r="N92" s="27"/>
    </row>
    <row r="93" spans="1:16" customFormat="1" hidden="1">
      <c r="A93" s="3"/>
      <c r="B93" s="16" t="s">
        <v>98</v>
      </c>
      <c r="C93" s="3"/>
      <c r="D93" s="26">
        <v>0</v>
      </c>
      <c r="E93" s="16"/>
      <c r="G93" s="3"/>
      <c r="H93" s="26">
        <f t="shared" ref="H93:H113" si="3">D93</f>
        <v>0</v>
      </c>
      <c r="I93" s="2"/>
      <c r="N93" s="27"/>
    </row>
    <row r="94" spans="1:16" customFormat="1" hidden="1">
      <c r="A94" s="3"/>
      <c r="B94" s="16" t="s">
        <v>99</v>
      </c>
      <c r="C94" s="3"/>
      <c r="D94" s="26">
        <v>0</v>
      </c>
      <c r="E94" s="16"/>
      <c r="G94" s="3"/>
      <c r="H94" s="26">
        <f t="shared" si="3"/>
        <v>0</v>
      </c>
      <c r="I94" s="2"/>
      <c r="N94" s="27"/>
    </row>
    <row r="95" spans="1:16" customFormat="1">
      <c r="A95" s="3"/>
      <c r="B95" s="16" t="s">
        <v>100</v>
      </c>
      <c r="C95" s="3"/>
      <c r="D95" s="26">
        <v>8068588.8600000003</v>
      </c>
      <c r="E95" s="16"/>
      <c r="G95" s="3"/>
      <c r="H95" s="26">
        <f t="shared" si="3"/>
        <v>8068588.8600000003</v>
      </c>
      <c r="I95" s="2"/>
      <c r="N95" s="27"/>
    </row>
    <row r="96" spans="1:16" customFormat="1" hidden="1">
      <c r="A96" s="3"/>
      <c r="B96" s="16" t="s">
        <v>101</v>
      </c>
      <c r="C96" s="3"/>
      <c r="D96" s="26">
        <v>0</v>
      </c>
      <c r="E96" s="16"/>
      <c r="G96" s="3"/>
      <c r="H96" s="26">
        <f t="shared" si="3"/>
        <v>0</v>
      </c>
      <c r="I96" s="2"/>
      <c r="N96" s="27"/>
    </row>
    <row r="97" spans="1:14" customFormat="1">
      <c r="A97" s="3"/>
      <c r="B97" s="16" t="s">
        <v>66</v>
      </c>
      <c r="C97" s="3"/>
      <c r="D97" s="26">
        <v>50462276.340000004</v>
      </c>
      <c r="E97" s="16"/>
      <c r="G97" s="3"/>
      <c r="H97" s="26">
        <f>D97</f>
        <v>50462276.340000004</v>
      </c>
      <c r="I97" s="2"/>
      <c r="N97" s="27"/>
    </row>
    <row r="98" spans="1:14" customFormat="1" hidden="1">
      <c r="A98" s="3"/>
      <c r="B98" s="16" t="s">
        <v>47</v>
      </c>
      <c r="C98" s="3"/>
      <c r="D98" s="26">
        <v>0</v>
      </c>
      <c r="E98" s="16"/>
      <c r="G98" s="3"/>
      <c r="H98" s="26">
        <f>D98</f>
        <v>0</v>
      </c>
      <c r="I98" s="2"/>
      <c r="N98" s="27"/>
    </row>
    <row r="99" spans="1:14" customFormat="1" hidden="1">
      <c r="A99" s="3"/>
      <c r="B99" s="16" t="s">
        <v>102</v>
      </c>
      <c r="C99" s="3"/>
      <c r="D99" s="26">
        <v>0</v>
      </c>
      <c r="E99" s="16"/>
      <c r="G99" s="3"/>
      <c r="H99" s="26">
        <f t="shared" si="3"/>
        <v>0</v>
      </c>
      <c r="I99" s="2"/>
      <c r="N99" s="27"/>
    </row>
    <row r="100" spans="1:14" customFormat="1" hidden="1">
      <c r="A100" s="3"/>
      <c r="B100" s="16" t="s">
        <v>103</v>
      </c>
      <c r="C100" s="3"/>
      <c r="D100" s="26">
        <v>0</v>
      </c>
      <c r="E100" s="16"/>
      <c r="G100" s="3"/>
      <c r="H100" s="26">
        <f t="shared" si="3"/>
        <v>0</v>
      </c>
      <c r="I100" s="2"/>
      <c r="N100" s="27"/>
    </row>
    <row r="101" spans="1:14" customFormat="1" hidden="1">
      <c r="A101" s="3"/>
      <c r="B101" s="16" t="s">
        <v>104</v>
      </c>
      <c r="C101" s="3"/>
      <c r="D101" s="26">
        <v>0</v>
      </c>
      <c r="E101" s="16"/>
      <c r="G101" s="3"/>
      <c r="H101" s="26">
        <f t="shared" si="3"/>
        <v>0</v>
      </c>
      <c r="I101" s="2"/>
      <c r="N101" s="27"/>
    </row>
    <row r="102" spans="1:14" customFormat="1" hidden="1">
      <c r="A102" s="3"/>
      <c r="B102" s="16" t="s">
        <v>105</v>
      </c>
      <c r="C102" s="3"/>
      <c r="D102" s="26">
        <v>0</v>
      </c>
      <c r="E102" s="16"/>
      <c r="F102" s="14"/>
      <c r="G102" s="3"/>
      <c r="H102" s="26">
        <f t="shared" si="3"/>
        <v>0</v>
      </c>
      <c r="I102" s="2"/>
      <c r="N102" s="27"/>
    </row>
    <row r="103" spans="1:14" customFormat="1">
      <c r="A103" s="3"/>
      <c r="B103" s="16" t="s">
        <v>106</v>
      </c>
      <c r="C103" s="3"/>
      <c r="D103" s="26">
        <v>45960948.359999999</v>
      </c>
      <c r="E103" s="16"/>
      <c r="F103" s="14"/>
      <c r="G103" s="3"/>
      <c r="H103" s="26">
        <f t="shared" si="3"/>
        <v>45960948.359999999</v>
      </c>
      <c r="I103" s="2"/>
      <c r="N103" s="27"/>
    </row>
    <row r="104" spans="1:14" customFormat="1" hidden="1">
      <c r="A104" s="3"/>
      <c r="B104" s="16" t="s">
        <v>107</v>
      </c>
      <c r="C104" s="3"/>
      <c r="D104" s="26">
        <v>0</v>
      </c>
      <c r="E104" s="16"/>
      <c r="F104" s="14"/>
      <c r="G104" s="3"/>
      <c r="H104" s="26">
        <f t="shared" si="3"/>
        <v>0</v>
      </c>
      <c r="I104" s="2"/>
      <c r="N104" s="27"/>
    </row>
    <row r="105" spans="1:14" customFormat="1" hidden="1">
      <c r="A105" s="3"/>
      <c r="B105" s="16" t="s">
        <v>108</v>
      </c>
      <c r="C105" s="3"/>
      <c r="D105" s="26">
        <v>0</v>
      </c>
      <c r="E105" s="16"/>
      <c r="F105" s="14"/>
      <c r="G105" s="3"/>
      <c r="H105" s="26">
        <f>D105</f>
        <v>0</v>
      </c>
      <c r="I105" s="2"/>
      <c r="N105" s="27"/>
    </row>
    <row r="106" spans="1:14" customFormat="1">
      <c r="A106" s="3"/>
      <c r="B106" s="16" t="s">
        <v>109</v>
      </c>
      <c r="C106" s="3"/>
      <c r="D106" s="26">
        <v>202270279.78999999</v>
      </c>
      <c r="E106" s="16"/>
      <c r="F106" s="14"/>
      <c r="G106" s="3"/>
      <c r="H106" s="26">
        <f t="shared" si="3"/>
        <v>202270279.78999999</v>
      </c>
      <c r="I106" s="2"/>
      <c r="N106" s="27"/>
    </row>
    <row r="107" spans="1:14" customFormat="1" hidden="1">
      <c r="A107" s="3"/>
      <c r="B107" s="16" t="s">
        <v>110</v>
      </c>
      <c r="C107" s="3"/>
      <c r="D107" s="26">
        <v>0</v>
      </c>
      <c r="E107" s="16"/>
      <c r="F107" s="14"/>
      <c r="G107" s="3"/>
      <c r="H107" s="26">
        <f t="shared" si="3"/>
        <v>0</v>
      </c>
      <c r="I107" s="2"/>
      <c r="N107" s="27"/>
    </row>
    <row r="108" spans="1:14" customFormat="1" hidden="1">
      <c r="A108" s="3"/>
      <c r="B108" s="16"/>
      <c r="C108" s="3"/>
      <c r="D108" s="26"/>
      <c r="E108" s="16"/>
      <c r="F108" s="14"/>
      <c r="G108" s="3"/>
      <c r="H108" s="26"/>
      <c r="I108" s="2"/>
      <c r="N108" s="27"/>
    </row>
    <row r="109" spans="1:14" customFormat="1" hidden="1">
      <c r="A109" s="3"/>
      <c r="B109" s="16" t="s">
        <v>111</v>
      </c>
      <c r="C109" s="3"/>
      <c r="D109" s="26">
        <v>0</v>
      </c>
      <c r="E109" s="16"/>
      <c r="F109" s="14"/>
      <c r="G109" s="3"/>
      <c r="H109" s="26">
        <f t="shared" ref="H109:H110" si="4">D109</f>
        <v>0</v>
      </c>
      <c r="I109" s="2"/>
      <c r="N109" s="27"/>
    </row>
    <row r="110" spans="1:14" customFormat="1" hidden="1">
      <c r="A110" s="3"/>
      <c r="B110" s="16" t="s">
        <v>112</v>
      </c>
      <c r="C110" s="3"/>
      <c r="D110" s="26">
        <v>0</v>
      </c>
      <c r="E110" s="16"/>
      <c r="F110" s="14"/>
      <c r="G110" s="3"/>
      <c r="H110" s="26">
        <f t="shared" si="4"/>
        <v>0</v>
      </c>
      <c r="I110" s="2"/>
      <c r="N110" s="27"/>
    </row>
    <row r="111" spans="1:14" customFormat="1" hidden="1">
      <c r="A111" s="3"/>
      <c r="B111" s="16" t="s">
        <v>113</v>
      </c>
      <c r="C111" s="3"/>
      <c r="D111" s="26">
        <v>0</v>
      </c>
      <c r="E111" s="16"/>
      <c r="F111" s="14"/>
      <c r="G111" s="3"/>
      <c r="H111" s="26">
        <f t="shared" si="3"/>
        <v>0</v>
      </c>
      <c r="I111" s="2"/>
      <c r="N111" s="27"/>
    </row>
    <row r="112" spans="1:14" customFormat="1" hidden="1">
      <c r="A112" s="3"/>
      <c r="B112" s="16"/>
      <c r="C112" s="3"/>
      <c r="D112" s="26"/>
      <c r="E112" s="16"/>
      <c r="F112" s="14"/>
      <c r="G112" s="3"/>
      <c r="H112" s="26"/>
      <c r="I112" s="2"/>
      <c r="N112" s="27"/>
    </row>
    <row r="113" spans="1:14" customFormat="1" hidden="1">
      <c r="A113" s="3"/>
      <c r="B113" s="16" t="s">
        <v>114</v>
      </c>
      <c r="C113" s="3"/>
      <c r="D113" s="26">
        <v>0</v>
      </c>
      <c r="E113" s="16"/>
      <c r="F113" s="14"/>
      <c r="G113" s="3"/>
      <c r="H113" s="26">
        <f t="shared" si="3"/>
        <v>0</v>
      </c>
      <c r="I113" s="2"/>
      <c r="N113" s="27"/>
    </row>
    <row r="114" spans="1:14" customFormat="1" ht="11.25" thickBot="1">
      <c r="A114" s="3"/>
      <c r="B114" s="3"/>
      <c r="C114" s="3"/>
      <c r="D114" s="11" t="s">
        <v>14</v>
      </c>
      <c r="E114" s="14" t="s">
        <v>13</v>
      </c>
      <c r="F114" s="11" t="s">
        <v>14</v>
      </c>
      <c r="G114" s="11" t="s">
        <v>14</v>
      </c>
      <c r="H114" s="11" t="s">
        <v>14</v>
      </c>
      <c r="I114" s="11" t="s">
        <v>14</v>
      </c>
      <c r="N114" s="27"/>
    </row>
    <row r="115" spans="1:14" customFormat="1" ht="11.25" thickBot="1">
      <c r="A115" s="3" t="s">
        <v>37</v>
      </c>
      <c r="B115" s="3"/>
      <c r="C115" s="3"/>
      <c r="D115" s="26">
        <f>SUM(D93:D113)</f>
        <v>306762093.35000002</v>
      </c>
      <c r="E115" s="16"/>
      <c r="F115" s="26">
        <f>SUM(F92:F113)</f>
        <v>0</v>
      </c>
      <c r="G115" s="26">
        <f>SUM(G92:G113)</f>
        <v>0</v>
      </c>
      <c r="H115" s="26">
        <f>SUM(H92:H113)</f>
        <v>306762093.35000002</v>
      </c>
      <c r="I115" s="26">
        <f>SUM(I92:I105)</f>
        <v>0</v>
      </c>
      <c r="K115" s="36">
        <v>0</v>
      </c>
      <c r="L115" s="24" t="s">
        <v>40</v>
      </c>
      <c r="M115" s="37">
        <f>D115-SUM(F115:I115)</f>
        <v>0</v>
      </c>
      <c r="N115" s="27"/>
    </row>
    <row r="116" spans="1:14" customFormat="1">
      <c r="A116" s="3"/>
      <c r="B116" s="3"/>
      <c r="C116" s="3"/>
      <c r="D116" s="7"/>
      <c r="E116" s="16"/>
      <c r="F116" s="16"/>
      <c r="G116" s="16"/>
      <c r="H116" s="16"/>
      <c r="I116" s="16"/>
      <c r="N116" s="27"/>
    </row>
    <row r="117" spans="1:14" customFormat="1">
      <c r="A117" s="3" t="s">
        <v>43</v>
      </c>
      <c r="B117" s="3"/>
      <c r="C117" s="3"/>
      <c r="D117" s="7"/>
      <c r="E117" s="16"/>
      <c r="F117" s="16"/>
      <c r="G117" s="16"/>
      <c r="H117" s="16"/>
      <c r="I117" s="16"/>
      <c r="N117" s="27"/>
    </row>
    <row r="118" spans="1:14" customFormat="1">
      <c r="A118" s="3"/>
      <c r="B118" s="16" t="s">
        <v>97</v>
      </c>
      <c r="C118" s="3"/>
      <c r="D118" s="26">
        <v>0</v>
      </c>
      <c r="E118" s="16"/>
      <c r="F118" s="14"/>
      <c r="G118" s="3"/>
      <c r="H118" s="26">
        <f>D118</f>
        <v>0</v>
      </c>
      <c r="I118" s="2"/>
      <c r="N118" s="27"/>
    </row>
    <row r="119" spans="1:14">
      <c r="D119" s="11" t="s">
        <v>14</v>
      </c>
      <c r="E119" s="14" t="s">
        <v>13</v>
      </c>
      <c r="F119" s="11" t="s">
        <v>14</v>
      </c>
      <c r="G119" s="11" t="s">
        <v>14</v>
      </c>
      <c r="H119" s="11" t="s">
        <v>14</v>
      </c>
      <c r="I119" s="11" t="s">
        <v>14</v>
      </c>
    </row>
    <row r="120" spans="1:14">
      <c r="A120" s="3" t="s">
        <v>44</v>
      </c>
      <c r="D120" s="26">
        <v>0</v>
      </c>
      <c r="E120" s="16"/>
      <c r="F120" s="26">
        <f>SUM(F118:F118)</f>
        <v>0</v>
      </c>
      <c r="G120" s="26">
        <f>SUM(G118:G118)</f>
        <v>0</v>
      </c>
      <c r="H120" s="26">
        <f>SUM(H118:H118)</f>
        <v>0</v>
      </c>
      <c r="I120" s="26">
        <f>SUM(I118:I118)</f>
        <v>0</v>
      </c>
    </row>
    <row r="121" spans="1:14" ht="11.25" thickBot="1">
      <c r="D121" s="19" t="s">
        <v>38</v>
      </c>
      <c r="E121" s="14" t="s">
        <v>13</v>
      </c>
      <c r="F121" s="19" t="s">
        <v>38</v>
      </c>
      <c r="G121" s="19" t="s">
        <v>38</v>
      </c>
      <c r="H121" s="19" t="s">
        <v>38</v>
      </c>
      <c r="I121" s="19" t="s">
        <v>38</v>
      </c>
    </row>
    <row r="122" spans="1:14" ht="11.25" thickBot="1">
      <c r="A122" s="3" t="s">
        <v>39</v>
      </c>
      <c r="D122" s="26">
        <f>D115+D90+D76+D120-D16</f>
        <v>579306874.61000001</v>
      </c>
      <c r="E122" s="16" t="s">
        <v>13</v>
      </c>
      <c r="F122" s="26">
        <f>F115+F90+F76+F120-F16</f>
        <v>14564456.737641495</v>
      </c>
      <c r="G122" s="26">
        <f>G115+G90+G76+G120-G16</f>
        <v>12377848.49156395</v>
      </c>
      <c r="H122" s="26">
        <f>H115+H90+H76+H120-H16</f>
        <v>306762093.35000002</v>
      </c>
      <c r="I122" s="26">
        <f>I115+I90+I76+I120-I16</f>
        <v>245602476.03079456</v>
      </c>
      <c r="K122" s="36">
        <v>0</v>
      </c>
      <c r="L122" s="24" t="s">
        <v>40</v>
      </c>
      <c r="M122" s="37">
        <f>D122-SUM(F122:I122)</f>
        <v>0</v>
      </c>
    </row>
    <row r="123" spans="1:14">
      <c r="D123" s="19" t="s">
        <v>38</v>
      </c>
      <c r="E123" s="14" t="s">
        <v>13</v>
      </c>
      <c r="F123" s="19" t="s">
        <v>38</v>
      </c>
      <c r="G123" s="19" t="s">
        <v>38</v>
      </c>
      <c r="H123" s="19" t="s">
        <v>38</v>
      </c>
      <c r="I123" s="19" t="s">
        <v>38</v>
      </c>
    </row>
  </sheetData>
  <mergeCells count="1">
    <mergeCell ref="A4:C4"/>
  </mergeCells>
  <pageMargins left="0.65" right="0.72" top="1" bottom="1" header="0.5" footer="0.5"/>
  <pageSetup scale="67" orientation="portrait" r:id="rId1"/>
  <headerFooter alignWithMargins="0">
    <oddHeader>&amp;L&amp;"Arial,Regular"&amp;10WA UE-130043
Bench Request 9&amp;R&amp;"Arial,Bold"&amp;10Attachment Bench Request 9</oddHeader>
    <oddFooter>&amp;L&amp;"Arial,Regular"&amp;10&amp;F&amp;C&amp;A</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0"/>
  <sheetViews>
    <sheetView zoomScale="85" zoomScaleNormal="85" workbookViewId="0">
      <selection activeCell="T91" sqref="T91"/>
    </sheetView>
  </sheetViews>
  <sheetFormatPr defaultRowHeight="12.75"/>
  <cols>
    <col min="1" max="1" width="4.83203125" style="275" customWidth="1"/>
    <col min="2" max="2" width="8" style="275" customWidth="1"/>
    <col min="3" max="3" width="32.83203125" style="275" customWidth="1"/>
    <col min="4" max="4" width="12.33203125" style="275" customWidth="1"/>
    <col min="5" max="5" width="9.33203125" style="275"/>
    <col min="6" max="6" width="17" style="106" customWidth="1"/>
    <col min="7" max="7" width="9.33203125" style="276"/>
    <col min="8" max="8" width="12.1640625" style="276" bestFit="1" customWidth="1"/>
    <col min="9" max="9" width="15.33203125" style="276" bestFit="1" customWidth="1"/>
    <col min="10" max="16384" width="9.33203125" style="275"/>
  </cols>
  <sheetData>
    <row r="1" spans="1:10">
      <c r="A1" s="274" t="s">
        <v>118</v>
      </c>
      <c r="B1" s="274"/>
      <c r="I1" s="277" t="s">
        <v>272</v>
      </c>
      <c r="J1" s="330">
        <v>9.6999999999999993</v>
      </c>
    </row>
    <row r="2" spans="1:10">
      <c r="A2" s="274" t="s">
        <v>186</v>
      </c>
      <c r="B2" s="274"/>
    </row>
    <row r="3" spans="1:10">
      <c r="A3" s="274" t="s">
        <v>404</v>
      </c>
      <c r="B3" s="274"/>
    </row>
    <row r="5" spans="1:10">
      <c r="F5" s="105" t="s">
        <v>274</v>
      </c>
      <c r="I5" s="276" t="s">
        <v>126</v>
      </c>
    </row>
    <row r="6" spans="1:10" ht="15">
      <c r="D6" s="279" t="s">
        <v>275</v>
      </c>
      <c r="E6" s="279" t="s">
        <v>276</v>
      </c>
      <c r="F6" s="280" t="s">
        <v>277</v>
      </c>
      <c r="G6" s="279" t="s">
        <v>278</v>
      </c>
      <c r="H6" s="279" t="s">
        <v>134</v>
      </c>
      <c r="I6" s="279" t="s">
        <v>279</v>
      </c>
      <c r="J6" s="279" t="s">
        <v>280</v>
      </c>
    </row>
    <row r="7" spans="1:10" ht="15">
      <c r="B7" s="274" t="s">
        <v>281</v>
      </c>
      <c r="D7" s="279"/>
      <c r="E7" s="279"/>
      <c r="F7" s="280"/>
      <c r="G7" s="279"/>
      <c r="H7" s="279"/>
      <c r="I7" s="279"/>
      <c r="J7" s="279"/>
    </row>
    <row r="8" spans="1:10" ht="15">
      <c r="B8" s="274"/>
      <c r="C8" s="281"/>
      <c r="D8" s="279"/>
      <c r="E8" s="279"/>
      <c r="F8" s="280"/>
      <c r="G8" s="279"/>
      <c r="H8" s="279"/>
      <c r="I8" s="279"/>
      <c r="J8" s="279"/>
    </row>
    <row r="9" spans="1:10">
      <c r="B9" s="274" t="s">
        <v>137</v>
      </c>
      <c r="C9" s="281"/>
    </row>
    <row r="10" spans="1:10">
      <c r="B10" s="281" t="s">
        <v>138</v>
      </c>
      <c r="C10" s="281"/>
      <c r="D10" s="282" t="s">
        <v>139</v>
      </c>
      <c r="E10" s="283" t="s">
        <v>286</v>
      </c>
      <c r="F10" s="106">
        <f>'9.1 - Summary '!Z15</f>
        <v>0</v>
      </c>
      <c r="G10" s="276" t="s">
        <v>140</v>
      </c>
      <c r="H10" s="284">
        <v>0.2262649010137</v>
      </c>
      <c r="I10" s="276">
        <f>F10*H10</f>
        <v>0</v>
      </c>
      <c r="J10" s="276"/>
    </row>
    <row r="11" spans="1:10">
      <c r="B11" s="281" t="s">
        <v>141</v>
      </c>
      <c r="C11" s="281"/>
      <c r="D11" s="282" t="s">
        <v>139</v>
      </c>
      <c r="E11" s="283" t="s">
        <v>286</v>
      </c>
      <c r="F11" s="106">
        <f>'9.1 - Summary '!Z16</f>
        <v>639731.71999999881</v>
      </c>
      <c r="G11" s="276" t="s">
        <v>140</v>
      </c>
      <c r="H11" s="284">
        <v>0.2262649010137</v>
      </c>
      <c r="I11" s="276">
        <f t="shared" ref="I11:I12" si="0">F11*H11</f>
        <v>144748.83430112377</v>
      </c>
      <c r="J11" s="276"/>
    </row>
    <row r="12" spans="1:10">
      <c r="B12" s="281" t="s">
        <v>142</v>
      </c>
      <c r="C12" s="281"/>
      <c r="D12" s="282" t="s">
        <v>139</v>
      </c>
      <c r="E12" s="283" t="s">
        <v>286</v>
      </c>
      <c r="F12" s="106">
        <f>'9.1 - Summary '!Z17</f>
        <v>0</v>
      </c>
      <c r="G12" s="276" t="s">
        <v>143</v>
      </c>
      <c r="H12" s="284">
        <v>0.22648067236840891</v>
      </c>
      <c r="I12" s="276">
        <f t="shared" si="0"/>
        <v>0</v>
      </c>
      <c r="J12" s="276"/>
    </row>
    <row r="13" spans="1:10">
      <c r="B13" s="281" t="s">
        <v>144</v>
      </c>
      <c r="C13" s="281"/>
      <c r="D13" s="282"/>
      <c r="E13" s="283"/>
      <c r="F13" s="285">
        <f>SUM(F10:F12)</f>
        <v>639731.71999999881</v>
      </c>
      <c r="H13" s="284"/>
      <c r="I13" s="285">
        <f>SUM(I10:I12)</f>
        <v>144748.83430112377</v>
      </c>
      <c r="J13" s="332" t="s">
        <v>334</v>
      </c>
    </row>
    <row r="14" spans="1:10">
      <c r="B14" s="281"/>
      <c r="C14" s="286"/>
      <c r="D14" s="282"/>
      <c r="E14" s="283"/>
      <c r="H14" s="284"/>
    </row>
    <row r="15" spans="1:10">
      <c r="B15" s="274" t="s">
        <v>145</v>
      </c>
      <c r="C15" s="286"/>
      <c r="D15" s="282"/>
      <c r="E15" s="283"/>
      <c r="H15" s="284"/>
    </row>
    <row r="16" spans="1:10">
      <c r="B16" s="281" t="s">
        <v>146</v>
      </c>
      <c r="C16" s="286"/>
      <c r="D16" s="282" t="s">
        <v>147</v>
      </c>
      <c r="E16" s="283" t="s">
        <v>286</v>
      </c>
      <c r="F16" s="106">
        <f>'9.1 - Summary '!Z21</f>
        <v>0</v>
      </c>
      <c r="G16" s="276" t="s">
        <v>140</v>
      </c>
      <c r="H16" s="284">
        <v>0.2262649010137</v>
      </c>
      <c r="I16" s="276">
        <f t="shared" ref="I16:I20" si="1">F16*H16</f>
        <v>0</v>
      </c>
      <c r="J16" s="276"/>
    </row>
    <row r="17" spans="2:10">
      <c r="B17" s="281" t="s">
        <v>148</v>
      </c>
      <c r="C17" s="286"/>
      <c r="D17" s="282" t="s">
        <v>147</v>
      </c>
      <c r="E17" s="283" t="s">
        <v>286</v>
      </c>
      <c r="F17" s="106">
        <f>'9.1 - Summary '!Z22</f>
        <v>0</v>
      </c>
      <c r="G17" s="276" t="s">
        <v>143</v>
      </c>
      <c r="H17" s="284">
        <v>0.22648067236840891</v>
      </c>
      <c r="I17" s="276">
        <f t="shared" si="1"/>
        <v>0</v>
      </c>
      <c r="J17" s="276"/>
    </row>
    <row r="18" spans="2:10">
      <c r="B18" s="281" t="s">
        <v>149</v>
      </c>
      <c r="C18" s="286"/>
      <c r="D18" s="282" t="s">
        <v>147</v>
      </c>
      <c r="E18" s="283" t="s">
        <v>286</v>
      </c>
      <c r="F18" s="106">
        <f>'9.1 - Summary '!Z23</f>
        <v>0</v>
      </c>
      <c r="G18" s="276" t="s">
        <v>140</v>
      </c>
      <c r="H18" s="284">
        <v>0.2262649010137</v>
      </c>
      <c r="I18" s="276">
        <f t="shared" si="1"/>
        <v>0</v>
      </c>
      <c r="J18" s="276"/>
    </row>
    <row r="19" spans="2:10">
      <c r="B19" s="281" t="s">
        <v>150</v>
      </c>
      <c r="C19" s="286"/>
      <c r="D19" s="282" t="s">
        <v>147</v>
      </c>
      <c r="E19" s="283" t="s">
        <v>286</v>
      </c>
      <c r="F19" s="106">
        <f>'9.1 - Summary '!Z24</f>
        <v>-6950914.6499999762</v>
      </c>
      <c r="G19" s="276" t="s">
        <v>140</v>
      </c>
      <c r="H19" s="284">
        <v>0.2262649010137</v>
      </c>
      <c r="I19" s="276">
        <f t="shared" si="1"/>
        <v>-1572748.0152369218</v>
      </c>
      <c r="J19" s="276"/>
    </row>
    <row r="20" spans="2:10">
      <c r="B20" s="281" t="s">
        <v>151</v>
      </c>
      <c r="C20" s="281"/>
      <c r="D20" s="282" t="s">
        <v>147</v>
      </c>
      <c r="E20" s="283" t="s">
        <v>286</v>
      </c>
      <c r="F20" s="106">
        <f>'9.1 - Summary '!Z25</f>
        <v>0</v>
      </c>
      <c r="G20" s="276" t="s">
        <v>140</v>
      </c>
      <c r="H20" s="284">
        <v>0.2262649010137</v>
      </c>
      <c r="I20" s="276">
        <f t="shared" si="1"/>
        <v>0</v>
      </c>
      <c r="J20" s="276"/>
    </row>
    <row r="21" spans="2:10">
      <c r="B21" s="281" t="s">
        <v>152</v>
      </c>
      <c r="C21" s="281"/>
      <c r="D21" s="282"/>
      <c r="E21" s="283"/>
      <c r="F21" s="285">
        <f>SUM(F16:F20)</f>
        <v>-6950914.6499999762</v>
      </c>
      <c r="H21" s="284"/>
      <c r="I21" s="285">
        <f>SUM(I16:I20)</f>
        <v>-1572748.0152369218</v>
      </c>
      <c r="J21" s="332" t="s">
        <v>334</v>
      </c>
    </row>
    <row r="22" spans="2:10">
      <c r="B22" s="281"/>
      <c r="C22" s="281"/>
      <c r="D22" s="282"/>
      <c r="E22" s="283"/>
      <c r="H22" s="284"/>
    </row>
    <row r="23" spans="2:10">
      <c r="B23" s="274" t="s">
        <v>153</v>
      </c>
      <c r="C23" s="281"/>
      <c r="D23" s="282"/>
      <c r="E23" s="283"/>
      <c r="H23" s="284"/>
      <c r="J23" s="276"/>
    </row>
    <row r="24" spans="2:10">
      <c r="B24" s="281" t="s">
        <v>154</v>
      </c>
      <c r="C24" s="281"/>
      <c r="D24" s="282" t="s">
        <v>155</v>
      </c>
      <c r="E24" s="283" t="s">
        <v>286</v>
      </c>
      <c r="F24" s="106">
        <f>'9.1 - Summary '!Z29</f>
        <v>0</v>
      </c>
      <c r="G24" s="276" t="s">
        <v>140</v>
      </c>
      <c r="H24" s="284">
        <v>0.2262649010137</v>
      </c>
      <c r="I24" s="276">
        <f t="shared" ref="I24:I26" si="2">F24*H24</f>
        <v>0</v>
      </c>
      <c r="J24" s="276"/>
    </row>
    <row r="25" spans="2:10">
      <c r="B25" s="281" t="s">
        <v>156</v>
      </c>
      <c r="C25" s="286"/>
      <c r="D25" s="282" t="s">
        <v>155</v>
      </c>
      <c r="E25" s="283" t="s">
        <v>286</v>
      </c>
      <c r="F25" s="106">
        <f>'9.1 - Summary '!Z30</f>
        <v>2132040</v>
      </c>
      <c r="G25" s="276" t="s">
        <v>140</v>
      </c>
      <c r="H25" s="284">
        <v>0.2262649010137</v>
      </c>
      <c r="I25" s="276">
        <f t="shared" si="2"/>
        <v>482405.81955724896</v>
      </c>
      <c r="J25" s="276"/>
    </row>
    <row r="26" spans="2:10">
      <c r="B26" s="281" t="s">
        <v>157</v>
      </c>
      <c r="C26" s="286"/>
      <c r="D26" s="282" t="s">
        <v>155</v>
      </c>
      <c r="E26" s="283" t="s">
        <v>286</v>
      </c>
      <c r="F26" s="106">
        <f>'9.1 - Summary '!Z31</f>
        <v>0</v>
      </c>
      <c r="G26" s="276" t="s">
        <v>143</v>
      </c>
      <c r="H26" s="284">
        <v>0.22648067236840891</v>
      </c>
      <c r="I26" s="276">
        <f t="shared" si="2"/>
        <v>0</v>
      </c>
      <c r="J26" s="276"/>
    </row>
    <row r="27" spans="2:10">
      <c r="B27" s="281" t="s">
        <v>158</v>
      </c>
      <c r="C27" s="281"/>
      <c r="D27" s="282"/>
      <c r="E27" s="283"/>
      <c r="F27" s="285">
        <f>SUM(F24:F26)</f>
        <v>2132040</v>
      </c>
      <c r="H27" s="284"/>
      <c r="I27" s="285">
        <f>SUM(I24:I26)</f>
        <v>482405.81955724896</v>
      </c>
      <c r="J27" s="332" t="s">
        <v>334</v>
      </c>
    </row>
    <row r="28" spans="2:10">
      <c r="B28" s="281"/>
      <c r="C28" s="281"/>
      <c r="D28" s="282"/>
      <c r="E28" s="283"/>
      <c r="H28" s="284"/>
    </row>
    <row r="29" spans="2:10">
      <c r="B29" s="274" t="s">
        <v>159</v>
      </c>
      <c r="C29" s="274"/>
      <c r="D29" s="282"/>
      <c r="E29" s="283"/>
      <c r="H29" s="284"/>
      <c r="J29" s="276"/>
    </row>
    <row r="30" spans="2:10">
      <c r="B30" s="281" t="s">
        <v>160</v>
      </c>
      <c r="C30" s="274"/>
      <c r="D30" s="282" t="s">
        <v>161</v>
      </c>
      <c r="E30" s="283" t="s">
        <v>286</v>
      </c>
      <c r="F30" s="106">
        <f>'9.1 - Summary '!Z35</f>
        <v>4794372.0599999726</v>
      </c>
      <c r="G30" s="276" t="s">
        <v>143</v>
      </c>
      <c r="H30" s="284">
        <v>0.22648067236840891</v>
      </c>
      <c r="I30" s="276">
        <f t="shared" ref="I30:I31" si="3">F30*H30</f>
        <v>1085832.6077331074</v>
      </c>
      <c r="J30" s="276"/>
    </row>
    <row r="31" spans="2:10">
      <c r="B31" s="281" t="s">
        <v>162</v>
      </c>
      <c r="C31" s="274"/>
      <c r="D31" s="282" t="s">
        <v>163</v>
      </c>
      <c r="E31" s="283" t="s">
        <v>286</v>
      </c>
      <c r="F31" s="106">
        <f>'9.1 - Summary '!Z36</f>
        <v>-403933.90999999642</v>
      </c>
      <c r="G31" s="276" t="s">
        <v>143</v>
      </c>
      <c r="H31" s="284">
        <v>0.22648067236840891</v>
      </c>
      <c r="I31" s="276">
        <f t="shared" si="3"/>
        <v>-91483.22352919956</v>
      </c>
      <c r="J31" s="276"/>
    </row>
    <row r="32" spans="2:10">
      <c r="B32" s="281" t="s">
        <v>164</v>
      </c>
      <c r="C32" s="274"/>
      <c r="D32" s="282"/>
      <c r="E32" s="283"/>
      <c r="F32" s="285">
        <f>SUM(F30:F31)</f>
        <v>4390438.1499999762</v>
      </c>
      <c r="H32" s="287"/>
      <c r="I32" s="285">
        <f>SUM(I30:I31)</f>
        <v>994349.3842039078</v>
      </c>
      <c r="J32" s="332" t="s">
        <v>334</v>
      </c>
    </row>
    <row r="33" spans="1:11">
      <c r="B33" s="281"/>
      <c r="C33" s="274"/>
      <c r="D33" s="282"/>
      <c r="E33" s="283"/>
      <c r="H33" s="287"/>
      <c r="I33" s="106"/>
      <c r="J33" s="276"/>
    </row>
    <row r="34" spans="1:11">
      <c r="B34" s="288" t="s">
        <v>284</v>
      </c>
      <c r="C34" s="274"/>
      <c r="D34" s="282"/>
      <c r="E34" s="283"/>
      <c r="F34" s="285">
        <f>-F13+F21+F27+F32</f>
        <v>-1068168.2199999988</v>
      </c>
      <c r="H34" s="287"/>
      <c r="I34" s="285">
        <f>-I13+I21+I27+I32</f>
        <v>-240741.64577688905</v>
      </c>
      <c r="J34" s="332" t="s">
        <v>334</v>
      </c>
    </row>
    <row r="35" spans="1:11">
      <c r="C35" s="274"/>
      <c r="F35" s="289"/>
      <c r="J35" s="276"/>
    </row>
    <row r="36" spans="1:11">
      <c r="C36" s="274"/>
      <c r="F36" s="289"/>
      <c r="J36" s="276"/>
    </row>
    <row r="37" spans="1:11">
      <c r="C37" s="274"/>
      <c r="F37" s="289"/>
      <c r="J37" s="276"/>
    </row>
    <row r="42" spans="1:11" ht="13.5" thickBot="1">
      <c r="B42" s="290" t="s">
        <v>283</v>
      </c>
    </row>
    <row r="43" spans="1:11">
      <c r="A43" s="347" t="s">
        <v>383</v>
      </c>
      <c r="B43" s="348"/>
      <c r="C43" s="348"/>
      <c r="D43" s="348"/>
      <c r="E43" s="348"/>
      <c r="F43" s="348"/>
      <c r="G43" s="348"/>
      <c r="H43" s="348"/>
      <c r="I43" s="348"/>
      <c r="J43" s="348"/>
      <c r="K43" s="349"/>
    </row>
    <row r="44" spans="1:11">
      <c r="A44" s="350"/>
      <c r="B44" s="351"/>
      <c r="C44" s="351"/>
      <c r="D44" s="351"/>
      <c r="E44" s="351"/>
      <c r="F44" s="351"/>
      <c r="G44" s="351"/>
      <c r="H44" s="351"/>
      <c r="I44" s="351"/>
      <c r="J44" s="351"/>
      <c r="K44" s="352"/>
    </row>
    <row r="45" spans="1:11">
      <c r="A45" s="350"/>
      <c r="B45" s="351"/>
      <c r="C45" s="351"/>
      <c r="D45" s="351"/>
      <c r="E45" s="351"/>
      <c r="F45" s="351"/>
      <c r="G45" s="351"/>
      <c r="H45" s="351"/>
      <c r="I45" s="351"/>
      <c r="J45" s="351"/>
      <c r="K45" s="352"/>
    </row>
    <row r="46" spans="1:11">
      <c r="A46" s="350"/>
      <c r="B46" s="351"/>
      <c r="C46" s="351"/>
      <c r="D46" s="351"/>
      <c r="E46" s="351"/>
      <c r="F46" s="351"/>
      <c r="G46" s="351"/>
      <c r="H46" s="351"/>
      <c r="I46" s="351"/>
      <c r="J46" s="351"/>
      <c r="K46" s="352"/>
    </row>
    <row r="47" spans="1:11">
      <c r="A47" s="350"/>
      <c r="B47" s="351"/>
      <c r="C47" s="351"/>
      <c r="D47" s="351"/>
      <c r="E47" s="351"/>
      <c r="F47" s="351"/>
      <c r="G47" s="351"/>
      <c r="H47" s="351"/>
      <c r="I47" s="351"/>
      <c r="J47" s="351"/>
      <c r="K47" s="352"/>
    </row>
    <row r="48" spans="1:11">
      <c r="A48" s="350"/>
      <c r="B48" s="351"/>
      <c r="C48" s="351"/>
      <c r="D48" s="351"/>
      <c r="E48" s="351"/>
      <c r="F48" s="351"/>
      <c r="G48" s="351"/>
      <c r="H48" s="351"/>
      <c r="I48" s="351"/>
      <c r="J48" s="351"/>
      <c r="K48" s="352"/>
    </row>
    <row r="49" spans="1:11">
      <c r="A49" s="350"/>
      <c r="B49" s="351"/>
      <c r="C49" s="351"/>
      <c r="D49" s="351"/>
      <c r="E49" s="351"/>
      <c r="F49" s="351"/>
      <c r="G49" s="351"/>
      <c r="H49" s="351"/>
      <c r="I49" s="351"/>
      <c r="J49" s="351"/>
      <c r="K49" s="352"/>
    </row>
    <row r="50" spans="1:11" ht="13.5" thickBot="1">
      <c r="A50" s="353"/>
      <c r="B50" s="354"/>
      <c r="C50" s="354"/>
      <c r="D50" s="354"/>
      <c r="E50" s="354"/>
      <c r="F50" s="354"/>
      <c r="G50" s="354"/>
      <c r="H50" s="354"/>
      <c r="I50" s="354"/>
      <c r="J50" s="354"/>
      <c r="K50" s="355"/>
    </row>
  </sheetData>
  <mergeCells count="1">
    <mergeCell ref="A43:K50"/>
  </mergeCells>
  <conditionalFormatting sqref="B9:B26">
    <cfRule type="cellIs" dxfId="59" priority="3" stopIfTrue="1" operator="equal">
      <formula>"Adjustment to Income/Expense/Rate Base:"</formula>
    </cfRule>
  </conditionalFormatting>
  <conditionalFormatting sqref="B20:B22">
    <cfRule type="cellIs" dxfId="58" priority="2" stopIfTrue="1" operator="equal">
      <formula>"Title"</formula>
    </cfRule>
  </conditionalFormatting>
  <conditionalFormatting sqref="B27:B34">
    <cfRule type="cellIs" dxfId="57" priority="1" stopIfTrue="1" operator="equal">
      <formula>"Adjustment to Income/Expense/Rate Base:"</formula>
    </cfRule>
  </conditionalFormatting>
  <pageMargins left="0.65" right="0.72" top="1" bottom="1" header="0.5" footer="0.5"/>
  <pageSetup scale="72" orientation="portrait" r:id="rId1"/>
  <headerFooter alignWithMargins="0">
    <oddHeader>&amp;L&amp;"Arial,Regular"&amp;10WA UE-130043
Bench Request 9&amp;R&amp;"Arial,Bold"&amp;10Attachment Bench Request 9</oddHeader>
    <oddFooter>&amp;L&amp;"Arial,Regular"&amp;10&amp;F&amp;C&amp;A</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23"/>
  <sheetViews>
    <sheetView view="pageBreakPreview" zoomScale="85" zoomScaleNormal="85" zoomScaleSheetLayoutView="85" workbookViewId="0">
      <pane xSplit="3" ySplit="6" topLeftCell="D7" activePane="bottomRight" state="frozen"/>
      <selection activeCell="T91" sqref="T91"/>
      <selection pane="topRight" activeCell="T91" sqref="T91"/>
      <selection pane="bottomLeft" activeCell="T91" sqref="T91"/>
      <selection pane="bottomRight" activeCell="T91" sqref="T91"/>
    </sheetView>
  </sheetViews>
  <sheetFormatPr defaultColWidth="11" defaultRowHeight="10.5"/>
  <cols>
    <col min="1" max="1" width="3" style="3" customWidth="1"/>
    <col min="2" max="2" width="2.6640625" style="3" customWidth="1"/>
    <col min="3" max="3" width="33.1640625" style="3" customWidth="1"/>
    <col min="4" max="4" width="13.83203125" style="3" customWidth="1"/>
    <col min="5" max="5" width="2.33203125" style="3" customWidth="1"/>
    <col min="6" max="6" width="15.83203125" style="3" customWidth="1"/>
    <col min="7" max="8" width="13.33203125" style="3" bestFit="1" customWidth="1"/>
    <col min="9" max="9" width="13.83203125" style="3" bestFit="1" customWidth="1"/>
    <col min="10" max="10" width="11" style="3" customWidth="1"/>
    <col min="11" max="11" width="14.5" style="3" customWidth="1"/>
    <col min="12" max="12" width="11" style="3" customWidth="1"/>
    <col min="13" max="13" width="14.1640625" style="3" bestFit="1" customWidth="1"/>
    <col min="14" max="14" width="20.1640625" style="27" bestFit="1" customWidth="1"/>
    <col min="15" max="15" width="15" style="3" bestFit="1" customWidth="1"/>
    <col min="16" max="16" width="14.6640625" style="3" bestFit="1" customWidth="1"/>
    <col min="17" max="16384" width="11" style="3"/>
  </cols>
  <sheetData>
    <row r="1" spans="1:14">
      <c r="A1" s="4" t="s">
        <v>118</v>
      </c>
      <c r="D1"/>
      <c r="E1" s="9"/>
      <c r="F1" s="8" t="s">
        <v>42</v>
      </c>
    </row>
    <row r="2" spans="1:14">
      <c r="A2" s="20"/>
      <c r="D2"/>
      <c r="E2" s="9"/>
      <c r="F2" s="9" t="s">
        <v>0</v>
      </c>
      <c r="K2" s="50"/>
    </row>
    <row r="3" spans="1:14">
      <c r="A3" s="5" t="s">
        <v>52</v>
      </c>
      <c r="D3" s="10"/>
      <c r="E3" s="10"/>
      <c r="F3" s="8" t="s">
        <v>1</v>
      </c>
    </row>
    <row r="4" spans="1:14">
      <c r="A4" s="358">
        <v>41974</v>
      </c>
      <c r="B4" s="358"/>
      <c r="C4" s="358"/>
      <c r="D4" s="10"/>
      <c r="E4" s="10"/>
      <c r="F4" s="9"/>
    </row>
    <row r="5" spans="1:14">
      <c r="B5" s="5"/>
      <c r="D5" s="11" t="s">
        <v>2</v>
      </c>
      <c r="E5" s="11"/>
      <c r="F5" s="12" t="s">
        <v>3</v>
      </c>
      <c r="G5" s="12" t="s">
        <v>3</v>
      </c>
      <c r="H5" s="12"/>
      <c r="I5" s="12"/>
    </row>
    <row r="6" spans="1:14" s="11" customFormat="1">
      <c r="A6" s="3"/>
      <c r="B6" s="3"/>
      <c r="C6" s="3"/>
      <c r="D6" s="41" t="s">
        <v>117</v>
      </c>
      <c r="E6" s="15"/>
      <c r="F6" s="13" t="s">
        <v>4</v>
      </c>
      <c r="G6" s="13" t="s">
        <v>5</v>
      </c>
      <c r="H6" s="13" t="s">
        <v>6</v>
      </c>
      <c r="I6" s="13" t="s">
        <v>7</v>
      </c>
      <c r="N6" s="28"/>
    </row>
    <row r="7" spans="1:14">
      <c r="A7" s="3" t="s">
        <v>8</v>
      </c>
      <c r="F7" s="6"/>
      <c r="G7" s="6"/>
      <c r="H7" s="6"/>
      <c r="I7" s="6"/>
    </row>
    <row r="8" spans="1:14">
      <c r="B8" t="s">
        <v>9</v>
      </c>
      <c r="D8" s="26">
        <v>12964800</v>
      </c>
      <c r="E8" s="16"/>
      <c r="F8" s="26">
        <f>D8</f>
        <v>12964800</v>
      </c>
      <c r="G8"/>
      <c r="H8"/>
      <c r="I8"/>
    </row>
    <row r="9" spans="1:14" hidden="1">
      <c r="B9"/>
      <c r="D9" s="16"/>
      <c r="E9" s="16"/>
      <c r="F9" s="1"/>
      <c r="G9" s="6"/>
      <c r="H9" s="6"/>
      <c r="I9" s="6"/>
    </row>
    <row r="10" spans="1:14">
      <c r="B10" t="s">
        <v>10</v>
      </c>
      <c r="D10" s="26">
        <v>60224075.030000001</v>
      </c>
      <c r="E10" s="16"/>
      <c r="F10" s="1"/>
      <c r="G10" s="6"/>
      <c r="H10" s="6"/>
      <c r="I10" s="26">
        <f>D10</f>
        <v>60224075.030000001</v>
      </c>
    </row>
    <row r="11" spans="1:14" hidden="1">
      <c r="B11"/>
      <c r="D11" s="16"/>
      <c r="E11" s="16"/>
      <c r="F11" s="1"/>
      <c r="G11" s="6"/>
      <c r="H11" s="6"/>
      <c r="I11" s="6"/>
    </row>
    <row r="12" spans="1:14" hidden="1">
      <c r="B12" t="s">
        <v>11</v>
      </c>
      <c r="D12" s="26">
        <v>0</v>
      </c>
      <c r="E12" s="16"/>
      <c r="F12" s="26">
        <f>D12</f>
        <v>0</v>
      </c>
      <c r="G12" s="6"/>
      <c r="H12" s="6"/>
      <c r="I12" s="6"/>
    </row>
    <row r="13" spans="1:14" hidden="1">
      <c r="C13"/>
      <c r="D13" s="16"/>
      <c r="E13" s="16"/>
      <c r="F13" s="6"/>
      <c r="G13" s="6"/>
      <c r="H13" s="6"/>
      <c r="I13" s="6"/>
    </row>
    <row r="14" spans="1:14" hidden="1">
      <c r="B14" s="3" t="s">
        <v>12</v>
      </c>
      <c r="C14"/>
      <c r="D14" s="26">
        <v>0</v>
      </c>
      <c r="E14" s="16"/>
      <c r="F14" s="6"/>
      <c r="G14" s="6"/>
      <c r="H14" s="26">
        <f>D14</f>
        <v>0</v>
      </c>
      <c r="I14" s="6"/>
    </row>
    <row r="15" spans="1:14" ht="11.25" thickBot="1">
      <c r="D15" s="11" t="s">
        <v>14</v>
      </c>
      <c r="E15" s="14" t="s">
        <v>13</v>
      </c>
      <c r="F15" s="11" t="s">
        <v>14</v>
      </c>
      <c r="G15" s="11" t="s">
        <v>14</v>
      </c>
      <c r="H15" s="11" t="s">
        <v>14</v>
      </c>
      <c r="I15" s="11" t="s">
        <v>14</v>
      </c>
    </row>
    <row r="16" spans="1:14" ht="11.25" thickBot="1">
      <c r="A16" s="3" t="s">
        <v>15</v>
      </c>
      <c r="D16" s="26">
        <f>SUM(D8:D14)</f>
        <v>73188875.030000001</v>
      </c>
      <c r="E16" s="16"/>
      <c r="F16" s="26">
        <f>SUM(F8:F14)</f>
        <v>12964800</v>
      </c>
      <c r="G16" s="26">
        <f>SUM(G8:G14)</f>
        <v>0</v>
      </c>
      <c r="H16" s="26">
        <f>SUM(H8:H14)</f>
        <v>0</v>
      </c>
      <c r="I16" s="26">
        <f>SUM(I8:I14)</f>
        <v>60224075.030000001</v>
      </c>
      <c r="K16" s="36">
        <v>0</v>
      </c>
      <c r="L16" s="24" t="s">
        <v>40</v>
      </c>
      <c r="M16" s="37">
        <f>D16-SUM(F16:I16)</f>
        <v>0</v>
      </c>
    </row>
    <row r="17" spans="1:19">
      <c r="D17" s="16"/>
      <c r="E17" s="16"/>
      <c r="F17" s="16"/>
      <c r="G17" s="16"/>
      <c r="H17" s="16"/>
      <c r="I17" s="16"/>
      <c r="P17" s="8" t="s">
        <v>67</v>
      </c>
    </row>
    <row r="18" spans="1:19">
      <c r="D18"/>
      <c r="E18" s="6"/>
      <c r="F18" s="6"/>
      <c r="G18" s="6"/>
      <c r="H18" s="6"/>
      <c r="I18" s="6"/>
      <c r="N18" s="39"/>
      <c r="O18" s="35"/>
      <c r="P18" s="48">
        <f>+A4</f>
        <v>41974</v>
      </c>
    </row>
    <row r="19" spans="1:19" ht="11.25">
      <c r="A19" s="3" t="s">
        <v>16</v>
      </c>
      <c r="D19" s="16"/>
      <c r="E19" s="16"/>
      <c r="F19" s="45"/>
      <c r="G19" s="6"/>
      <c r="H19" s="6"/>
      <c r="I19" s="6"/>
      <c r="N19" s="29" t="s">
        <v>56</v>
      </c>
      <c r="O19" s="42">
        <v>0.42634034956164213</v>
      </c>
      <c r="P19" s="16">
        <v>14785516.07</v>
      </c>
      <c r="Q19" s="44"/>
      <c r="R19" s="30"/>
      <c r="S19" s="16"/>
    </row>
    <row r="20" spans="1:19" ht="11.25" hidden="1">
      <c r="B20"/>
      <c r="C20" s="3" t="s">
        <v>17</v>
      </c>
      <c r="D20" s="26">
        <v>0</v>
      </c>
      <c r="E20" s="16"/>
      <c r="F20" s="26">
        <f>D20</f>
        <v>0</v>
      </c>
      <c r="G20" s="6"/>
      <c r="H20" s="6"/>
      <c r="I20" s="6"/>
      <c r="N20" s="29" t="s">
        <v>58</v>
      </c>
      <c r="O20" s="42">
        <f>1-O19</f>
        <v>0.57365965043835787</v>
      </c>
      <c r="P20" s="16">
        <v>19894560.739999998</v>
      </c>
      <c r="Q20" s="44"/>
      <c r="R20" s="30"/>
      <c r="S20" s="16"/>
    </row>
    <row r="21" spans="1:19" ht="11.25" hidden="1">
      <c r="B21"/>
      <c r="C21" s="3" t="s">
        <v>18</v>
      </c>
      <c r="D21" s="26">
        <v>0</v>
      </c>
      <c r="E21" s="16"/>
      <c r="F21" s="26">
        <f>D21-G21</f>
        <v>0</v>
      </c>
      <c r="G21" s="26">
        <v>0</v>
      </c>
      <c r="H21" s="6"/>
      <c r="I21" s="6"/>
      <c r="N21" s="29" t="s">
        <v>57</v>
      </c>
      <c r="O21" s="42">
        <f>IFERROR(P21/(P21+P22),0)</f>
        <v>0</v>
      </c>
      <c r="P21" s="16">
        <v>0</v>
      </c>
      <c r="Q21" s="44"/>
      <c r="R21" s="30"/>
      <c r="S21" s="16"/>
    </row>
    <row r="22" spans="1:19" ht="11.25">
      <c r="B22"/>
      <c r="C22" s="3" t="s">
        <v>19</v>
      </c>
      <c r="D22" s="26">
        <v>-148246.80999999959</v>
      </c>
      <c r="E22" s="16"/>
      <c r="F22" s="26">
        <f>D22*0.3</f>
        <v>-44474.042999999874</v>
      </c>
      <c r="G22" s="26">
        <f>D22*0.7</f>
        <v>-103772.7669999997</v>
      </c>
      <c r="H22" s="6"/>
      <c r="I22" s="6"/>
      <c r="N22" s="29" t="s">
        <v>59</v>
      </c>
      <c r="O22" s="42">
        <f>1-O21</f>
        <v>1</v>
      </c>
      <c r="P22" s="16">
        <v>0</v>
      </c>
      <c r="Q22" s="44"/>
      <c r="R22" s="30"/>
      <c r="S22" s="16"/>
    </row>
    <row r="23" spans="1:19">
      <c r="B23"/>
      <c r="C23" s="3" t="s">
        <v>20</v>
      </c>
      <c r="D23" s="26">
        <v>270000</v>
      </c>
      <c r="E23" s="16"/>
      <c r="F23" s="26">
        <f>D23*0.2073628</f>
        <v>55987.956000000006</v>
      </c>
      <c r="G23" s="26">
        <f>D23-F23</f>
        <v>214012.04399999999</v>
      </c>
      <c r="H23" s="6"/>
      <c r="I23" s="6"/>
    </row>
    <row r="24" spans="1:19">
      <c r="B24"/>
      <c r="C24" s="3" t="s">
        <v>21</v>
      </c>
      <c r="D24" s="26">
        <f>N27</f>
        <v>76897305.959999993</v>
      </c>
      <c r="E24" s="16"/>
      <c r="F24" s="31">
        <f>(N25+N24*O19)*K24</f>
        <v>2517906.851172646</v>
      </c>
      <c r="G24" s="31">
        <f>(N25+N24*O19)*L24</f>
        <v>12267609.214563949</v>
      </c>
      <c r="H24" s="6"/>
      <c r="I24" s="31">
        <f>(N26+N24*O20)</f>
        <v>62111789.894263402</v>
      </c>
      <c r="K24" s="25">
        <v>0.17029549999999999</v>
      </c>
      <c r="L24" s="25">
        <f>1-K24</f>
        <v>0.82970450000000007</v>
      </c>
      <c r="N24" s="26">
        <v>34680076.799999997</v>
      </c>
      <c r="O24" t="s">
        <v>53</v>
      </c>
    </row>
    <row r="25" spans="1:19" hidden="1">
      <c r="B25"/>
      <c r="C25" s="49" t="s">
        <v>90</v>
      </c>
      <c r="D25" s="26">
        <v>0</v>
      </c>
      <c r="E25" s="16"/>
      <c r="F25" s="6"/>
      <c r="G25" s="26">
        <f>D25</f>
        <v>0</v>
      </c>
      <c r="H25" s="6"/>
      <c r="I25" s="26"/>
      <c r="N25" s="26">
        <v>0</v>
      </c>
      <c r="O25" t="s">
        <v>50</v>
      </c>
    </row>
    <row r="26" spans="1:19">
      <c r="B26" s="40" t="s">
        <v>65</v>
      </c>
      <c r="C26" s="14"/>
      <c r="D26" s="11" t="s">
        <v>14</v>
      </c>
      <c r="E26" s="14" t="s">
        <v>13</v>
      </c>
      <c r="F26" s="11" t="s">
        <v>14</v>
      </c>
      <c r="G26" s="11" t="s">
        <v>14</v>
      </c>
      <c r="H26" s="11" t="s">
        <v>14</v>
      </c>
      <c r="I26" s="11" t="s">
        <v>14</v>
      </c>
      <c r="K26" s="25"/>
      <c r="L26" s="25"/>
      <c r="N26" s="43">
        <v>42217229.159999996</v>
      </c>
      <c r="O26" t="s">
        <v>49</v>
      </c>
    </row>
    <row r="27" spans="1:19">
      <c r="B27" s="3" t="s">
        <v>22</v>
      </c>
      <c r="C27"/>
      <c r="D27" s="26">
        <f>SUM(D20:D26)</f>
        <v>77019059.149999991</v>
      </c>
      <c r="E27" s="16"/>
      <c r="F27" s="26">
        <f t="shared" ref="F27:I27" si="0">SUM(F20:F26)</f>
        <v>2529420.7641726462</v>
      </c>
      <c r="G27" s="26">
        <f t="shared" si="0"/>
        <v>12377848.49156395</v>
      </c>
      <c r="H27" s="26">
        <f t="shared" si="0"/>
        <v>0</v>
      </c>
      <c r="I27" s="26">
        <f t="shared" si="0"/>
        <v>62111789.894263402</v>
      </c>
      <c r="K27" s="25"/>
      <c r="L27" s="25"/>
      <c r="N27" s="26">
        <f>SUM(N24:N26)</f>
        <v>76897305.959999993</v>
      </c>
      <c r="O27"/>
    </row>
    <row r="28" spans="1:19" ht="12.75">
      <c r="D28" s="1"/>
      <c r="E28" s="16"/>
      <c r="F28" s="1"/>
      <c r="G28" s="1"/>
      <c r="H28" s="6"/>
      <c r="I28" s="6"/>
      <c r="K28" s="25"/>
      <c r="L28" s="25"/>
      <c r="N28" s="34"/>
      <c r="O28" s="32"/>
    </row>
    <row r="29" spans="1:19">
      <c r="B29"/>
      <c r="C29" s="3" t="s">
        <v>41</v>
      </c>
      <c r="D29" s="26">
        <v>0</v>
      </c>
      <c r="E29" s="16"/>
      <c r="F29" s="26"/>
      <c r="G29" s="26">
        <f>D29</f>
        <v>0</v>
      </c>
      <c r="H29" s="6"/>
      <c r="I29" s="6"/>
      <c r="K29" s="25"/>
      <c r="L29" s="25"/>
      <c r="N29" s="26">
        <v>0</v>
      </c>
      <c r="O29" t="s">
        <v>54</v>
      </c>
    </row>
    <row r="30" spans="1:19">
      <c r="B30"/>
      <c r="C30" s="3" t="s">
        <v>23</v>
      </c>
      <c r="D30" s="26">
        <v>0</v>
      </c>
      <c r="E30" s="16"/>
      <c r="F30" s="26"/>
      <c r="G30" s="26">
        <f>D30</f>
        <v>0</v>
      </c>
      <c r="H30" s="6"/>
      <c r="I30" s="6"/>
      <c r="K30" s="25"/>
      <c r="L30" s="25"/>
      <c r="M30" s="21"/>
      <c r="N30" s="26">
        <v>0</v>
      </c>
      <c r="O30" t="s">
        <v>51</v>
      </c>
    </row>
    <row r="31" spans="1:19">
      <c r="B31"/>
      <c r="C31" s="3" t="s">
        <v>24</v>
      </c>
      <c r="D31" s="26">
        <f>N32</f>
        <v>0</v>
      </c>
      <c r="E31" s="16"/>
      <c r="F31" s="31">
        <f>(N30+N29*O21)*K31</f>
        <v>0</v>
      </c>
      <c r="G31" s="31">
        <f>(N30+N29*O21)*L31</f>
        <v>0</v>
      </c>
      <c r="H31" s="6"/>
      <c r="I31" s="31">
        <f>(N31+N29*O22)</f>
        <v>0</v>
      </c>
      <c r="K31" s="25">
        <v>0.7</v>
      </c>
      <c r="L31" s="25">
        <f>1-K31</f>
        <v>0.30000000000000004</v>
      </c>
      <c r="N31" s="43">
        <v>0</v>
      </c>
      <c r="O31" t="s">
        <v>48</v>
      </c>
    </row>
    <row r="32" spans="1:19">
      <c r="B32"/>
      <c r="C32" s="3" t="s">
        <v>25</v>
      </c>
      <c r="D32" s="26">
        <v>0</v>
      </c>
      <c r="E32" s="16"/>
      <c r="F32" s="26">
        <f>D32</f>
        <v>0</v>
      </c>
      <c r="G32" s="26">
        <v>0</v>
      </c>
      <c r="H32" s="6"/>
      <c r="I32" s="6"/>
      <c r="N32" s="33">
        <f>SUM(N29:N31)</f>
        <v>0</v>
      </c>
      <c r="O32"/>
    </row>
    <row r="33" spans="2:18">
      <c r="B33"/>
      <c r="C33" s="3" t="s">
        <v>89</v>
      </c>
      <c r="D33" s="26">
        <v>0</v>
      </c>
      <c r="E33" s="16"/>
      <c r="F33" s="6"/>
      <c r="G33" s="26">
        <f>D33</f>
        <v>0</v>
      </c>
      <c r="H33" s="6"/>
      <c r="I33" s="6"/>
      <c r="N33" s="33"/>
      <c r="O33"/>
    </row>
    <row r="34" spans="2:18">
      <c r="B34"/>
      <c r="C34" s="3" t="s">
        <v>26</v>
      </c>
      <c r="D34" s="26">
        <v>0</v>
      </c>
      <c r="E34" s="16"/>
      <c r="F34" s="26">
        <v>0</v>
      </c>
      <c r="G34" s="26">
        <v>0</v>
      </c>
      <c r="H34" s="6"/>
      <c r="I34" s="6"/>
    </row>
    <row r="35" spans="2:18">
      <c r="B35" s="40" t="s">
        <v>65</v>
      </c>
      <c r="C35" s="14"/>
      <c r="D35" s="11" t="s">
        <v>14</v>
      </c>
      <c r="E35" s="14" t="s">
        <v>13</v>
      </c>
      <c r="F35" s="11" t="s">
        <v>14</v>
      </c>
      <c r="G35" s="11" t="s">
        <v>14</v>
      </c>
      <c r="H35" s="11" t="s">
        <v>14</v>
      </c>
      <c r="I35" s="11" t="s">
        <v>14</v>
      </c>
      <c r="R35" s="30"/>
    </row>
    <row r="36" spans="2:18">
      <c r="B36" s="3" t="s">
        <v>27</v>
      </c>
      <c r="C36"/>
      <c r="D36" s="26">
        <f>SUM(D29:D35)</f>
        <v>0</v>
      </c>
      <c r="E36" s="16"/>
      <c r="F36" s="26">
        <f t="shared" ref="F36:I36" si="1">SUM(F29:F35)</f>
        <v>0</v>
      </c>
      <c r="G36" s="26">
        <f t="shared" si="1"/>
        <v>0</v>
      </c>
      <c r="H36" s="26">
        <f t="shared" si="1"/>
        <v>0</v>
      </c>
      <c r="I36" s="26">
        <f t="shared" si="1"/>
        <v>0</v>
      </c>
    </row>
    <row r="37" spans="2:18">
      <c r="D37" s="16"/>
      <c r="E37" s="16"/>
      <c r="F37" s="6"/>
      <c r="G37" s="6"/>
      <c r="H37" s="6"/>
      <c r="I37" s="6"/>
      <c r="N37" s="3"/>
    </row>
    <row r="38" spans="2:18" hidden="1">
      <c r="B38"/>
      <c r="C38" s="3" t="s">
        <v>68</v>
      </c>
      <c r="D38" s="26">
        <v>0</v>
      </c>
      <c r="E38" s="16"/>
      <c r="F38" s="6"/>
      <c r="G38" s="6"/>
      <c r="H38" s="6"/>
      <c r="I38" s="26">
        <f t="shared" ref="I38:I63" si="2">IF(K38="Post Merger",D38,0)</f>
        <v>0</v>
      </c>
      <c r="K38" s="3" t="s">
        <v>10</v>
      </c>
    </row>
    <row r="39" spans="2:18" hidden="1">
      <c r="B39"/>
      <c r="C39" s="3" t="s">
        <v>55</v>
      </c>
      <c r="D39" s="26">
        <v>0</v>
      </c>
      <c r="E39" s="16"/>
      <c r="F39" s="6"/>
      <c r="G39" s="6"/>
      <c r="H39" s="6"/>
      <c r="I39" s="26">
        <f t="shared" si="2"/>
        <v>0</v>
      </c>
      <c r="K39" s="3" t="s">
        <v>10</v>
      </c>
    </row>
    <row r="40" spans="2:18" hidden="1">
      <c r="B40"/>
      <c r="C40" s="3" t="s">
        <v>69</v>
      </c>
      <c r="D40" s="26">
        <v>0</v>
      </c>
      <c r="E40" s="16"/>
      <c r="F40" s="6"/>
      <c r="G40" s="6"/>
      <c r="H40" s="6"/>
      <c r="I40" s="26">
        <f>IF(K40="Post Merger",D40,0)</f>
        <v>0</v>
      </c>
      <c r="K40" s="3" t="s">
        <v>10</v>
      </c>
    </row>
    <row r="41" spans="2:18" hidden="1">
      <c r="B41"/>
      <c r="C41" s="3" t="s">
        <v>88</v>
      </c>
      <c r="D41" s="26">
        <v>0</v>
      </c>
      <c r="E41" s="16"/>
      <c r="F41" s="6"/>
      <c r="G41" s="6"/>
      <c r="H41" s="6"/>
      <c r="I41" s="26">
        <f>IF(K41="Post Merger",D41,0)</f>
        <v>0</v>
      </c>
      <c r="K41" s="3" t="s">
        <v>10</v>
      </c>
    </row>
    <row r="42" spans="2:18" hidden="1">
      <c r="B42"/>
      <c r="C42" s="3" t="s">
        <v>70</v>
      </c>
      <c r="D42" s="26">
        <v>0</v>
      </c>
      <c r="E42" s="16"/>
      <c r="F42" s="6"/>
      <c r="G42" s="6"/>
      <c r="H42" s="6"/>
      <c r="I42" s="26">
        <f>IF(K42="Post Merger",D42,0)</f>
        <v>0</v>
      </c>
      <c r="K42" s="3" t="s">
        <v>10</v>
      </c>
    </row>
    <row r="43" spans="2:18">
      <c r="B43"/>
      <c r="C43" s="3" t="s">
        <v>71</v>
      </c>
      <c r="D43" s="26">
        <v>4575693.2</v>
      </c>
      <c r="E43" s="16"/>
      <c r="F43" s="6"/>
      <c r="G43" s="6"/>
      <c r="H43" s="6"/>
      <c r="I43" s="26">
        <f t="shared" si="2"/>
        <v>4575693.2</v>
      </c>
      <c r="K43" s="3" t="s">
        <v>10</v>
      </c>
    </row>
    <row r="44" spans="2:18" hidden="1">
      <c r="B44"/>
      <c r="C44" s="3" t="s">
        <v>72</v>
      </c>
      <c r="D44" s="26">
        <v>0</v>
      </c>
      <c r="E44" s="16"/>
      <c r="F44" s="6"/>
      <c r="G44" s="6"/>
      <c r="H44" s="6"/>
      <c r="I44" s="26">
        <f t="shared" si="2"/>
        <v>0</v>
      </c>
      <c r="K44" s="3" t="s">
        <v>10</v>
      </c>
    </row>
    <row r="45" spans="2:18">
      <c r="B45"/>
      <c r="C45" s="3" t="s">
        <v>46</v>
      </c>
      <c r="D45" s="26">
        <v>8005931.2199999997</v>
      </c>
      <c r="E45" s="16"/>
      <c r="F45" s="6"/>
      <c r="G45" s="6"/>
      <c r="H45" s="6"/>
      <c r="I45" s="26">
        <f t="shared" si="2"/>
        <v>8005931.2199999997</v>
      </c>
      <c r="K45" s="3" t="s">
        <v>10</v>
      </c>
    </row>
    <row r="46" spans="2:18" ht="11.25" thickBot="1">
      <c r="B46"/>
      <c r="C46" s="3" t="s">
        <v>73</v>
      </c>
      <c r="D46" s="26">
        <v>84410045.319999993</v>
      </c>
      <c r="E46" s="16"/>
      <c r="F46" s="6"/>
      <c r="G46" s="6"/>
      <c r="H46" s="6"/>
      <c r="I46" s="26">
        <f t="shared" si="2"/>
        <v>84410045.319999993</v>
      </c>
      <c r="K46" s="3" t="s">
        <v>10</v>
      </c>
    </row>
    <row r="47" spans="2:18" hidden="1">
      <c r="B47"/>
      <c r="C47" s="3" t="s">
        <v>74</v>
      </c>
      <c r="D47" s="26">
        <v>0</v>
      </c>
      <c r="E47" s="16"/>
      <c r="F47" s="6"/>
      <c r="G47" s="6"/>
      <c r="H47" s="6"/>
      <c r="I47" s="26">
        <f t="shared" si="2"/>
        <v>0</v>
      </c>
      <c r="K47" s="3" t="s">
        <v>10</v>
      </c>
    </row>
    <row r="48" spans="2:18" hidden="1">
      <c r="B48"/>
      <c r="C48" s="3" t="s">
        <v>75</v>
      </c>
      <c r="D48" s="26">
        <v>0</v>
      </c>
      <c r="E48" s="16"/>
      <c r="F48" s="6"/>
      <c r="G48" s="6"/>
      <c r="H48" s="6"/>
      <c r="I48" s="26">
        <f t="shared" si="2"/>
        <v>0</v>
      </c>
      <c r="K48" s="3" t="s">
        <v>10</v>
      </c>
    </row>
    <row r="49" spans="2:11" hidden="1">
      <c r="B49"/>
      <c r="C49" s="3" t="s">
        <v>45</v>
      </c>
      <c r="D49" s="26">
        <v>0</v>
      </c>
      <c r="E49" s="16"/>
      <c r="F49" s="6"/>
      <c r="G49" s="6"/>
      <c r="H49" s="6"/>
      <c r="I49" s="26">
        <f t="shared" si="2"/>
        <v>0</v>
      </c>
      <c r="K49" s="3" t="s">
        <v>10</v>
      </c>
    </row>
    <row r="50" spans="2:11" hidden="1">
      <c r="B50"/>
      <c r="C50" s="22" t="s">
        <v>76</v>
      </c>
      <c r="D50" s="26">
        <v>0</v>
      </c>
      <c r="E50" s="16"/>
      <c r="F50" s="6"/>
      <c r="G50" s="6"/>
      <c r="H50" s="6"/>
      <c r="I50" s="26">
        <f>IF(K50="Post Merger",D50,0)</f>
        <v>0</v>
      </c>
      <c r="K50" s="3" t="s">
        <v>10</v>
      </c>
    </row>
    <row r="51" spans="2:11" hidden="1">
      <c r="B51"/>
      <c r="C51" s="3" t="s">
        <v>77</v>
      </c>
      <c r="D51" s="26">
        <v>0</v>
      </c>
      <c r="E51" s="16"/>
      <c r="F51" s="6"/>
      <c r="G51" s="6"/>
      <c r="H51" s="6"/>
      <c r="I51" s="26">
        <f t="shared" si="2"/>
        <v>0</v>
      </c>
      <c r="K51" s="3" t="s">
        <v>10</v>
      </c>
    </row>
    <row r="52" spans="2:11" hidden="1">
      <c r="B52"/>
      <c r="C52" s="3" t="s">
        <v>78</v>
      </c>
      <c r="D52" s="26">
        <v>0</v>
      </c>
      <c r="E52" s="16"/>
      <c r="F52" s="6"/>
      <c r="G52" s="6"/>
      <c r="H52" s="6"/>
      <c r="I52" s="26">
        <f t="shared" si="2"/>
        <v>0</v>
      </c>
      <c r="K52" s="3" t="s">
        <v>10</v>
      </c>
    </row>
    <row r="53" spans="2:11" hidden="1">
      <c r="B53"/>
      <c r="C53" s="3" t="s">
        <v>79</v>
      </c>
      <c r="D53" s="26">
        <v>0</v>
      </c>
      <c r="E53" s="16"/>
      <c r="F53" s="6"/>
      <c r="G53" s="6"/>
      <c r="H53" s="6"/>
      <c r="I53" s="26">
        <f t="shared" si="2"/>
        <v>0</v>
      </c>
      <c r="K53" s="3" t="s">
        <v>10</v>
      </c>
    </row>
    <row r="54" spans="2:11" hidden="1">
      <c r="B54"/>
      <c r="C54" s="3" t="s">
        <v>80</v>
      </c>
      <c r="D54" s="26">
        <v>0</v>
      </c>
      <c r="E54" s="16"/>
      <c r="F54" s="6"/>
      <c r="G54" s="6"/>
      <c r="H54" s="6"/>
      <c r="I54" s="26">
        <f t="shared" si="2"/>
        <v>0</v>
      </c>
      <c r="K54" s="3" t="s">
        <v>10</v>
      </c>
    </row>
    <row r="55" spans="2:11" hidden="1">
      <c r="B55"/>
      <c r="C55" s="3" t="s">
        <v>81</v>
      </c>
      <c r="D55" s="26">
        <v>0</v>
      </c>
      <c r="E55" s="16"/>
      <c r="F55" s="6"/>
      <c r="G55" s="6"/>
      <c r="H55" s="6"/>
      <c r="I55" s="26">
        <f t="shared" si="2"/>
        <v>0</v>
      </c>
      <c r="K55" s="3" t="s">
        <v>10</v>
      </c>
    </row>
    <row r="56" spans="2:11" hidden="1">
      <c r="B56"/>
      <c r="C56" s="3" t="s">
        <v>82</v>
      </c>
      <c r="D56" s="26">
        <v>0</v>
      </c>
      <c r="E56" s="16"/>
      <c r="F56" s="6"/>
      <c r="G56" s="6"/>
      <c r="H56" s="6"/>
      <c r="I56" s="26">
        <f t="shared" si="2"/>
        <v>0</v>
      </c>
      <c r="K56" s="3" t="s">
        <v>10</v>
      </c>
    </row>
    <row r="57" spans="2:11" hidden="1">
      <c r="B57"/>
      <c r="C57" s="27" t="s">
        <v>83</v>
      </c>
      <c r="D57" s="26">
        <v>0</v>
      </c>
      <c r="E57" s="16"/>
      <c r="F57" s="6"/>
      <c r="G57" s="6"/>
      <c r="H57" s="6"/>
      <c r="I57" s="26">
        <f>IF(K57="Post Merger",D57,0)</f>
        <v>0</v>
      </c>
      <c r="K57" s="3" t="s">
        <v>10</v>
      </c>
    </row>
    <row r="58" spans="2:11" hidden="1">
      <c r="B58"/>
      <c r="C58" s="27" t="s">
        <v>92</v>
      </c>
      <c r="D58" s="26">
        <v>0</v>
      </c>
      <c r="E58" s="16"/>
      <c r="F58" s="6"/>
      <c r="G58" s="6"/>
      <c r="H58" s="6"/>
      <c r="I58" s="26">
        <f>IF(K58="Post Merger",D58,0)</f>
        <v>0</v>
      </c>
      <c r="K58" s="3" t="s">
        <v>10</v>
      </c>
    </row>
    <row r="59" spans="2:11" hidden="1">
      <c r="B59"/>
      <c r="C59" s="3" t="s">
        <v>84</v>
      </c>
      <c r="D59" s="26">
        <v>0</v>
      </c>
      <c r="E59" s="16"/>
      <c r="F59" s="6"/>
      <c r="G59" s="6"/>
      <c r="H59" s="6"/>
      <c r="I59" s="26">
        <f t="shared" si="2"/>
        <v>0</v>
      </c>
      <c r="K59" s="3" t="s">
        <v>10</v>
      </c>
    </row>
    <row r="60" spans="2:11" hidden="1">
      <c r="B60"/>
      <c r="C60" s="3" t="s">
        <v>95</v>
      </c>
      <c r="D60" s="26">
        <v>0</v>
      </c>
      <c r="E60" s="16"/>
      <c r="F60" s="6"/>
      <c r="G60" s="6"/>
      <c r="H60" s="6"/>
      <c r="I60" s="26">
        <f t="shared" si="2"/>
        <v>0</v>
      </c>
      <c r="K60" s="3" t="s">
        <v>10</v>
      </c>
    </row>
    <row r="61" spans="2:11" hidden="1">
      <c r="B61"/>
      <c r="C61" s="3" t="s">
        <v>85</v>
      </c>
      <c r="D61" s="26">
        <v>0</v>
      </c>
      <c r="E61" s="16"/>
      <c r="F61" s="6"/>
      <c r="G61" s="6"/>
      <c r="H61" s="6"/>
      <c r="I61" s="26">
        <f t="shared" si="2"/>
        <v>0</v>
      </c>
      <c r="K61" s="3" t="s">
        <v>10</v>
      </c>
    </row>
    <row r="62" spans="2:11" hidden="1">
      <c r="B62"/>
      <c r="C62" s="3" t="s">
        <v>86</v>
      </c>
      <c r="D62" s="26">
        <v>0</v>
      </c>
      <c r="E62" s="16"/>
      <c r="F62" s="6"/>
      <c r="G62" s="6"/>
      <c r="H62" s="6"/>
      <c r="I62" s="26">
        <f t="shared" si="2"/>
        <v>0</v>
      </c>
      <c r="K62" s="3" t="s">
        <v>10</v>
      </c>
    </row>
    <row r="63" spans="2:11" hidden="1">
      <c r="B63"/>
      <c r="C63" s="3" t="s">
        <v>94</v>
      </c>
      <c r="D63" s="26">
        <v>0</v>
      </c>
      <c r="E63" s="16"/>
      <c r="F63" s="6"/>
      <c r="G63" s="6"/>
      <c r="H63" s="6"/>
      <c r="I63" s="26">
        <f t="shared" si="2"/>
        <v>0</v>
      </c>
      <c r="K63" s="3" t="s">
        <v>10</v>
      </c>
    </row>
    <row r="64" spans="2:11" hidden="1">
      <c r="B64"/>
      <c r="C64" s="27" t="s">
        <v>87</v>
      </c>
      <c r="D64" s="26">
        <v>0</v>
      </c>
      <c r="E64" s="16"/>
      <c r="F64" s="6"/>
      <c r="G64" s="6"/>
      <c r="H64" s="6"/>
      <c r="I64" s="26">
        <f>IF(K64="Post Merger",D64,0)</f>
        <v>0</v>
      </c>
      <c r="K64" s="3" t="s">
        <v>10</v>
      </c>
    </row>
    <row r="65" spans="1:16" hidden="1">
      <c r="B65"/>
      <c r="C65" s="3" t="s">
        <v>93</v>
      </c>
      <c r="D65" s="26">
        <v>0</v>
      </c>
      <c r="E65" s="16"/>
      <c r="F65" s="6"/>
      <c r="G65" s="6"/>
      <c r="H65" s="6"/>
      <c r="I65" s="26">
        <f>IF(K65="Post Merger",D65,0)</f>
        <v>0</v>
      </c>
      <c r="K65" s="3" t="s">
        <v>10</v>
      </c>
    </row>
    <row r="66" spans="1:16" hidden="1">
      <c r="B66"/>
      <c r="C66" s="27"/>
      <c r="D66" s="26"/>
      <c r="E66" s="16"/>
      <c r="F66" s="6"/>
      <c r="G66" s="6"/>
      <c r="H66" s="6"/>
      <c r="I66" s="26"/>
    </row>
    <row r="67" spans="1:16" hidden="1">
      <c r="B67" s="22" t="s">
        <v>64</v>
      </c>
      <c r="C67" s="27"/>
      <c r="D67" s="26"/>
      <c r="E67" s="16"/>
      <c r="F67" s="6"/>
      <c r="G67" s="6"/>
      <c r="H67" s="6"/>
      <c r="I67" s="26"/>
    </row>
    <row r="68" spans="1:16" ht="11.25" hidden="1" thickBot="1">
      <c r="B68"/>
      <c r="C68" s="3" t="s">
        <v>96</v>
      </c>
      <c r="D68" s="26">
        <v>0</v>
      </c>
      <c r="E68" s="16"/>
      <c r="F68" s="6"/>
      <c r="G68" s="6"/>
      <c r="H68" s="6"/>
      <c r="I68" s="26">
        <f>IF(K68="Post Merger",D68,0)</f>
        <v>0</v>
      </c>
      <c r="K68" s="3" t="s">
        <v>10</v>
      </c>
    </row>
    <row r="69" spans="1:16" ht="11.25" thickBot="1">
      <c r="B69"/>
      <c r="D69" s="16"/>
      <c r="E69" s="16"/>
      <c r="F69" s="6"/>
      <c r="G69" s="6"/>
      <c r="H69" s="6"/>
      <c r="I69" s="6"/>
      <c r="K69" s="36">
        <v>0</v>
      </c>
      <c r="L69" s="24" t="s">
        <v>40</v>
      </c>
      <c r="M69" s="37">
        <v>0</v>
      </c>
    </row>
    <row r="70" spans="1:16">
      <c r="B70"/>
      <c r="C70" t="s">
        <v>115</v>
      </c>
      <c r="D70" s="26">
        <v>74186676.819999993</v>
      </c>
      <c r="E70" s="16"/>
      <c r="F70" s="6"/>
      <c r="G70" s="6"/>
      <c r="H70" s="6"/>
      <c r="I70" s="26">
        <f>D70</f>
        <v>74186676.819999993</v>
      </c>
    </row>
    <row r="71" spans="1:16" ht="11.25" thickBot="1">
      <c r="B71" s="40" t="s">
        <v>65</v>
      </c>
      <c r="C71" s="14"/>
      <c r="D71" s="11" t="s">
        <v>14</v>
      </c>
      <c r="E71" s="14" t="s">
        <v>13</v>
      </c>
      <c r="F71" s="11" t="s">
        <v>14</v>
      </c>
      <c r="G71" s="11" t="s">
        <v>14</v>
      </c>
      <c r="H71" s="11" t="s">
        <v>14</v>
      </c>
      <c r="I71" s="11" t="s">
        <v>14</v>
      </c>
    </row>
    <row r="72" spans="1:16" ht="11.25" thickBot="1">
      <c r="B72" s="3" t="s">
        <v>28</v>
      </c>
      <c r="C72"/>
      <c r="D72" s="26">
        <f>SUM(D38:D70)</f>
        <v>171178346.56</v>
      </c>
      <c r="E72" s="16"/>
      <c r="F72" s="26">
        <f>SUM(F38:F70)</f>
        <v>0</v>
      </c>
      <c r="G72" s="26">
        <f>SUM(G38:G70)</f>
        <v>0</v>
      </c>
      <c r="H72" s="26">
        <f>SUM(H38:H70)</f>
        <v>0</v>
      </c>
      <c r="I72" s="26">
        <f>SUM(I38:I70)</f>
        <v>171178346.56</v>
      </c>
      <c r="K72" s="36"/>
      <c r="L72" s="24" t="s">
        <v>40</v>
      </c>
      <c r="M72" s="37">
        <f>D72-SUM(F72:I72)</f>
        <v>0</v>
      </c>
    </row>
    <row r="73" spans="1:16">
      <c r="B73" s="3" t="s">
        <v>116</v>
      </c>
      <c r="D73" s="26">
        <v>663166.31000000006</v>
      </c>
      <c r="E73" s="16"/>
      <c r="F73" s="14"/>
      <c r="H73" s="26"/>
      <c r="I73" s="26">
        <f>D73</f>
        <v>663166.31000000006</v>
      </c>
      <c r="J73"/>
      <c r="K73"/>
      <c r="L73"/>
      <c r="M73"/>
    </row>
    <row r="74" spans="1:16">
      <c r="B74" s="3" t="s">
        <v>29</v>
      </c>
      <c r="C74"/>
      <c r="D74" s="26">
        <v>0</v>
      </c>
      <c r="E74" s="16"/>
      <c r="F74" s="26"/>
      <c r="G74" s="26"/>
      <c r="H74" s="26">
        <f>D74</f>
        <v>0</v>
      </c>
      <c r="I74" s="6"/>
    </row>
    <row r="75" spans="1:16" ht="11.25" thickBot="1">
      <c r="D75" s="11" t="s">
        <v>14</v>
      </c>
      <c r="E75" s="14" t="s">
        <v>13</v>
      </c>
      <c r="F75" s="11" t="s">
        <v>14</v>
      </c>
      <c r="G75" s="11" t="s">
        <v>14</v>
      </c>
      <c r="H75" s="11" t="s">
        <v>14</v>
      </c>
      <c r="I75" s="11" t="s">
        <v>14</v>
      </c>
    </row>
    <row r="76" spans="1:16" ht="11.25" thickBot="1">
      <c r="A76" s="3" t="s">
        <v>30</v>
      </c>
      <c r="D76" s="26">
        <f>D72+D73+D74+D36+D27</f>
        <v>248860572.01999998</v>
      </c>
      <c r="E76" s="16"/>
      <c r="F76" s="26">
        <f>F72+F73+F74+F36+F27</f>
        <v>2529420.7641726462</v>
      </c>
      <c r="G76" s="26">
        <f>G72+G73+G74+G36+G27</f>
        <v>12377848.49156395</v>
      </c>
      <c r="H76" s="26">
        <f>H72+H73+H74+H36+H27</f>
        <v>0</v>
      </c>
      <c r="I76" s="26">
        <f>I72+I73+I74+I36+I27</f>
        <v>233953302.76426339</v>
      </c>
      <c r="K76" s="36">
        <v>0</v>
      </c>
      <c r="L76" s="24" t="s">
        <v>40</v>
      </c>
      <c r="M76" s="37">
        <f>D76-SUM(F76:I76)</f>
        <v>0</v>
      </c>
    </row>
    <row r="77" spans="1:16">
      <c r="D77" s="16"/>
      <c r="E77" s="16"/>
      <c r="F77" s="16"/>
      <c r="G77" s="16"/>
      <c r="H77" s="16"/>
      <c r="I77" s="16"/>
    </row>
    <row r="78" spans="1:16">
      <c r="D78" s="16"/>
      <c r="E78" s="16"/>
      <c r="F78" s="16"/>
      <c r="G78" s="16"/>
      <c r="H78" s="16"/>
      <c r="I78" s="16"/>
    </row>
    <row r="79" spans="1:16" ht="11.25">
      <c r="A79" s="3" t="s">
        <v>31</v>
      </c>
      <c r="F79" s="6"/>
      <c r="G79" s="6"/>
      <c r="H79" s="6"/>
      <c r="I79" s="6"/>
      <c r="N79" s="29" t="s">
        <v>60</v>
      </c>
      <c r="O79" s="32">
        <v>24999835.973468848</v>
      </c>
      <c r="P79" s="26"/>
    </row>
    <row r="80" spans="1:16" ht="11.25">
      <c r="F80" s="6"/>
      <c r="G80" s="6"/>
      <c r="H80" s="6"/>
      <c r="I80" s="6"/>
      <c r="N80" s="29" t="s">
        <v>61</v>
      </c>
      <c r="O80" s="32">
        <v>0</v>
      </c>
      <c r="P80" s="26"/>
    </row>
    <row r="81" spans="1:16" customFormat="1" ht="12" thickBot="1">
      <c r="A81" s="3"/>
      <c r="B81" s="3" t="s">
        <v>32</v>
      </c>
      <c r="D81" s="26">
        <f>SUM(F81:I81)</f>
        <v>24999835.973468848</v>
      </c>
      <c r="E81" s="16"/>
      <c r="F81" s="26">
        <f>O79</f>
        <v>24999835.973468848</v>
      </c>
      <c r="G81" s="6"/>
      <c r="H81" s="6"/>
      <c r="I81" s="6"/>
      <c r="J81" s="3"/>
      <c r="K81" s="18"/>
      <c r="L81" s="3"/>
      <c r="M81" s="3"/>
      <c r="N81" s="29" t="s">
        <v>62</v>
      </c>
      <c r="O81" s="32">
        <v>81172534.000558719</v>
      </c>
      <c r="P81" s="38"/>
    </row>
    <row r="82" spans="1:16" ht="12" hidden="1" thickBot="1">
      <c r="A82"/>
      <c r="B82"/>
      <c r="C82"/>
      <c r="D82"/>
      <c r="E82"/>
      <c r="F82"/>
      <c r="G82"/>
      <c r="H82"/>
      <c r="I82"/>
      <c r="J82"/>
      <c r="K82" s="23"/>
      <c r="L82"/>
      <c r="M82"/>
      <c r="N82" s="29" t="s">
        <v>91</v>
      </c>
      <c r="O82" s="32">
        <v>0</v>
      </c>
      <c r="P82" s="26"/>
    </row>
    <row r="83" spans="1:16" ht="12" hidden="1" thickBot="1">
      <c r="B83" s="3" t="s">
        <v>33</v>
      </c>
      <c r="C83"/>
      <c r="D83" s="26">
        <f>SUM(F83:I83)</f>
        <v>0</v>
      </c>
      <c r="E83" s="16"/>
      <c r="F83" s="26">
        <f>O80</f>
        <v>0</v>
      </c>
      <c r="G83" s="6"/>
      <c r="H83" s="6"/>
      <c r="I83" s="6"/>
      <c r="N83" s="29" t="s">
        <v>63</v>
      </c>
      <c r="O83" s="32">
        <v>1038267.1499999999</v>
      </c>
      <c r="P83" s="26"/>
    </row>
    <row r="84" spans="1:16" ht="11.25" hidden="1" thickBot="1">
      <c r="C84"/>
      <c r="D84" s="16"/>
      <c r="E84" s="16"/>
      <c r="F84" s="6"/>
      <c r="G84" s="6"/>
      <c r="H84" s="6"/>
      <c r="I84" s="6"/>
      <c r="O84" s="32">
        <f>SUM(O79:O83)</f>
        <v>107210637.12402758</v>
      </c>
      <c r="P84" s="26"/>
    </row>
    <row r="85" spans="1:16" ht="11.25" thickBot="1">
      <c r="B85" s="3" t="s">
        <v>10</v>
      </c>
      <c r="C85"/>
      <c r="D85" s="26">
        <f>D90-(D81+D83+D87)</f>
        <v>82210801.02653116</v>
      </c>
      <c r="E85" s="16"/>
      <c r="F85" s="17"/>
      <c r="G85" s="6"/>
      <c r="H85" s="6"/>
      <c r="I85" s="26">
        <f>D85</f>
        <v>82210801.02653116</v>
      </c>
      <c r="N85" s="47" t="s">
        <v>40</v>
      </c>
      <c r="O85" s="37">
        <v>0</v>
      </c>
      <c r="P85" s="46"/>
    </row>
    <row r="86" spans="1:16" hidden="1">
      <c r="F86" s="6"/>
      <c r="G86" s="6"/>
      <c r="H86" s="6"/>
      <c r="I86" s="6"/>
    </row>
    <row r="87" spans="1:16" customFormat="1" hidden="1">
      <c r="A87" s="3"/>
      <c r="B87" t="s">
        <v>34</v>
      </c>
      <c r="C87" s="3"/>
      <c r="D87" s="26">
        <v>0</v>
      </c>
      <c r="E87" s="16"/>
      <c r="F87" s="6"/>
      <c r="H87" s="26">
        <f>D87</f>
        <v>0</v>
      </c>
      <c r="I87" s="6"/>
      <c r="J87" s="3"/>
      <c r="K87" s="3"/>
      <c r="L87" s="3"/>
      <c r="M87" s="3"/>
      <c r="N87" s="27"/>
    </row>
    <row r="88" spans="1:16">
      <c r="A88"/>
      <c r="B88"/>
      <c r="C88"/>
      <c r="D88"/>
      <c r="E88"/>
      <c r="F88"/>
      <c r="G88"/>
      <c r="H88"/>
      <c r="I88"/>
      <c r="J88"/>
      <c r="K88"/>
      <c r="L88"/>
      <c r="M88"/>
    </row>
    <row r="89" spans="1:16" ht="11.25" thickBot="1">
      <c r="D89" s="11" t="s">
        <v>14</v>
      </c>
      <c r="E89" s="14" t="s">
        <v>13</v>
      </c>
      <c r="F89" s="11" t="s">
        <v>14</v>
      </c>
      <c r="G89" s="11" t="s">
        <v>14</v>
      </c>
      <c r="H89" s="11" t="s">
        <v>14</v>
      </c>
      <c r="I89" s="11" t="s">
        <v>14</v>
      </c>
    </row>
    <row r="90" spans="1:16" customFormat="1" ht="11.25" thickBot="1">
      <c r="A90" s="3" t="s">
        <v>35</v>
      </c>
      <c r="B90" s="3"/>
      <c r="C90" s="3"/>
      <c r="D90" s="26">
        <v>107210637</v>
      </c>
      <c r="E90" s="16"/>
      <c r="F90" s="26">
        <f>SUM(F81:F87)</f>
        <v>24999835.973468848</v>
      </c>
      <c r="G90" s="26">
        <f>SUM(G81:G87)</f>
        <v>0</v>
      </c>
      <c r="H90" s="26">
        <f>SUM(H81:H87)</f>
        <v>0</v>
      </c>
      <c r="I90" s="26">
        <f>SUM(I81:I87)</f>
        <v>82210801.02653116</v>
      </c>
      <c r="J90" s="3"/>
      <c r="K90" s="36">
        <f>D90-(D81+D83+D85+D87)</f>
        <v>0</v>
      </c>
      <c r="L90" s="24" t="s">
        <v>40</v>
      </c>
      <c r="M90" s="37">
        <f>D90-SUM(F90:I90)</f>
        <v>0</v>
      </c>
      <c r="N90" s="27"/>
    </row>
    <row r="91" spans="1:16" customFormat="1">
      <c r="A91" s="3"/>
      <c r="B91" s="3"/>
      <c r="C91" s="3"/>
      <c r="D91" s="3"/>
      <c r="E91" s="3"/>
      <c r="G91" s="3"/>
      <c r="H91" s="3"/>
      <c r="I91" s="3"/>
      <c r="N91" s="27"/>
    </row>
    <row r="92" spans="1:16" customFormat="1">
      <c r="A92" s="3" t="s">
        <v>36</v>
      </c>
      <c r="B92" s="3"/>
      <c r="C92" s="3"/>
      <c r="D92" s="3"/>
      <c r="E92" s="3"/>
      <c r="G92" s="3"/>
      <c r="H92" s="3"/>
      <c r="I92" s="3"/>
      <c r="N92" s="27"/>
    </row>
    <row r="93" spans="1:16" customFormat="1" hidden="1">
      <c r="A93" s="3"/>
      <c r="B93" s="16" t="s">
        <v>98</v>
      </c>
      <c r="C93" s="3"/>
      <c r="D93" s="26">
        <v>0</v>
      </c>
      <c r="E93" s="16"/>
      <c r="G93" s="3"/>
      <c r="H93" s="26">
        <f t="shared" ref="H93:H113" si="3">D93</f>
        <v>0</v>
      </c>
      <c r="I93" s="2"/>
      <c r="N93" s="27"/>
    </row>
    <row r="94" spans="1:16" customFormat="1" hidden="1">
      <c r="A94" s="3"/>
      <c r="B94" s="16" t="s">
        <v>99</v>
      </c>
      <c r="C94" s="3"/>
      <c r="D94" s="26">
        <v>0</v>
      </c>
      <c r="E94" s="16"/>
      <c r="G94" s="3"/>
      <c r="H94" s="26">
        <f t="shared" si="3"/>
        <v>0</v>
      </c>
      <c r="I94" s="2"/>
      <c r="N94" s="27"/>
    </row>
    <row r="95" spans="1:16" customFormat="1">
      <c r="A95" s="3"/>
      <c r="B95" s="16" t="s">
        <v>100</v>
      </c>
      <c r="C95" s="3"/>
      <c r="D95" s="26">
        <v>8052001.96</v>
      </c>
      <c r="E95" s="16"/>
      <c r="G95" s="3"/>
      <c r="H95" s="26">
        <f t="shared" si="3"/>
        <v>8052001.96</v>
      </c>
      <c r="I95" s="2"/>
      <c r="N95" s="27"/>
    </row>
    <row r="96" spans="1:16" customFormat="1" hidden="1">
      <c r="A96" s="3"/>
      <c r="B96" s="16" t="s">
        <v>101</v>
      </c>
      <c r="C96" s="3"/>
      <c r="D96" s="26">
        <v>0</v>
      </c>
      <c r="E96" s="16"/>
      <c r="G96" s="3"/>
      <c r="H96" s="26">
        <f t="shared" si="3"/>
        <v>0</v>
      </c>
      <c r="I96" s="2"/>
      <c r="N96" s="27"/>
    </row>
    <row r="97" spans="1:14" customFormat="1">
      <c r="A97" s="3"/>
      <c r="B97" s="16" t="s">
        <v>66</v>
      </c>
      <c r="C97" s="3"/>
      <c r="D97" s="26">
        <v>51072563.609999999</v>
      </c>
      <c r="E97" s="16"/>
      <c r="G97" s="3"/>
      <c r="H97" s="26">
        <f>D97</f>
        <v>51072563.609999999</v>
      </c>
      <c r="I97" s="2"/>
      <c r="N97" s="27"/>
    </row>
    <row r="98" spans="1:14" customFormat="1" hidden="1">
      <c r="A98" s="3"/>
      <c r="B98" s="16" t="s">
        <v>47</v>
      </c>
      <c r="C98" s="3"/>
      <c r="D98" s="26">
        <v>0</v>
      </c>
      <c r="E98" s="16"/>
      <c r="G98" s="3"/>
      <c r="H98" s="26">
        <f>D98</f>
        <v>0</v>
      </c>
      <c r="I98" s="2"/>
      <c r="N98" s="27"/>
    </row>
    <row r="99" spans="1:14" customFormat="1" hidden="1">
      <c r="A99" s="3"/>
      <c r="B99" s="16" t="s">
        <v>102</v>
      </c>
      <c r="C99" s="3"/>
      <c r="D99" s="26">
        <v>0</v>
      </c>
      <c r="E99" s="16"/>
      <c r="G99" s="3"/>
      <c r="H99" s="26">
        <f t="shared" si="3"/>
        <v>0</v>
      </c>
      <c r="I99" s="2"/>
      <c r="N99" s="27"/>
    </row>
    <row r="100" spans="1:14" customFormat="1" hidden="1">
      <c r="A100" s="3"/>
      <c r="B100" s="16" t="s">
        <v>103</v>
      </c>
      <c r="C100" s="3"/>
      <c r="D100" s="26">
        <v>0</v>
      </c>
      <c r="E100" s="16"/>
      <c r="G100" s="3"/>
      <c r="H100" s="26">
        <f t="shared" si="3"/>
        <v>0</v>
      </c>
      <c r="I100" s="2"/>
      <c r="N100" s="27"/>
    </row>
    <row r="101" spans="1:14" customFormat="1" hidden="1">
      <c r="A101" s="3"/>
      <c r="B101" s="16" t="s">
        <v>104</v>
      </c>
      <c r="C101" s="3"/>
      <c r="D101" s="26">
        <v>0</v>
      </c>
      <c r="E101" s="16"/>
      <c r="G101" s="3"/>
      <c r="H101" s="26">
        <f t="shared" si="3"/>
        <v>0</v>
      </c>
      <c r="I101" s="2"/>
      <c r="N101" s="27"/>
    </row>
    <row r="102" spans="1:14" customFormat="1" hidden="1">
      <c r="A102" s="3"/>
      <c r="B102" s="16" t="s">
        <v>105</v>
      </c>
      <c r="C102" s="3"/>
      <c r="D102" s="26">
        <v>0</v>
      </c>
      <c r="E102" s="16"/>
      <c r="F102" s="14"/>
      <c r="G102" s="3"/>
      <c r="H102" s="26">
        <f t="shared" si="3"/>
        <v>0</v>
      </c>
      <c r="I102" s="2"/>
      <c r="N102" s="27"/>
    </row>
    <row r="103" spans="1:14" customFormat="1">
      <c r="A103" s="3"/>
      <c r="B103" s="16" t="s">
        <v>106</v>
      </c>
      <c r="C103" s="3"/>
      <c r="D103" s="26">
        <v>46253601.399999999</v>
      </c>
      <c r="E103" s="16"/>
      <c r="F103" s="14"/>
      <c r="G103" s="3"/>
      <c r="H103" s="26">
        <f t="shared" si="3"/>
        <v>46253601.399999999</v>
      </c>
      <c r="I103" s="2"/>
      <c r="N103" s="27"/>
    </row>
    <row r="104" spans="1:14" customFormat="1" hidden="1">
      <c r="A104" s="3"/>
      <c r="B104" s="16" t="s">
        <v>107</v>
      </c>
      <c r="C104" s="3"/>
      <c r="D104" s="26">
        <v>0</v>
      </c>
      <c r="E104" s="16"/>
      <c r="F104" s="14"/>
      <c r="G104" s="3"/>
      <c r="H104" s="26">
        <f t="shared" si="3"/>
        <v>0</v>
      </c>
      <c r="I104" s="2"/>
      <c r="N104" s="27"/>
    </row>
    <row r="105" spans="1:14" customFormat="1" hidden="1">
      <c r="A105" s="3"/>
      <c r="B105" s="16" t="s">
        <v>108</v>
      </c>
      <c r="C105" s="3"/>
      <c r="D105" s="26">
        <v>0</v>
      </c>
      <c r="E105" s="16"/>
      <c r="F105" s="14"/>
      <c r="G105" s="3"/>
      <c r="H105" s="26">
        <f>D105</f>
        <v>0</v>
      </c>
      <c r="I105" s="2"/>
      <c r="N105" s="27"/>
    </row>
    <row r="106" spans="1:14" customFormat="1">
      <c r="A106" s="3"/>
      <c r="B106" s="16" t="s">
        <v>109</v>
      </c>
      <c r="C106" s="3"/>
      <c r="D106" s="26">
        <v>193450230.11000001</v>
      </c>
      <c r="E106" s="16"/>
      <c r="F106" s="14"/>
      <c r="G106" s="3"/>
      <c r="H106" s="26">
        <f t="shared" si="3"/>
        <v>193450230.11000001</v>
      </c>
      <c r="I106" s="2"/>
      <c r="N106" s="27"/>
    </row>
    <row r="107" spans="1:14" customFormat="1" hidden="1">
      <c r="A107" s="3"/>
      <c r="B107" s="16" t="s">
        <v>110</v>
      </c>
      <c r="C107" s="3"/>
      <c r="D107" s="26">
        <v>0</v>
      </c>
      <c r="E107" s="16"/>
      <c r="F107" s="14"/>
      <c r="G107" s="3"/>
      <c r="H107" s="26">
        <f t="shared" si="3"/>
        <v>0</v>
      </c>
      <c r="I107" s="2"/>
      <c r="N107" s="27"/>
    </row>
    <row r="108" spans="1:14" customFormat="1" hidden="1">
      <c r="A108" s="3"/>
      <c r="B108" s="16"/>
      <c r="C108" s="3"/>
      <c r="D108" s="26"/>
      <c r="E108" s="16"/>
      <c r="F108" s="14"/>
      <c r="G108" s="3"/>
      <c r="H108" s="26"/>
      <c r="I108" s="2"/>
      <c r="N108" s="27"/>
    </row>
    <row r="109" spans="1:14" customFormat="1" hidden="1">
      <c r="A109" s="3"/>
      <c r="B109" s="16" t="s">
        <v>111</v>
      </c>
      <c r="C109" s="3"/>
      <c r="D109" s="26">
        <v>0</v>
      </c>
      <c r="E109" s="16"/>
      <c r="F109" s="14"/>
      <c r="G109" s="3"/>
      <c r="H109" s="26">
        <f t="shared" ref="H109:H110" si="4">D109</f>
        <v>0</v>
      </c>
      <c r="I109" s="2"/>
      <c r="N109" s="27"/>
    </row>
    <row r="110" spans="1:14" customFormat="1" hidden="1">
      <c r="A110" s="3"/>
      <c r="B110" s="16" t="s">
        <v>112</v>
      </c>
      <c r="C110" s="3"/>
      <c r="D110" s="26">
        <v>0</v>
      </c>
      <c r="E110" s="16"/>
      <c r="F110" s="14"/>
      <c r="G110" s="3"/>
      <c r="H110" s="26">
        <f t="shared" si="4"/>
        <v>0</v>
      </c>
      <c r="I110" s="2"/>
      <c r="N110" s="27"/>
    </row>
    <row r="111" spans="1:14" customFormat="1" hidden="1">
      <c r="A111" s="3"/>
      <c r="B111" s="16" t="s">
        <v>113</v>
      </c>
      <c r="C111" s="3"/>
      <c r="D111" s="26">
        <v>0</v>
      </c>
      <c r="E111" s="16"/>
      <c r="F111" s="14"/>
      <c r="G111" s="3"/>
      <c r="H111" s="26">
        <f t="shared" si="3"/>
        <v>0</v>
      </c>
      <c r="I111" s="2"/>
      <c r="N111" s="27"/>
    </row>
    <row r="112" spans="1:14" customFormat="1" hidden="1">
      <c r="A112" s="3"/>
      <c r="B112" s="16"/>
      <c r="C112" s="3"/>
      <c r="D112" s="26"/>
      <c r="E112" s="16"/>
      <c r="F112" s="14"/>
      <c r="G112" s="3"/>
      <c r="H112" s="26"/>
      <c r="I112" s="2"/>
      <c r="N112" s="27"/>
    </row>
    <row r="113" spans="1:14" customFormat="1" hidden="1">
      <c r="A113" s="3"/>
      <c r="B113" s="16" t="s">
        <v>114</v>
      </c>
      <c r="C113" s="3"/>
      <c r="D113" s="26">
        <v>0</v>
      </c>
      <c r="E113" s="16"/>
      <c r="F113" s="14"/>
      <c r="G113" s="3"/>
      <c r="H113" s="26">
        <f t="shared" si="3"/>
        <v>0</v>
      </c>
      <c r="I113" s="2"/>
      <c r="N113" s="27"/>
    </row>
    <row r="114" spans="1:14" customFormat="1" ht="11.25" thickBot="1">
      <c r="A114" s="3"/>
      <c r="B114" s="3"/>
      <c r="C114" s="3"/>
      <c r="D114" s="11" t="s">
        <v>14</v>
      </c>
      <c r="E114" s="14" t="s">
        <v>13</v>
      </c>
      <c r="F114" s="11" t="s">
        <v>14</v>
      </c>
      <c r="G114" s="11" t="s">
        <v>14</v>
      </c>
      <c r="H114" s="11" t="s">
        <v>14</v>
      </c>
      <c r="I114" s="11" t="s">
        <v>14</v>
      </c>
      <c r="N114" s="27"/>
    </row>
    <row r="115" spans="1:14" customFormat="1" ht="11.25" thickBot="1">
      <c r="A115" s="3" t="s">
        <v>37</v>
      </c>
      <c r="B115" s="3"/>
      <c r="C115" s="3"/>
      <c r="D115" s="26">
        <f>SUM(D93:D113)</f>
        <v>298828397.08000004</v>
      </c>
      <c r="E115" s="16"/>
      <c r="F115" s="26">
        <f>SUM(F92:F113)</f>
        <v>0</v>
      </c>
      <c r="G115" s="26">
        <f>SUM(G92:G113)</f>
        <v>0</v>
      </c>
      <c r="H115" s="26">
        <f>SUM(H92:H113)</f>
        <v>298828397.08000004</v>
      </c>
      <c r="I115" s="26">
        <f>SUM(I92:I105)</f>
        <v>0</v>
      </c>
      <c r="K115" s="36">
        <v>0</v>
      </c>
      <c r="L115" s="24" t="s">
        <v>40</v>
      </c>
      <c r="M115" s="37">
        <f>D115-SUM(F115:I115)</f>
        <v>0</v>
      </c>
      <c r="N115" s="27"/>
    </row>
    <row r="116" spans="1:14" customFormat="1">
      <c r="A116" s="3"/>
      <c r="B116" s="3"/>
      <c r="C116" s="3"/>
      <c r="D116" s="7"/>
      <c r="E116" s="16"/>
      <c r="F116" s="16"/>
      <c r="G116" s="16"/>
      <c r="H116" s="16"/>
      <c r="I116" s="16"/>
      <c r="N116" s="27"/>
    </row>
    <row r="117" spans="1:14" customFormat="1">
      <c r="A117" s="3" t="s">
        <v>43</v>
      </c>
      <c r="B117" s="3"/>
      <c r="C117" s="3"/>
      <c r="D117" s="7"/>
      <c r="E117" s="16"/>
      <c r="F117" s="16"/>
      <c r="G117" s="16"/>
      <c r="H117" s="16"/>
      <c r="I117" s="16"/>
      <c r="N117" s="27"/>
    </row>
    <row r="118" spans="1:14" customFormat="1">
      <c r="A118" s="3"/>
      <c r="B118" s="16" t="s">
        <v>97</v>
      </c>
      <c r="C118" s="3"/>
      <c r="D118" s="26">
        <v>0</v>
      </c>
      <c r="E118" s="16"/>
      <c r="F118" s="14"/>
      <c r="G118" s="3"/>
      <c r="H118" s="26">
        <f>D118</f>
        <v>0</v>
      </c>
      <c r="I118" s="2"/>
      <c r="N118" s="27"/>
    </row>
    <row r="119" spans="1:14">
      <c r="D119" s="11" t="s">
        <v>14</v>
      </c>
      <c r="E119" s="14" t="s">
        <v>13</v>
      </c>
      <c r="F119" s="11" t="s">
        <v>14</v>
      </c>
      <c r="G119" s="11" t="s">
        <v>14</v>
      </c>
      <c r="H119" s="11" t="s">
        <v>14</v>
      </c>
      <c r="I119" s="11" t="s">
        <v>14</v>
      </c>
    </row>
    <row r="120" spans="1:14">
      <c r="A120" s="3" t="s">
        <v>44</v>
      </c>
      <c r="D120" s="26">
        <v>0</v>
      </c>
      <c r="E120" s="16"/>
      <c r="F120" s="26">
        <f>SUM(F118:F118)</f>
        <v>0</v>
      </c>
      <c r="G120" s="26">
        <f>SUM(G118:G118)</f>
        <v>0</v>
      </c>
      <c r="H120" s="26">
        <f>SUM(H118:H118)</f>
        <v>0</v>
      </c>
      <c r="I120" s="26">
        <f>SUM(I118:I118)</f>
        <v>0</v>
      </c>
    </row>
    <row r="121" spans="1:14" ht="11.25" thickBot="1">
      <c r="D121" s="19" t="s">
        <v>38</v>
      </c>
      <c r="E121" s="14" t="s">
        <v>13</v>
      </c>
      <c r="F121" s="19" t="s">
        <v>38</v>
      </c>
      <c r="G121" s="19" t="s">
        <v>38</v>
      </c>
      <c r="H121" s="19" t="s">
        <v>38</v>
      </c>
      <c r="I121" s="19" t="s">
        <v>38</v>
      </c>
    </row>
    <row r="122" spans="1:14" ht="11.25" thickBot="1">
      <c r="A122" s="3" t="s">
        <v>39</v>
      </c>
      <c r="D122" s="26">
        <f>D115+D90+D76+D120-D16</f>
        <v>581710731.07000005</v>
      </c>
      <c r="E122" s="16" t="s">
        <v>13</v>
      </c>
      <c r="F122" s="26">
        <f>F115+F90+F76+F120-F16</f>
        <v>14564456.737641495</v>
      </c>
      <c r="G122" s="26">
        <f>G115+G90+G76+G120-G16</f>
        <v>12377848.49156395</v>
      </c>
      <c r="H122" s="26">
        <f>H115+H90+H76+H120-H16</f>
        <v>298828397.08000004</v>
      </c>
      <c r="I122" s="26">
        <f>I115+I90+I76+I120-I16</f>
        <v>255940028.76079455</v>
      </c>
      <c r="K122" s="36">
        <v>0</v>
      </c>
      <c r="L122" s="24" t="s">
        <v>40</v>
      </c>
      <c r="M122" s="37">
        <f>D122-SUM(F122:I122)</f>
        <v>0</v>
      </c>
    </row>
    <row r="123" spans="1:14">
      <c r="D123" s="19" t="s">
        <v>38</v>
      </c>
      <c r="E123" s="14" t="s">
        <v>13</v>
      </c>
      <c r="F123" s="19" t="s">
        <v>38</v>
      </c>
      <c r="G123" s="19" t="s">
        <v>38</v>
      </c>
      <c r="H123" s="19" t="s">
        <v>38</v>
      </c>
      <c r="I123" s="19" t="s">
        <v>38</v>
      </c>
    </row>
  </sheetData>
  <mergeCells count="1">
    <mergeCell ref="A4:C4"/>
  </mergeCells>
  <pageMargins left="0.65" right="0.72" top="1" bottom="1" header="0.5" footer="0.5"/>
  <pageSetup scale="67" orientation="portrait" r:id="rId1"/>
  <headerFooter alignWithMargins="0">
    <oddHeader>&amp;L&amp;"Arial,Regular"&amp;10WA UE-130043
Bench Request 9&amp;R&amp;"Arial,Bold"&amp;10Attachment Bench Request 9</oddHeader>
    <oddFooter>&amp;L&amp;"Arial,Regular"&amp;10&amp;F&amp;C&amp;A</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K50"/>
  <sheetViews>
    <sheetView view="pageBreakPreview" topLeftCell="A2" zoomScale="85" zoomScaleNormal="100" zoomScaleSheetLayoutView="85" workbookViewId="0">
      <selection activeCell="T91" sqref="T91"/>
    </sheetView>
  </sheetViews>
  <sheetFormatPr defaultRowHeight="12.75"/>
  <cols>
    <col min="1" max="1" width="4.83203125" style="275" customWidth="1"/>
    <col min="2" max="2" width="8" style="275" customWidth="1"/>
    <col min="3" max="3" width="32.83203125" style="275" customWidth="1"/>
    <col min="4" max="4" width="12.33203125" style="275" customWidth="1"/>
    <col min="5" max="5" width="9.33203125" style="276"/>
    <col min="6" max="6" width="17" style="106" customWidth="1"/>
    <col min="7" max="7" width="9.33203125" style="276"/>
    <col min="8" max="8" width="12" style="276" bestFit="1" customWidth="1"/>
    <col min="9" max="9" width="15.33203125" style="276" bestFit="1" customWidth="1"/>
    <col min="10" max="16384" width="9.33203125" style="275"/>
  </cols>
  <sheetData>
    <row r="1" spans="1:10">
      <c r="A1" s="274" t="s">
        <v>118</v>
      </c>
      <c r="B1" s="274"/>
      <c r="I1" s="277" t="s">
        <v>272</v>
      </c>
      <c r="J1" s="296" t="s">
        <v>291</v>
      </c>
    </row>
    <row r="2" spans="1:10">
      <c r="A2" s="274" t="s">
        <v>255</v>
      </c>
      <c r="B2" s="274"/>
    </row>
    <row r="3" spans="1:10">
      <c r="A3" s="274" t="s">
        <v>381</v>
      </c>
      <c r="B3" s="274"/>
    </row>
    <row r="5" spans="1:10">
      <c r="F5" s="105" t="s">
        <v>274</v>
      </c>
      <c r="I5" s="276" t="s">
        <v>126</v>
      </c>
    </row>
    <row r="6" spans="1:10" ht="15">
      <c r="D6" s="279" t="s">
        <v>275</v>
      </c>
      <c r="E6" s="279" t="s">
        <v>276</v>
      </c>
      <c r="F6" s="280" t="s">
        <v>277</v>
      </c>
      <c r="G6" s="279" t="s">
        <v>278</v>
      </c>
      <c r="H6" s="279" t="s">
        <v>134</v>
      </c>
      <c r="I6" s="279" t="s">
        <v>279</v>
      </c>
      <c r="J6" s="279" t="s">
        <v>280</v>
      </c>
    </row>
    <row r="7" spans="1:10" ht="15">
      <c r="B7" s="274" t="s">
        <v>281</v>
      </c>
      <c r="C7" s="281"/>
      <c r="D7" s="279"/>
      <c r="E7" s="279"/>
      <c r="F7" s="280"/>
      <c r="G7" s="279"/>
      <c r="H7" s="279"/>
      <c r="I7" s="279"/>
      <c r="J7" s="279"/>
    </row>
    <row r="8" spans="1:10" ht="15">
      <c r="B8" s="274"/>
      <c r="C8" s="281"/>
      <c r="D8" s="279"/>
      <c r="E8" s="279"/>
      <c r="F8" s="280"/>
      <c r="G8" s="279"/>
      <c r="H8" s="279"/>
      <c r="I8" s="279"/>
      <c r="J8" s="279"/>
    </row>
    <row r="9" spans="1:10">
      <c r="B9" s="274" t="s">
        <v>137</v>
      </c>
      <c r="C9" s="281"/>
    </row>
    <row r="10" spans="1:10">
      <c r="B10" s="281" t="s">
        <v>138</v>
      </c>
      <c r="C10" s="281"/>
      <c r="D10" s="282" t="s">
        <v>139</v>
      </c>
      <c r="E10" s="283" t="s">
        <v>286</v>
      </c>
      <c r="F10" s="106">
        <f>'9.1 - Summary '!N15</f>
        <v>0</v>
      </c>
      <c r="G10" s="276" t="s">
        <v>140</v>
      </c>
      <c r="H10" s="284">
        <v>0.2262649010137</v>
      </c>
      <c r="I10" s="276">
        <f>F10*H10</f>
        <v>0</v>
      </c>
      <c r="J10" s="276"/>
    </row>
    <row r="11" spans="1:10">
      <c r="B11" s="281" t="s">
        <v>141</v>
      </c>
      <c r="C11" s="281"/>
      <c r="D11" s="282" t="s">
        <v>139</v>
      </c>
      <c r="E11" s="283" t="s">
        <v>286</v>
      </c>
      <c r="F11" s="106">
        <f>'9.1 - Summary '!N16</f>
        <v>-101735020.57999998</v>
      </c>
      <c r="G11" s="276" t="s">
        <v>140</v>
      </c>
      <c r="H11" s="284">
        <v>0.2262649010137</v>
      </c>
      <c r="I11" s="276">
        <f t="shared" ref="I11:I12" si="0">F11*H11</f>
        <v>-23019064.361160427</v>
      </c>
      <c r="J11" s="276"/>
    </row>
    <row r="12" spans="1:10">
      <c r="B12" s="281" t="s">
        <v>142</v>
      </c>
      <c r="C12" s="281"/>
      <c r="D12" s="282" t="s">
        <v>139</v>
      </c>
      <c r="E12" s="283" t="s">
        <v>286</v>
      </c>
      <c r="F12" s="106">
        <f>'9.1 - Summary '!N17</f>
        <v>0</v>
      </c>
      <c r="G12" s="276" t="s">
        <v>143</v>
      </c>
      <c r="H12" s="284">
        <v>0.22648067236840891</v>
      </c>
      <c r="I12" s="276">
        <f t="shared" si="0"/>
        <v>0</v>
      </c>
    </row>
    <row r="13" spans="1:10">
      <c r="B13" s="281" t="s">
        <v>144</v>
      </c>
      <c r="C13" s="281"/>
      <c r="D13" s="282"/>
      <c r="E13" s="283"/>
      <c r="F13" s="285">
        <f>SUM(F10:F12)</f>
        <v>-101735020.57999998</v>
      </c>
      <c r="H13" s="284"/>
      <c r="I13" s="285">
        <f>SUM(I10:I12)</f>
        <v>-23019064.361160427</v>
      </c>
      <c r="J13" s="282" t="s">
        <v>408</v>
      </c>
    </row>
    <row r="14" spans="1:10">
      <c r="B14" s="281"/>
      <c r="C14" s="286"/>
      <c r="D14" s="282"/>
      <c r="E14" s="283"/>
      <c r="H14" s="284"/>
    </row>
    <row r="15" spans="1:10">
      <c r="B15" s="274" t="s">
        <v>145</v>
      </c>
      <c r="C15" s="286"/>
      <c r="D15" s="282"/>
      <c r="E15" s="283"/>
      <c r="H15" s="284"/>
    </row>
    <row r="16" spans="1:10">
      <c r="B16" s="281" t="s">
        <v>146</v>
      </c>
      <c r="C16" s="286"/>
      <c r="D16" s="282" t="s">
        <v>147</v>
      </c>
      <c r="E16" s="283" t="s">
        <v>286</v>
      </c>
      <c r="F16" s="106">
        <f>'9.1 - Summary '!N21</f>
        <v>-15057543.304417228</v>
      </c>
      <c r="G16" s="276" t="s">
        <v>140</v>
      </c>
      <c r="H16" s="284">
        <v>0.2262649010137</v>
      </c>
      <c r="I16" s="276">
        <f t="shared" ref="I16:I20" si="1">F16*H16</f>
        <v>-3406993.5452834656</v>
      </c>
      <c r="J16" s="276"/>
    </row>
    <row r="17" spans="2:10">
      <c r="B17" s="281" t="s">
        <v>148</v>
      </c>
      <c r="C17" s="286"/>
      <c r="D17" s="282" t="s">
        <v>147</v>
      </c>
      <c r="E17" s="283" t="s">
        <v>286</v>
      </c>
      <c r="F17" s="106">
        <f>'9.1 - Summary '!N22</f>
        <v>-22405857.325582772</v>
      </c>
      <c r="G17" s="276" t="s">
        <v>143</v>
      </c>
      <c r="H17" s="284">
        <v>0.22648067236840891</v>
      </c>
      <c r="I17" s="276">
        <f t="shared" si="1"/>
        <v>-5074493.6320886267</v>
      </c>
      <c r="J17" s="276"/>
    </row>
    <row r="18" spans="2:10">
      <c r="B18" s="281" t="s">
        <v>149</v>
      </c>
      <c r="C18" s="286"/>
      <c r="D18" s="282" t="s">
        <v>147</v>
      </c>
      <c r="E18" s="283" t="s">
        <v>286</v>
      </c>
      <c r="F18" s="106">
        <f>'9.1 - Summary '!N23</f>
        <v>-44119800.030000001</v>
      </c>
      <c r="G18" s="276" t="s">
        <v>140</v>
      </c>
      <c r="H18" s="284">
        <v>0.2262649010137</v>
      </c>
      <c r="I18" s="276">
        <f t="shared" si="1"/>
        <v>-9982762.1865321882</v>
      </c>
      <c r="J18" s="276"/>
    </row>
    <row r="19" spans="2:10">
      <c r="B19" s="281" t="s">
        <v>150</v>
      </c>
      <c r="C19" s="286"/>
      <c r="D19" s="282" t="s">
        <v>147</v>
      </c>
      <c r="E19" s="283" t="s">
        <v>286</v>
      </c>
      <c r="F19" s="106">
        <f>'9.1 - Summary '!N24</f>
        <v>-86986543.290000021</v>
      </c>
      <c r="G19" s="276" t="s">
        <v>140</v>
      </c>
      <c r="H19" s="284">
        <v>0.2262649010137</v>
      </c>
      <c r="I19" s="276">
        <f t="shared" si="1"/>
        <v>-19682001.607035786</v>
      </c>
      <c r="J19" s="276"/>
    </row>
    <row r="20" spans="2:10">
      <c r="B20" s="281" t="s">
        <v>151</v>
      </c>
      <c r="C20" s="281"/>
      <c r="D20" s="282" t="s">
        <v>147</v>
      </c>
      <c r="E20" s="283" t="s">
        <v>286</v>
      </c>
      <c r="F20" s="106">
        <f>'9.1 - Summary '!N25</f>
        <v>-62867.040000000037</v>
      </c>
      <c r="G20" s="276" t="s">
        <v>140</v>
      </c>
      <c r="H20" s="284">
        <v>0.2262649010137</v>
      </c>
      <c r="I20" s="276">
        <f t="shared" si="1"/>
        <v>-14224.604582624326</v>
      </c>
    </row>
    <row r="21" spans="2:10">
      <c r="B21" s="281" t="s">
        <v>152</v>
      </c>
      <c r="C21" s="281"/>
      <c r="D21" s="282"/>
      <c r="E21" s="283"/>
      <c r="F21" s="285">
        <f>SUM(F16:F20)</f>
        <v>-168632610.99000001</v>
      </c>
      <c r="H21" s="284"/>
      <c r="I21" s="285">
        <f>SUM(I16:I20)</f>
        <v>-38160475.575522691</v>
      </c>
      <c r="J21" s="282" t="s">
        <v>408</v>
      </c>
    </row>
    <row r="22" spans="2:10">
      <c r="B22" s="281"/>
      <c r="C22" s="281"/>
      <c r="D22" s="282"/>
      <c r="E22" s="283"/>
      <c r="H22" s="284"/>
    </row>
    <row r="23" spans="2:10">
      <c r="B23" s="274" t="s">
        <v>153</v>
      </c>
      <c r="C23" s="281"/>
      <c r="D23" s="282"/>
      <c r="E23" s="283"/>
      <c r="H23" s="284"/>
      <c r="J23" s="276"/>
    </row>
    <row r="24" spans="2:10">
      <c r="B24" s="281" t="s">
        <v>154</v>
      </c>
      <c r="C24" s="281"/>
      <c r="D24" s="282" t="s">
        <v>155</v>
      </c>
      <c r="E24" s="283" t="s">
        <v>286</v>
      </c>
      <c r="F24" s="106">
        <f>'9.1 - Summary '!N29</f>
        <v>2809812.8886688538</v>
      </c>
      <c r="G24" s="276" t="s">
        <v>140</v>
      </c>
      <c r="H24" s="284">
        <v>0.2262649010137</v>
      </c>
      <c r="I24" s="276">
        <f t="shared" ref="I24:I26" si="2">F24*H24</f>
        <v>635762.03512167663</v>
      </c>
      <c r="J24" s="276"/>
    </row>
    <row r="25" spans="2:10">
      <c r="B25" s="281" t="s">
        <v>156</v>
      </c>
      <c r="C25" s="286"/>
      <c r="D25" s="282" t="s">
        <v>155</v>
      </c>
      <c r="E25" s="283" t="s">
        <v>286</v>
      </c>
      <c r="F25" s="106">
        <f>'9.1 - Summary '!N30</f>
        <v>-928807.88866885006</v>
      </c>
      <c r="G25" s="276" t="s">
        <v>140</v>
      </c>
      <c r="H25" s="284">
        <v>0.2262649010137</v>
      </c>
      <c r="I25" s="276">
        <f t="shared" si="2"/>
        <v>-210156.62499040106</v>
      </c>
      <c r="J25" s="276"/>
    </row>
    <row r="26" spans="2:10">
      <c r="B26" s="281" t="s">
        <v>157</v>
      </c>
      <c r="C26" s="286"/>
      <c r="D26" s="282" t="s">
        <v>155</v>
      </c>
      <c r="E26" s="283" t="s">
        <v>286</v>
      </c>
      <c r="F26" s="106">
        <f>'9.1 - Summary '!N31</f>
        <v>0</v>
      </c>
      <c r="G26" s="276" t="s">
        <v>143</v>
      </c>
      <c r="H26" s="284">
        <v>0.22648067236840891</v>
      </c>
      <c r="I26" s="276">
        <f t="shared" si="2"/>
        <v>0</v>
      </c>
      <c r="J26" s="276"/>
    </row>
    <row r="27" spans="2:10">
      <c r="B27" s="281" t="s">
        <v>158</v>
      </c>
      <c r="C27" s="281"/>
      <c r="D27" s="282"/>
      <c r="E27" s="283"/>
      <c r="F27" s="285">
        <f>SUM(F24:F26)</f>
        <v>1881005.0000000037</v>
      </c>
      <c r="H27" s="284"/>
      <c r="I27" s="285">
        <f>SUM(I24:I26)</f>
        <v>425605.41013127554</v>
      </c>
      <c r="J27" s="282" t="s">
        <v>408</v>
      </c>
    </row>
    <row r="28" spans="2:10">
      <c r="B28" s="281"/>
      <c r="C28" s="281"/>
      <c r="D28" s="282"/>
      <c r="E28" s="283"/>
      <c r="H28" s="284"/>
    </row>
    <row r="29" spans="2:10">
      <c r="B29" s="274" t="s">
        <v>159</v>
      </c>
      <c r="C29" s="274"/>
      <c r="D29" s="282"/>
      <c r="E29" s="283"/>
      <c r="H29" s="284"/>
      <c r="J29" s="276"/>
    </row>
    <row r="30" spans="2:10">
      <c r="B30" s="281" t="s">
        <v>160</v>
      </c>
      <c r="C30" s="274"/>
      <c r="D30" s="282" t="s">
        <v>161</v>
      </c>
      <c r="E30" s="283" t="s">
        <v>286</v>
      </c>
      <c r="F30" s="106">
        <f>'9.1 - Summary '!N35</f>
        <v>30095787.210000008</v>
      </c>
      <c r="G30" s="276" t="s">
        <v>143</v>
      </c>
      <c r="H30" s="284">
        <v>0.22648067236840891</v>
      </c>
      <c r="I30" s="276">
        <f t="shared" ref="I30:I31" si="3">F30*H30</f>
        <v>6816114.1227773633</v>
      </c>
      <c r="J30" s="276"/>
    </row>
    <row r="31" spans="2:10">
      <c r="B31" s="281" t="s">
        <v>162</v>
      </c>
      <c r="C31" s="274"/>
      <c r="D31" s="282" t="s">
        <v>163</v>
      </c>
      <c r="E31" s="283" t="s">
        <v>286</v>
      </c>
      <c r="F31" s="106">
        <f>'9.1 - Summary '!N36</f>
        <v>-25149149.660000011</v>
      </c>
      <c r="G31" s="276" t="s">
        <v>143</v>
      </c>
      <c r="H31" s="284">
        <v>0.22648067236840891</v>
      </c>
      <c r="I31" s="276">
        <f t="shared" si="3"/>
        <v>-5695796.3244905453</v>
      </c>
    </row>
    <row r="32" spans="2:10">
      <c r="B32" s="281" t="s">
        <v>164</v>
      </c>
      <c r="C32" s="274"/>
      <c r="D32" s="282"/>
      <c r="E32" s="283"/>
      <c r="F32" s="285">
        <f>SUM(F30:F31)</f>
        <v>4946637.549999997</v>
      </c>
      <c r="H32" s="287"/>
      <c r="I32" s="285">
        <f>SUM(I30:I31)</f>
        <v>1120317.798286818</v>
      </c>
      <c r="J32" s="282" t="s">
        <v>408</v>
      </c>
    </row>
    <row r="33" spans="1:11">
      <c r="B33" s="291"/>
      <c r="C33" s="274"/>
      <c r="D33" s="282"/>
      <c r="E33" s="283"/>
      <c r="H33" s="287"/>
      <c r="I33" s="106"/>
      <c r="J33" s="276"/>
    </row>
    <row r="34" spans="1:11">
      <c r="B34" s="288" t="s">
        <v>284</v>
      </c>
      <c r="C34" s="274"/>
      <c r="D34" s="282"/>
      <c r="E34" s="283"/>
      <c r="F34" s="285">
        <f>-F13+F21+F27+F32</f>
        <v>-60069947.860000029</v>
      </c>
      <c r="H34" s="287"/>
      <c r="I34" s="285">
        <f>-I13+I21+I27+I32</f>
        <v>-13595488.00594417</v>
      </c>
      <c r="J34" s="276"/>
    </row>
    <row r="35" spans="1:11">
      <c r="C35" s="274"/>
      <c r="F35" s="289"/>
      <c r="J35" s="276"/>
    </row>
    <row r="36" spans="1:11">
      <c r="C36" s="274"/>
      <c r="F36" s="289"/>
      <c r="J36" s="276"/>
    </row>
    <row r="37" spans="1:11">
      <c r="C37" s="274"/>
      <c r="F37" s="289"/>
      <c r="J37" s="276"/>
    </row>
    <row r="42" spans="1:11" ht="13.5" thickBot="1">
      <c r="B42" s="290" t="s">
        <v>283</v>
      </c>
    </row>
    <row r="43" spans="1:11" ht="12.75" customHeight="1">
      <c r="A43" s="359" t="s">
        <v>418</v>
      </c>
      <c r="B43" s="360"/>
      <c r="C43" s="360"/>
      <c r="D43" s="360"/>
      <c r="E43" s="360"/>
      <c r="F43" s="360"/>
      <c r="G43" s="360"/>
      <c r="H43" s="360"/>
      <c r="I43" s="360"/>
      <c r="J43" s="361"/>
      <c r="K43" s="292"/>
    </row>
    <row r="44" spans="1:11">
      <c r="A44" s="362"/>
      <c r="B44" s="363"/>
      <c r="C44" s="363"/>
      <c r="D44" s="363"/>
      <c r="E44" s="363"/>
      <c r="F44" s="363"/>
      <c r="G44" s="363"/>
      <c r="H44" s="363"/>
      <c r="I44" s="363"/>
      <c r="J44" s="364"/>
      <c r="K44" s="292"/>
    </row>
    <row r="45" spans="1:11">
      <c r="A45" s="362"/>
      <c r="B45" s="363"/>
      <c r="C45" s="363"/>
      <c r="D45" s="363"/>
      <c r="E45" s="363"/>
      <c r="F45" s="363"/>
      <c r="G45" s="363"/>
      <c r="H45" s="363"/>
      <c r="I45" s="363"/>
      <c r="J45" s="364"/>
      <c r="K45" s="292"/>
    </row>
    <row r="46" spans="1:11">
      <c r="A46" s="362"/>
      <c r="B46" s="363"/>
      <c r="C46" s="363"/>
      <c r="D46" s="363"/>
      <c r="E46" s="363"/>
      <c r="F46" s="363"/>
      <c r="G46" s="363"/>
      <c r="H46" s="363"/>
      <c r="I46" s="363"/>
      <c r="J46" s="364"/>
      <c r="K46" s="292"/>
    </row>
    <row r="47" spans="1:11">
      <c r="A47" s="362"/>
      <c r="B47" s="363"/>
      <c r="C47" s="363"/>
      <c r="D47" s="363"/>
      <c r="E47" s="363"/>
      <c r="F47" s="363"/>
      <c r="G47" s="363"/>
      <c r="H47" s="363"/>
      <c r="I47" s="363"/>
      <c r="J47" s="364"/>
      <c r="K47" s="292"/>
    </row>
    <row r="48" spans="1:11">
      <c r="A48" s="362"/>
      <c r="B48" s="363"/>
      <c r="C48" s="363"/>
      <c r="D48" s="363"/>
      <c r="E48" s="363"/>
      <c r="F48" s="363"/>
      <c r="G48" s="363"/>
      <c r="H48" s="363"/>
      <c r="I48" s="363"/>
      <c r="J48" s="364"/>
      <c r="K48" s="292"/>
    </row>
    <row r="49" spans="1:11">
      <c r="A49" s="362"/>
      <c r="B49" s="363"/>
      <c r="C49" s="363"/>
      <c r="D49" s="363"/>
      <c r="E49" s="363"/>
      <c r="F49" s="363"/>
      <c r="G49" s="363"/>
      <c r="H49" s="363"/>
      <c r="I49" s="363"/>
      <c r="J49" s="364"/>
      <c r="K49" s="292"/>
    </row>
    <row r="50" spans="1:11" ht="13.5" thickBot="1">
      <c r="A50" s="365"/>
      <c r="B50" s="366"/>
      <c r="C50" s="366"/>
      <c r="D50" s="366"/>
      <c r="E50" s="366"/>
      <c r="F50" s="366"/>
      <c r="G50" s="366"/>
      <c r="H50" s="366"/>
      <c r="I50" s="366"/>
      <c r="J50" s="367"/>
      <c r="K50" s="292"/>
    </row>
  </sheetData>
  <mergeCells count="1">
    <mergeCell ref="A43:J50"/>
  </mergeCells>
  <conditionalFormatting sqref="B9:B26">
    <cfRule type="cellIs" dxfId="56" priority="3" stopIfTrue="1" operator="equal">
      <formula>"Adjustment to Income/Expense/Rate Base:"</formula>
    </cfRule>
  </conditionalFormatting>
  <conditionalFormatting sqref="B20:B22">
    <cfRule type="cellIs" dxfId="55" priority="2" stopIfTrue="1" operator="equal">
      <formula>"Title"</formula>
    </cfRule>
  </conditionalFormatting>
  <conditionalFormatting sqref="B27:B34">
    <cfRule type="cellIs" dxfId="54" priority="1" stopIfTrue="1" operator="equal">
      <formula>"Adjustment to Income/Expense/Rate Base:"</formula>
    </cfRule>
  </conditionalFormatting>
  <pageMargins left="0.65" right="0.72" top="1" bottom="1" header="0.5" footer="0.5"/>
  <pageSetup scale="77" orientation="portrait" r:id="rId1"/>
  <headerFooter alignWithMargins="0">
    <oddHeader>&amp;L&amp;"Arial,Regular"&amp;10WA UE-130043
Bench Request 9&amp;R&amp;"Arial,Bold"&amp;10Attachment Bench Request 9</oddHeader>
    <oddFooter>&amp;L&amp;"Arial,Regular"&amp;10&amp;F&amp;C&amp;A</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S123"/>
  <sheetViews>
    <sheetView view="pageBreakPreview" zoomScale="85" zoomScaleNormal="85" zoomScaleSheetLayoutView="85" workbookViewId="0">
      <pane xSplit="3" ySplit="6" topLeftCell="D28" activePane="bottomRight" state="frozen"/>
      <selection activeCell="T91" sqref="T91"/>
      <selection pane="topRight" activeCell="T91" sqref="T91"/>
      <selection pane="bottomLeft" activeCell="T91" sqref="T91"/>
      <selection pane="bottomRight" activeCell="T91" sqref="T91"/>
    </sheetView>
  </sheetViews>
  <sheetFormatPr defaultColWidth="11" defaultRowHeight="10.5"/>
  <cols>
    <col min="1" max="1" width="3" style="146" customWidth="1"/>
    <col min="2" max="2" width="2.6640625" style="146" customWidth="1"/>
    <col min="3" max="3" width="33.1640625" style="146" customWidth="1"/>
    <col min="4" max="4" width="13.83203125" style="146" customWidth="1"/>
    <col min="5" max="5" width="2.33203125" style="146" customWidth="1"/>
    <col min="6" max="6" width="15.83203125" style="146" customWidth="1"/>
    <col min="7" max="8" width="13.33203125" style="146" bestFit="1" customWidth="1"/>
    <col min="9" max="9" width="13.83203125" style="146" bestFit="1" customWidth="1"/>
    <col min="10" max="10" width="11" style="146" customWidth="1"/>
    <col min="11" max="11" width="14.5" style="146" customWidth="1"/>
    <col min="12" max="12" width="11" style="146" customWidth="1"/>
    <col min="13" max="13" width="14.1640625" style="146" bestFit="1" customWidth="1"/>
    <col min="14" max="14" width="20.1640625" style="147" bestFit="1" customWidth="1"/>
    <col min="15" max="15" width="15" style="146" bestFit="1" customWidth="1"/>
    <col min="16" max="16" width="14.6640625" style="146" bestFit="1" customWidth="1"/>
    <col min="17" max="16384" width="11" style="146"/>
  </cols>
  <sheetData>
    <row r="1" spans="1:14">
      <c r="A1" s="196" t="s">
        <v>118</v>
      </c>
      <c r="D1" s="156"/>
      <c r="E1" s="193"/>
      <c r="F1" s="186" t="s">
        <v>42</v>
      </c>
    </row>
    <row r="2" spans="1:14">
      <c r="A2" s="195"/>
      <c r="D2" s="156"/>
      <c r="E2" s="193"/>
      <c r="F2" s="193" t="s">
        <v>0</v>
      </c>
      <c r="K2" s="198"/>
    </row>
    <row r="3" spans="1:14">
      <c r="A3" s="192" t="s">
        <v>52</v>
      </c>
      <c r="D3" s="194"/>
      <c r="E3" s="194"/>
      <c r="F3" s="186" t="s">
        <v>1</v>
      </c>
    </row>
    <row r="4" spans="1:14">
      <c r="A4" s="357">
        <v>41974</v>
      </c>
      <c r="B4" s="357"/>
      <c r="C4" s="357"/>
      <c r="D4" s="194"/>
      <c r="E4" s="194"/>
      <c r="F4" s="193"/>
    </row>
    <row r="5" spans="1:14">
      <c r="B5" s="192"/>
      <c r="D5" s="155" t="s">
        <v>2</v>
      </c>
      <c r="E5" s="155"/>
      <c r="F5" s="191" t="s">
        <v>3</v>
      </c>
      <c r="G5" s="191" t="s">
        <v>3</v>
      </c>
      <c r="H5" s="191"/>
      <c r="I5" s="191"/>
    </row>
    <row r="6" spans="1:14" s="155" customFormat="1">
      <c r="A6" s="146"/>
      <c r="B6" s="146"/>
      <c r="C6" s="146"/>
      <c r="D6" s="190" t="s">
        <v>117</v>
      </c>
      <c r="E6" s="189"/>
      <c r="F6" s="188" t="s">
        <v>4</v>
      </c>
      <c r="G6" s="188" t="s">
        <v>5</v>
      </c>
      <c r="H6" s="188" t="s">
        <v>6</v>
      </c>
      <c r="I6" s="188" t="s">
        <v>7</v>
      </c>
      <c r="N6" s="187"/>
    </row>
    <row r="7" spans="1:14">
      <c r="A7" s="146" t="s">
        <v>8</v>
      </c>
      <c r="F7" s="159"/>
      <c r="G7" s="159"/>
      <c r="H7" s="159"/>
      <c r="I7" s="159"/>
    </row>
    <row r="8" spans="1:14">
      <c r="B8" s="156" t="s">
        <v>9</v>
      </c>
      <c r="D8" s="153">
        <v>12964800</v>
      </c>
      <c r="E8" s="154"/>
      <c r="F8" s="153">
        <v>12964800</v>
      </c>
      <c r="G8" s="156"/>
      <c r="H8" s="156"/>
      <c r="I8" s="156"/>
    </row>
    <row r="9" spans="1:14">
      <c r="B9" s="156"/>
      <c r="D9" s="154"/>
      <c r="E9" s="154"/>
      <c r="F9" s="179"/>
      <c r="G9" s="159"/>
      <c r="H9" s="159"/>
      <c r="I9" s="159"/>
    </row>
    <row r="10" spans="1:14">
      <c r="B10" s="156" t="s">
        <v>10</v>
      </c>
      <c r="D10" s="153">
        <v>60863806.75</v>
      </c>
      <c r="E10" s="154"/>
      <c r="F10" s="179"/>
      <c r="G10" s="159"/>
      <c r="H10" s="159"/>
      <c r="I10" s="153">
        <v>60863806.75</v>
      </c>
    </row>
    <row r="11" spans="1:14">
      <c r="B11" s="156"/>
      <c r="D11" s="154"/>
      <c r="E11" s="154"/>
      <c r="F11" s="179"/>
      <c r="G11" s="159"/>
      <c r="H11" s="159"/>
      <c r="I11" s="159"/>
    </row>
    <row r="12" spans="1:14">
      <c r="B12" s="156" t="s">
        <v>11</v>
      </c>
      <c r="D12" s="153">
        <v>0</v>
      </c>
      <c r="E12" s="154"/>
      <c r="F12" s="153">
        <v>0</v>
      </c>
      <c r="G12" s="159"/>
      <c r="H12" s="159"/>
      <c r="I12" s="159"/>
    </row>
    <row r="13" spans="1:14">
      <c r="C13" s="156"/>
      <c r="D13" s="154"/>
      <c r="E13" s="154"/>
      <c r="F13" s="159"/>
      <c r="G13" s="159"/>
      <c r="H13" s="159"/>
      <c r="I13" s="159"/>
    </row>
    <row r="14" spans="1:14">
      <c r="B14" s="146" t="s">
        <v>12</v>
      </c>
      <c r="C14" s="156"/>
      <c r="D14" s="153">
        <v>0</v>
      </c>
      <c r="E14" s="154"/>
      <c r="F14" s="159"/>
      <c r="G14" s="159"/>
      <c r="H14" s="153">
        <v>0</v>
      </c>
      <c r="I14" s="159"/>
    </row>
    <row r="15" spans="1:14" ht="11.25" thickBot="1">
      <c r="D15" s="155" t="s">
        <v>14</v>
      </c>
      <c r="E15" s="149" t="s">
        <v>13</v>
      </c>
      <c r="F15" s="155" t="s">
        <v>14</v>
      </c>
      <c r="G15" s="155" t="s">
        <v>14</v>
      </c>
      <c r="H15" s="155" t="s">
        <v>14</v>
      </c>
      <c r="I15" s="155" t="s">
        <v>14</v>
      </c>
    </row>
    <row r="16" spans="1:14" ht="11.25" thickBot="1">
      <c r="A16" s="146" t="s">
        <v>15</v>
      </c>
      <c r="D16" s="153">
        <v>73828606.75</v>
      </c>
      <c r="E16" s="154"/>
      <c r="F16" s="153">
        <v>12964800</v>
      </c>
      <c r="G16" s="153">
        <v>0</v>
      </c>
      <c r="H16" s="153">
        <v>0</v>
      </c>
      <c r="I16" s="153">
        <v>60863806.75</v>
      </c>
      <c r="K16" s="152">
        <v>0</v>
      </c>
      <c r="L16" s="151" t="s">
        <v>40</v>
      </c>
      <c r="M16" s="150">
        <v>0</v>
      </c>
    </row>
    <row r="17" spans="1:19">
      <c r="D17" s="154"/>
      <c r="E17" s="154"/>
      <c r="F17" s="154"/>
      <c r="G17" s="154"/>
      <c r="H17" s="154"/>
      <c r="I17" s="154"/>
      <c r="P17" s="186" t="s">
        <v>67</v>
      </c>
    </row>
    <row r="18" spans="1:19">
      <c r="D18" s="156"/>
      <c r="E18" s="159"/>
      <c r="F18" s="159"/>
      <c r="G18" s="159"/>
      <c r="H18" s="159"/>
      <c r="I18" s="159"/>
      <c r="N18" s="185"/>
      <c r="O18" s="184"/>
      <c r="P18" s="197">
        <v>41974</v>
      </c>
    </row>
    <row r="19" spans="1:19" ht="11.25">
      <c r="A19" s="146" t="s">
        <v>16</v>
      </c>
      <c r="D19" s="154"/>
      <c r="E19" s="154"/>
      <c r="F19" s="182"/>
      <c r="G19" s="159"/>
      <c r="H19" s="159"/>
      <c r="I19" s="159"/>
      <c r="N19" s="164" t="s">
        <v>56</v>
      </c>
      <c r="O19" s="181">
        <v>0.42634034956164213</v>
      </c>
      <c r="P19" s="154">
        <v>14785516.07</v>
      </c>
      <c r="Q19" s="180"/>
      <c r="R19" s="172"/>
      <c r="S19" s="154"/>
    </row>
    <row r="20" spans="1:19" ht="11.25">
      <c r="B20" s="156"/>
      <c r="C20" s="146" t="s">
        <v>17</v>
      </c>
      <c r="D20" s="153">
        <v>0</v>
      </c>
      <c r="E20" s="154"/>
      <c r="F20" s="153">
        <v>0</v>
      </c>
      <c r="G20" s="159"/>
      <c r="H20" s="159"/>
      <c r="I20" s="159"/>
      <c r="N20" s="164" t="s">
        <v>58</v>
      </c>
      <c r="O20" s="181">
        <v>0.57365965043835787</v>
      </c>
      <c r="P20" s="154">
        <v>19894560.739999998</v>
      </c>
      <c r="Q20" s="180"/>
      <c r="R20" s="172"/>
      <c r="S20" s="154"/>
    </row>
    <row r="21" spans="1:19" ht="11.25">
      <c r="B21" s="156"/>
      <c r="C21" s="146" t="s">
        <v>18</v>
      </c>
      <c r="D21" s="153">
        <v>0</v>
      </c>
      <c r="E21" s="154"/>
      <c r="F21" s="153">
        <v>0</v>
      </c>
      <c r="G21" s="153">
        <v>0</v>
      </c>
      <c r="H21" s="159"/>
      <c r="I21" s="159"/>
      <c r="N21" s="164" t="s">
        <v>57</v>
      </c>
      <c r="O21" s="181">
        <v>0</v>
      </c>
      <c r="P21" s="154">
        <v>0</v>
      </c>
      <c r="Q21" s="180"/>
      <c r="R21" s="172"/>
      <c r="S21" s="154"/>
    </row>
    <row r="22" spans="1:19" ht="11.25">
      <c r="B22" s="156"/>
      <c r="C22" s="146" t="s">
        <v>19</v>
      </c>
      <c r="D22" s="153">
        <v>-148246.80999999959</v>
      </c>
      <c r="E22" s="154"/>
      <c r="F22" s="153">
        <v>-44474.042999999874</v>
      </c>
      <c r="G22" s="153">
        <v>-103772.7669999997</v>
      </c>
      <c r="H22" s="159"/>
      <c r="I22" s="159"/>
      <c r="N22" s="164" t="s">
        <v>59</v>
      </c>
      <c r="O22" s="181">
        <v>1</v>
      </c>
      <c r="P22" s="154">
        <v>0</v>
      </c>
      <c r="Q22" s="180"/>
      <c r="R22" s="172"/>
      <c r="S22" s="154"/>
    </row>
    <row r="23" spans="1:19">
      <c r="B23" s="156"/>
      <c r="C23" s="146" t="s">
        <v>20</v>
      </c>
      <c r="D23" s="153">
        <v>270000</v>
      </c>
      <c r="E23" s="154"/>
      <c r="F23" s="153">
        <v>55987.956000000006</v>
      </c>
      <c r="G23" s="153">
        <v>214012.04399999999</v>
      </c>
      <c r="H23" s="159"/>
      <c r="I23" s="159"/>
    </row>
    <row r="24" spans="1:19">
      <c r="B24" s="156"/>
      <c r="C24" s="146" t="s">
        <v>21</v>
      </c>
      <c r="D24" s="153">
        <v>76897305.959999993</v>
      </c>
      <c r="E24" s="154"/>
      <c r="F24" s="176">
        <v>2517906.851172646</v>
      </c>
      <c r="G24" s="176">
        <v>12267609.214563949</v>
      </c>
      <c r="H24" s="159"/>
      <c r="I24" s="176">
        <v>62111789.894263402</v>
      </c>
      <c r="K24" s="175">
        <v>0.17029549999999999</v>
      </c>
      <c r="L24" s="175">
        <v>0.82970450000000007</v>
      </c>
      <c r="N24" s="153">
        <v>34680076.799999997</v>
      </c>
      <c r="O24" s="156" t="s">
        <v>53</v>
      </c>
    </row>
    <row r="25" spans="1:19">
      <c r="B25" s="156"/>
      <c r="C25" s="146" t="s">
        <v>90</v>
      </c>
      <c r="D25" s="153">
        <v>0</v>
      </c>
      <c r="E25" s="154"/>
      <c r="F25" s="159"/>
      <c r="G25" s="153">
        <v>0</v>
      </c>
      <c r="H25" s="159"/>
      <c r="I25" s="153"/>
      <c r="N25" s="153">
        <v>0</v>
      </c>
      <c r="O25" s="156" t="s">
        <v>50</v>
      </c>
    </row>
    <row r="26" spans="1:19">
      <c r="B26" s="170" t="s">
        <v>65</v>
      </c>
      <c r="C26" s="149"/>
      <c r="D26" s="155" t="s">
        <v>14</v>
      </c>
      <c r="E26" s="149" t="s">
        <v>13</v>
      </c>
      <c r="F26" s="155" t="s">
        <v>14</v>
      </c>
      <c r="G26" s="155" t="s">
        <v>14</v>
      </c>
      <c r="H26" s="155" t="s">
        <v>14</v>
      </c>
      <c r="I26" s="155" t="s">
        <v>14</v>
      </c>
      <c r="K26" s="175"/>
      <c r="L26" s="175"/>
      <c r="N26" s="174">
        <v>42217229.159999996</v>
      </c>
      <c r="O26" s="156" t="s">
        <v>49</v>
      </c>
    </row>
    <row r="27" spans="1:19">
      <c r="B27" s="146" t="s">
        <v>22</v>
      </c>
      <c r="C27" s="156"/>
      <c r="D27" s="153">
        <v>77019059.149999991</v>
      </c>
      <c r="E27" s="154"/>
      <c r="F27" s="153">
        <v>2529420.7641726462</v>
      </c>
      <c r="G27" s="153">
        <v>12377848.49156395</v>
      </c>
      <c r="H27" s="153">
        <v>0</v>
      </c>
      <c r="I27" s="153">
        <v>62111789.894263402</v>
      </c>
      <c r="K27" s="175"/>
      <c r="L27" s="175"/>
      <c r="N27" s="153">
        <v>76897305.959999993</v>
      </c>
      <c r="O27" s="156"/>
    </row>
    <row r="28" spans="1:19" ht="12.75">
      <c r="D28" s="179"/>
      <c r="E28" s="154"/>
      <c r="F28" s="179"/>
      <c r="G28" s="179"/>
      <c r="H28" s="159"/>
      <c r="I28" s="159"/>
      <c r="K28" s="175"/>
      <c r="L28" s="175"/>
      <c r="N28" s="178"/>
      <c r="O28" s="163"/>
    </row>
    <row r="29" spans="1:19">
      <c r="B29" s="156"/>
      <c r="C29" s="146" t="s">
        <v>41</v>
      </c>
      <c r="D29" s="153">
        <v>0</v>
      </c>
      <c r="E29" s="154"/>
      <c r="F29" s="153"/>
      <c r="G29" s="153">
        <v>0</v>
      </c>
      <c r="H29" s="159"/>
      <c r="I29" s="159"/>
      <c r="K29" s="175"/>
      <c r="L29" s="175"/>
      <c r="N29" s="153">
        <v>0</v>
      </c>
      <c r="O29" s="156" t="s">
        <v>54</v>
      </c>
    </row>
    <row r="30" spans="1:19">
      <c r="B30" s="156"/>
      <c r="C30" s="146" t="s">
        <v>23</v>
      </c>
      <c r="D30" s="153">
        <v>0</v>
      </c>
      <c r="E30" s="154"/>
      <c r="F30" s="153"/>
      <c r="G30" s="153">
        <v>0</v>
      </c>
      <c r="H30" s="159"/>
      <c r="I30" s="159"/>
      <c r="K30" s="175"/>
      <c r="L30" s="175"/>
      <c r="M30" s="177"/>
      <c r="N30" s="153">
        <v>0</v>
      </c>
      <c r="O30" s="156" t="s">
        <v>51</v>
      </c>
    </row>
    <row r="31" spans="1:19">
      <c r="B31" s="156"/>
      <c r="C31" s="146" t="s">
        <v>24</v>
      </c>
      <c r="D31" s="153">
        <v>0</v>
      </c>
      <c r="E31" s="154"/>
      <c r="F31" s="176">
        <v>0</v>
      </c>
      <c r="G31" s="176">
        <v>0</v>
      </c>
      <c r="H31" s="159"/>
      <c r="I31" s="176">
        <v>0</v>
      </c>
      <c r="K31" s="175">
        <v>0.7</v>
      </c>
      <c r="L31" s="175">
        <v>0.30000000000000004</v>
      </c>
      <c r="N31" s="174">
        <v>0</v>
      </c>
      <c r="O31" s="156" t="s">
        <v>48</v>
      </c>
    </row>
    <row r="32" spans="1:19">
      <c r="B32" s="156"/>
      <c r="C32" s="146" t="s">
        <v>25</v>
      </c>
      <c r="D32" s="153">
        <v>0</v>
      </c>
      <c r="E32" s="154"/>
      <c r="F32" s="153">
        <v>0</v>
      </c>
      <c r="G32" s="153">
        <v>0</v>
      </c>
      <c r="H32" s="159"/>
      <c r="I32" s="159"/>
      <c r="N32" s="173">
        <v>0</v>
      </c>
      <c r="O32" s="156"/>
    </row>
    <row r="33" spans="2:18">
      <c r="B33" s="156"/>
      <c r="C33" s="146" t="s">
        <v>89</v>
      </c>
      <c r="D33" s="153">
        <v>0</v>
      </c>
      <c r="E33" s="154"/>
      <c r="F33" s="159"/>
      <c r="G33" s="153">
        <v>0</v>
      </c>
      <c r="H33" s="159"/>
      <c r="I33" s="159"/>
      <c r="N33" s="173"/>
      <c r="O33" s="156"/>
    </row>
    <row r="34" spans="2:18">
      <c r="B34" s="156"/>
      <c r="C34" s="146" t="s">
        <v>26</v>
      </c>
      <c r="D34" s="153">
        <v>0</v>
      </c>
      <c r="E34" s="154"/>
      <c r="F34" s="153">
        <v>0</v>
      </c>
      <c r="G34" s="153">
        <v>0</v>
      </c>
      <c r="H34" s="159"/>
      <c r="I34" s="159"/>
    </row>
    <row r="35" spans="2:18">
      <c r="B35" s="170" t="s">
        <v>65</v>
      </c>
      <c r="C35" s="149"/>
      <c r="D35" s="155" t="s">
        <v>14</v>
      </c>
      <c r="E35" s="149" t="s">
        <v>13</v>
      </c>
      <c r="F35" s="155" t="s">
        <v>14</v>
      </c>
      <c r="G35" s="155" t="s">
        <v>14</v>
      </c>
      <c r="H35" s="155" t="s">
        <v>14</v>
      </c>
      <c r="I35" s="155" t="s">
        <v>14</v>
      </c>
      <c r="R35" s="172"/>
    </row>
    <row r="36" spans="2:18">
      <c r="B36" s="146" t="s">
        <v>27</v>
      </c>
      <c r="C36" s="156"/>
      <c r="D36" s="153">
        <v>0</v>
      </c>
      <c r="E36" s="154"/>
      <c r="F36" s="153">
        <v>0</v>
      </c>
      <c r="G36" s="153">
        <v>0</v>
      </c>
      <c r="H36" s="153">
        <v>0</v>
      </c>
      <c r="I36" s="153">
        <v>0</v>
      </c>
    </row>
    <row r="37" spans="2:18">
      <c r="D37" s="154"/>
      <c r="E37" s="154"/>
      <c r="F37" s="159"/>
      <c r="G37" s="159"/>
      <c r="H37" s="159"/>
      <c r="I37" s="159"/>
      <c r="N37" s="146"/>
    </row>
    <row r="38" spans="2:18" hidden="1">
      <c r="B38" s="156"/>
      <c r="C38" s="146" t="s">
        <v>68</v>
      </c>
      <c r="D38" s="153">
        <v>0</v>
      </c>
      <c r="E38" s="154"/>
      <c r="F38" s="159"/>
      <c r="G38" s="159"/>
      <c r="H38" s="159"/>
      <c r="I38" s="153">
        <v>0</v>
      </c>
      <c r="K38" s="146" t="s">
        <v>10</v>
      </c>
    </row>
    <row r="39" spans="2:18" hidden="1">
      <c r="B39" s="156"/>
      <c r="C39" s="146" t="s">
        <v>55</v>
      </c>
      <c r="D39" s="153">
        <v>0</v>
      </c>
      <c r="E39" s="154"/>
      <c r="F39" s="159"/>
      <c r="G39" s="159"/>
      <c r="H39" s="159"/>
      <c r="I39" s="153">
        <v>0</v>
      </c>
      <c r="K39" s="146" t="s">
        <v>10</v>
      </c>
    </row>
    <row r="40" spans="2:18" hidden="1">
      <c r="B40" s="156"/>
      <c r="C40" s="146" t="s">
        <v>69</v>
      </c>
      <c r="D40" s="153">
        <v>0</v>
      </c>
      <c r="E40" s="154"/>
      <c r="F40" s="159"/>
      <c r="G40" s="159"/>
      <c r="H40" s="159"/>
      <c r="I40" s="153">
        <v>0</v>
      </c>
      <c r="K40" s="146" t="s">
        <v>10</v>
      </c>
    </row>
    <row r="41" spans="2:18" hidden="1">
      <c r="B41" s="156"/>
      <c r="C41" s="146" t="s">
        <v>88</v>
      </c>
      <c r="D41" s="153">
        <v>0</v>
      </c>
      <c r="E41" s="154"/>
      <c r="F41" s="159"/>
      <c r="G41" s="159"/>
      <c r="H41" s="159"/>
      <c r="I41" s="153">
        <v>0</v>
      </c>
      <c r="K41" s="146" t="s">
        <v>10</v>
      </c>
    </row>
    <row r="42" spans="2:18" hidden="1">
      <c r="B42" s="156"/>
      <c r="C42" s="146" t="s">
        <v>70</v>
      </c>
      <c r="D42" s="153">
        <v>0</v>
      </c>
      <c r="E42" s="154"/>
      <c r="F42" s="159"/>
      <c r="G42" s="159"/>
      <c r="H42" s="159"/>
      <c r="I42" s="153">
        <v>0</v>
      </c>
      <c r="K42" s="146" t="s">
        <v>10</v>
      </c>
    </row>
    <row r="43" spans="2:18">
      <c r="B43" s="156"/>
      <c r="C43" s="146" t="s">
        <v>71</v>
      </c>
      <c r="D43" s="153">
        <v>4575693.2</v>
      </c>
      <c r="E43" s="154"/>
      <c r="F43" s="159"/>
      <c r="G43" s="159"/>
      <c r="H43" s="159"/>
      <c r="I43" s="153">
        <v>4575693.2</v>
      </c>
      <c r="K43" s="146" t="s">
        <v>10</v>
      </c>
    </row>
    <row r="44" spans="2:18" hidden="1">
      <c r="B44" s="156"/>
      <c r="C44" s="146" t="s">
        <v>72</v>
      </c>
      <c r="D44" s="153">
        <v>0</v>
      </c>
      <c r="E44" s="154"/>
      <c r="F44" s="159"/>
      <c r="G44" s="159"/>
      <c r="H44" s="159"/>
      <c r="I44" s="153">
        <v>0</v>
      </c>
      <c r="K44" s="146" t="s">
        <v>10</v>
      </c>
    </row>
    <row r="45" spans="2:18">
      <c r="B45" s="156"/>
      <c r="C45" s="146" t="s">
        <v>46</v>
      </c>
      <c r="D45" s="153">
        <v>8005931.2199999997</v>
      </c>
      <c r="E45" s="154"/>
      <c r="F45" s="159"/>
      <c r="G45" s="159"/>
      <c r="H45" s="159"/>
      <c r="I45" s="153">
        <v>8005931.2199999997</v>
      </c>
      <c r="K45" s="146" t="s">
        <v>10</v>
      </c>
    </row>
    <row r="46" spans="2:18">
      <c r="B46" s="156"/>
      <c r="C46" s="146" t="s">
        <v>73</v>
      </c>
      <c r="D46" s="153">
        <v>84152812.780000001</v>
      </c>
      <c r="E46" s="154"/>
      <c r="F46" s="159"/>
      <c r="G46" s="159"/>
      <c r="H46" s="159"/>
      <c r="I46" s="153">
        <v>84152812.780000001</v>
      </c>
      <c r="K46" s="146" t="s">
        <v>10</v>
      </c>
    </row>
    <row r="47" spans="2:18" hidden="1">
      <c r="B47" s="156"/>
      <c r="C47" s="146" t="s">
        <v>74</v>
      </c>
      <c r="D47" s="153">
        <v>0</v>
      </c>
      <c r="E47" s="154"/>
      <c r="F47" s="159"/>
      <c r="G47" s="159"/>
      <c r="H47" s="159"/>
      <c r="I47" s="153">
        <v>0</v>
      </c>
      <c r="K47" s="146" t="s">
        <v>10</v>
      </c>
    </row>
    <row r="48" spans="2:18" hidden="1">
      <c r="B48" s="156"/>
      <c r="C48" s="146" t="s">
        <v>75</v>
      </c>
      <c r="D48" s="153">
        <v>0</v>
      </c>
      <c r="E48" s="154"/>
      <c r="F48" s="159"/>
      <c r="G48" s="159"/>
      <c r="H48" s="159"/>
      <c r="I48" s="153">
        <v>0</v>
      </c>
      <c r="K48" s="146" t="s">
        <v>10</v>
      </c>
    </row>
    <row r="49" spans="2:11" hidden="1">
      <c r="B49" s="156"/>
      <c r="C49" s="146" t="s">
        <v>45</v>
      </c>
      <c r="D49" s="153">
        <v>0</v>
      </c>
      <c r="E49" s="154"/>
      <c r="F49" s="159"/>
      <c r="G49" s="159"/>
      <c r="H49" s="159"/>
      <c r="I49" s="153">
        <v>0</v>
      </c>
      <c r="K49" s="146" t="s">
        <v>10</v>
      </c>
    </row>
    <row r="50" spans="2:11" hidden="1">
      <c r="B50" s="156"/>
      <c r="C50" s="171" t="s">
        <v>76</v>
      </c>
      <c r="D50" s="153">
        <v>0</v>
      </c>
      <c r="E50" s="154"/>
      <c r="F50" s="159"/>
      <c r="G50" s="159"/>
      <c r="H50" s="159"/>
      <c r="I50" s="153">
        <v>0</v>
      </c>
      <c r="K50" s="146" t="s">
        <v>10</v>
      </c>
    </row>
    <row r="51" spans="2:11" hidden="1">
      <c r="B51" s="156"/>
      <c r="C51" s="146" t="s">
        <v>77</v>
      </c>
      <c r="D51" s="153">
        <v>0</v>
      </c>
      <c r="E51" s="154"/>
      <c r="F51" s="159"/>
      <c r="G51" s="159"/>
      <c r="H51" s="159"/>
      <c r="I51" s="153">
        <v>0</v>
      </c>
      <c r="K51" s="146" t="s">
        <v>10</v>
      </c>
    </row>
    <row r="52" spans="2:11" hidden="1">
      <c r="B52" s="156"/>
      <c r="C52" s="146" t="s">
        <v>78</v>
      </c>
      <c r="D52" s="153">
        <v>0</v>
      </c>
      <c r="E52" s="154"/>
      <c r="F52" s="159"/>
      <c r="G52" s="159"/>
      <c r="H52" s="159"/>
      <c r="I52" s="153">
        <v>0</v>
      </c>
      <c r="K52" s="146" t="s">
        <v>10</v>
      </c>
    </row>
    <row r="53" spans="2:11" hidden="1">
      <c r="B53" s="156"/>
      <c r="C53" s="146" t="s">
        <v>79</v>
      </c>
      <c r="D53" s="153">
        <v>0</v>
      </c>
      <c r="E53" s="154"/>
      <c r="F53" s="159"/>
      <c r="G53" s="159"/>
      <c r="H53" s="159"/>
      <c r="I53" s="153">
        <v>0</v>
      </c>
      <c r="K53" s="146" t="s">
        <v>10</v>
      </c>
    </row>
    <row r="54" spans="2:11" hidden="1">
      <c r="B54" s="156"/>
      <c r="C54" s="146" t="s">
        <v>80</v>
      </c>
      <c r="D54" s="153">
        <v>0</v>
      </c>
      <c r="E54" s="154"/>
      <c r="F54" s="159"/>
      <c r="G54" s="159"/>
      <c r="H54" s="159"/>
      <c r="I54" s="153">
        <v>0</v>
      </c>
      <c r="K54" s="146" t="s">
        <v>10</v>
      </c>
    </row>
    <row r="55" spans="2:11" hidden="1">
      <c r="B55" s="156"/>
      <c r="C55" s="146" t="s">
        <v>81</v>
      </c>
      <c r="D55" s="153">
        <v>0</v>
      </c>
      <c r="E55" s="154"/>
      <c r="F55" s="159"/>
      <c r="G55" s="159"/>
      <c r="H55" s="159"/>
      <c r="I55" s="153">
        <v>0</v>
      </c>
      <c r="K55" s="146" t="s">
        <v>10</v>
      </c>
    </row>
    <row r="56" spans="2:11" hidden="1">
      <c r="B56" s="156"/>
      <c r="C56" s="146" t="s">
        <v>82</v>
      </c>
      <c r="D56" s="153">
        <v>0</v>
      </c>
      <c r="E56" s="154"/>
      <c r="F56" s="159"/>
      <c r="G56" s="159"/>
      <c r="H56" s="159"/>
      <c r="I56" s="153">
        <v>0</v>
      </c>
      <c r="K56" s="146" t="s">
        <v>10</v>
      </c>
    </row>
    <row r="57" spans="2:11" hidden="1">
      <c r="B57" s="156"/>
      <c r="C57" s="147" t="s">
        <v>83</v>
      </c>
      <c r="D57" s="153">
        <v>0</v>
      </c>
      <c r="E57" s="154"/>
      <c r="F57" s="159"/>
      <c r="G57" s="159"/>
      <c r="H57" s="159"/>
      <c r="I57" s="153">
        <v>0</v>
      </c>
      <c r="K57" s="146" t="s">
        <v>10</v>
      </c>
    </row>
    <row r="58" spans="2:11" hidden="1">
      <c r="B58" s="156"/>
      <c r="C58" s="147" t="s">
        <v>92</v>
      </c>
      <c r="D58" s="153">
        <v>0</v>
      </c>
      <c r="E58" s="154"/>
      <c r="F58" s="159"/>
      <c r="G58" s="159"/>
      <c r="H58" s="159"/>
      <c r="I58" s="153">
        <v>0</v>
      </c>
      <c r="K58" s="146" t="s">
        <v>10</v>
      </c>
    </row>
    <row r="59" spans="2:11" hidden="1">
      <c r="B59" s="156"/>
      <c r="C59" s="146" t="s">
        <v>84</v>
      </c>
      <c r="D59" s="153">
        <v>0</v>
      </c>
      <c r="E59" s="154"/>
      <c r="F59" s="159"/>
      <c r="G59" s="159"/>
      <c r="H59" s="159"/>
      <c r="I59" s="153">
        <v>0</v>
      </c>
      <c r="K59" s="146" t="s">
        <v>10</v>
      </c>
    </row>
    <row r="60" spans="2:11" hidden="1">
      <c r="B60" s="156"/>
      <c r="C60" s="146" t="s">
        <v>95</v>
      </c>
      <c r="D60" s="153">
        <v>0</v>
      </c>
      <c r="E60" s="154"/>
      <c r="F60" s="159"/>
      <c r="G60" s="159"/>
      <c r="H60" s="159"/>
      <c r="I60" s="153">
        <v>0</v>
      </c>
      <c r="K60" s="146" t="s">
        <v>10</v>
      </c>
    </row>
    <row r="61" spans="2:11" hidden="1">
      <c r="B61" s="156"/>
      <c r="C61" s="146" t="s">
        <v>85</v>
      </c>
      <c r="D61" s="153">
        <v>0</v>
      </c>
      <c r="E61" s="154"/>
      <c r="F61" s="159"/>
      <c r="G61" s="159"/>
      <c r="H61" s="159"/>
      <c r="I61" s="153">
        <v>0</v>
      </c>
      <c r="K61" s="146" t="s">
        <v>10</v>
      </c>
    </row>
    <row r="62" spans="2:11" hidden="1">
      <c r="B62" s="156"/>
      <c r="C62" s="146" t="s">
        <v>86</v>
      </c>
      <c r="D62" s="153">
        <v>0</v>
      </c>
      <c r="E62" s="154"/>
      <c r="F62" s="159"/>
      <c r="G62" s="159"/>
      <c r="H62" s="159"/>
      <c r="I62" s="153">
        <v>0</v>
      </c>
      <c r="K62" s="146" t="s">
        <v>10</v>
      </c>
    </row>
    <row r="63" spans="2:11" hidden="1">
      <c r="B63" s="156"/>
      <c r="C63" s="146" t="s">
        <v>94</v>
      </c>
      <c r="D63" s="153">
        <v>0</v>
      </c>
      <c r="E63" s="154"/>
      <c r="F63" s="159"/>
      <c r="G63" s="159"/>
      <c r="H63" s="159"/>
      <c r="I63" s="153">
        <v>0</v>
      </c>
      <c r="K63" s="146" t="s">
        <v>10</v>
      </c>
    </row>
    <row r="64" spans="2:11" hidden="1">
      <c r="B64" s="156"/>
      <c r="C64" s="147" t="s">
        <v>87</v>
      </c>
      <c r="D64" s="153">
        <v>0</v>
      </c>
      <c r="E64" s="154"/>
      <c r="F64" s="159"/>
      <c r="G64" s="159"/>
      <c r="H64" s="159"/>
      <c r="I64" s="153">
        <v>0</v>
      </c>
      <c r="K64" s="146" t="s">
        <v>10</v>
      </c>
    </row>
    <row r="65" spans="1:16" hidden="1">
      <c r="B65" s="156"/>
      <c r="C65" s="146" t="s">
        <v>93</v>
      </c>
      <c r="D65" s="153">
        <v>0</v>
      </c>
      <c r="E65" s="154"/>
      <c r="F65" s="159"/>
      <c r="G65" s="159"/>
      <c r="H65" s="159"/>
      <c r="I65" s="153">
        <v>0</v>
      </c>
      <c r="K65" s="146" t="s">
        <v>10</v>
      </c>
    </row>
    <row r="66" spans="1:16" ht="11.25" thickBot="1">
      <c r="B66" s="156"/>
      <c r="C66" s="147"/>
      <c r="D66" s="153"/>
      <c r="E66" s="154"/>
      <c r="F66" s="159"/>
      <c r="G66" s="159"/>
      <c r="H66" s="159"/>
      <c r="I66" s="153"/>
    </row>
    <row r="67" spans="1:16" ht="11.25" hidden="1" thickBot="1">
      <c r="B67" s="171" t="s">
        <v>64</v>
      </c>
      <c r="C67" s="147"/>
      <c r="D67" s="153"/>
      <c r="E67" s="154"/>
      <c r="F67" s="159"/>
      <c r="G67" s="159"/>
      <c r="H67" s="159"/>
      <c r="I67" s="153"/>
    </row>
    <row r="68" spans="1:16" ht="11.25" hidden="1" thickBot="1">
      <c r="B68" s="156"/>
      <c r="C68" s="146" t="s">
        <v>96</v>
      </c>
      <c r="D68" s="153">
        <v>0</v>
      </c>
      <c r="E68" s="154"/>
      <c r="F68" s="159"/>
      <c r="G68" s="159"/>
      <c r="H68" s="159"/>
      <c r="I68" s="153">
        <v>0</v>
      </c>
      <c r="K68" s="146" t="s">
        <v>10</v>
      </c>
    </row>
    <row r="69" spans="1:16" ht="11.25" thickBot="1">
      <c r="B69" s="156"/>
      <c r="D69" s="154"/>
      <c r="E69" s="154"/>
      <c r="F69" s="159"/>
      <c r="G69" s="159"/>
      <c r="H69" s="159"/>
      <c r="I69" s="159"/>
      <c r="K69" s="152">
        <v>0</v>
      </c>
      <c r="L69" s="151" t="s">
        <v>40</v>
      </c>
      <c r="M69" s="150">
        <v>0</v>
      </c>
    </row>
    <row r="70" spans="1:16">
      <c r="B70" s="156"/>
      <c r="C70" s="156" t="s">
        <v>115</v>
      </c>
      <c r="D70" s="153">
        <v>67492994.709999993</v>
      </c>
      <c r="E70" s="154"/>
      <c r="F70" s="159"/>
      <c r="G70" s="159"/>
      <c r="H70" s="159"/>
      <c r="I70" s="153">
        <v>67492994.709999993</v>
      </c>
    </row>
    <row r="71" spans="1:16" ht="11.25" thickBot="1">
      <c r="B71" s="170" t="s">
        <v>65</v>
      </c>
      <c r="C71" s="149"/>
      <c r="D71" s="155" t="s">
        <v>14</v>
      </c>
      <c r="E71" s="149" t="s">
        <v>13</v>
      </c>
      <c r="F71" s="155" t="s">
        <v>14</v>
      </c>
      <c r="G71" s="155" t="s">
        <v>14</v>
      </c>
      <c r="H71" s="155" t="s">
        <v>14</v>
      </c>
      <c r="I71" s="155" t="s">
        <v>14</v>
      </c>
    </row>
    <row r="72" spans="1:16" ht="11.25" thickBot="1">
      <c r="B72" s="146" t="s">
        <v>28</v>
      </c>
      <c r="C72" s="156"/>
      <c r="D72" s="153">
        <v>164227431.91</v>
      </c>
      <c r="E72" s="154"/>
      <c r="F72" s="153">
        <v>0</v>
      </c>
      <c r="G72" s="153">
        <v>0</v>
      </c>
      <c r="H72" s="153">
        <v>0</v>
      </c>
      <c r="I72" s="153">
        <v>164227431.91</v>
      </c>
      <c r="K72" s="152"/>
      <c r="L72" s="151" t="s">
        <v>40</v>
      </c>
      <c r="M72" s="150">
        <v>0</v>
      </c>
    </row>
    <row r="73" spans="1:16">
      <c r="B73" s="146" t="s">
        <v>116</v>
      </c>
      <c r="D73" s="153">
        <v>663166.31000000006</v>
      </c>
      <c r="E73" s="154"/>
      <c r="F73" s="149"/>
      <c r="H73" s="153"/>
      <c r="I73" s="153">
        <v>663166.31000000006</v>
      </c>
      <c r="J73" s="156"/>
      <c r="K73" s="156"/>
      <c r="L73" s="156"/>
      <c r="M73" s="156"/>
    </row>
    <row r="74" spans="1:16">
      <c r="B74" s="146" t="s">
        <v>29</v>
      </c>
      <c r="C74" s="156"/>
      <c r="D74" s="153">
        <v>0</v>
      </c>
      <c r="E74" s="154"/>
      <c r="F74" s="153"/>
      <c r="G74" s="153"/>
      <c r="H74" s="153">
        <v>0</v>
      </c>
      <c r="I74" s="159"/>
    </row>
    <row r="75" spans="1:16" ht="11.25" thickBot="1">
      <c r="D75" s="155" t="s">
        <v>14</v>
      </c>
      <c r="E75" s="149" t="s">
        <v>13</v>
      </c>
      <c r="F75" s="155" t="s">
        <v>14</v>
      </c>
      <c r="G75" s="155" t="s">
        <v>14</v>
      </c>
      <c r="H75" s="155" t="s">
        <v>14</v>
      </c>
      <c r="I75" s="155" t="s">
        <v>14</v>
      </c>
    </row>
    <row r="76" spans="1:16" ht="11.25" thickBot="1">
      <c r="A76" s="146" t="s">
        <v>30</v>
      </c>
      <c r="D76" s="153">
        <v>241909657.37</v>
      </c>
      <c r="E76" s="154"/>
      <c r="F76" s="153">
        <v>2529420.7641726462</v>
      </c>
      <c r="G76" s="153">
        <v>12377848.49156395</v>
      </c>
      <c r="H76" s="153">
        <v>0</v>
      </c>
      <c r="I76" s="153">
        <v>227002388.11426342</v>
      </c>
      <c r="K76" s="152">
        <v>0</v>
      </c>
      <c r="L76" s="151" t="s">
        <v>40</v>
      </c>
      <c r="M76" s="150">
        <v>0</v>
      </c>
    </row>
    <row r="77" spans="1:16">
      <c r="D77" s="154"/>
      <c r="E77" s="154"/>
      <c r="F77" s="154"/>
      <c r="G77" s="154"/>
      <c r="H77" s="154"/>
      <c r="I77" s="154"/>
    </row>
    <row r="78" spans="1:16">
      <c r="D78" s="154"/>
      <c r="E78" s="154"/>
      <c r="F78" s="154"/>
      <c r="G78" s="154"/>
      <c r="H78" s="154"/>
      <c r="I78" s="154"/>
    </row>
    <row r="79" spans="1:16" ht="11.25">
      <c r="A79" s="146" t="s">
        <v>31</v>
      </c>
      <c r="F79" s="159"/>
      <c r="G79" s="159"/>
      <c r="H79" s="159"/>
      <c r="I79" s="159"/>
      <c r="N79" s="164" t="s">
        <v>60</v>
      </c>
      <c r="O79" s="163">
        <v>24999835.973468848</v>
      </c>
      <c r="P79" s="153"/>
    </row>
    <row r="80" spans="1:16" ht="11.25">
      <c r="F80" s="159"/>
      <c r="G80" s="159"/>
      <c r="H80" s="159"/>
      <c r="I80" s="159"/>
      <c r="N80" s="164" t="s">
        <v>61</v>
      </c>
      <c r="O80" s="163">
        <v>0</v>
      </c>
      <c r="P80" s="153"/>
    </row>
    <row r="81" spans="1:16" s="156" customFormat="1" ht="11.25">
      <c r="A81" s="146"/>
      <c r="B81" s="146" t="s">
        <v>32</v>
      </c>
      <c r="D81" s="153">
        <v>24999835.973468848</v>
      </c>
      <c r="E81" s="154"/>
      <c r="F81" s="153">
        <v>24999835.973468848</v>
      </c>
      <c r="G81" s="159"/>
      <c r="H81" s="159"/>
      <c r="I81" s="159"/>
      <c r="J81" s="146"/>
      <c r="K81" s="168"/>
      <c r="L81" s="146"/>
      <c r="M81" s="146"/>
      <c r="N81" s="164" t="s">
        <v>62</v>
      </c>
      <c r="O81" s="163">
        <v>83304574.000558719</v>
      </c>
      <c r="P81" s="167"/>
    </row>
    <row r="82" spans="1:16" ht="11.25">
      <c r="A82" s="156"/>
      <c r="B82" s="156"/>
      <c r="C82" s="156"/>
      <c r="D82" s="156"/>
      <c r="E82" s="156"/>
      <c r="F82" s="156"/>
      <c r="G82" s="156"/>
      <c r="H82" s="156"/>
      <c r="I82" s="156"/>
      <c r="J82" s="156"/>
      <c r="K82" s="166"/>
      <c r="L82" s="156"/>
      <c r="M82" s="156"/>
      <c r="N82" s="164" t="s">
        <v>91</v>
      </c>
      <c r="O82" s="163">
        <v>0</v>
      </c>
      <c r="P82" s="153"/>
    </row>
    <row r="83" spans="1:16" ht="11.25">
      <c r="B83" s="146" t="s">
        <v>33</v>
      </c>
      <c r="C83" s="156"/>
      <c r="D83" s="153">
        <v>0</v>
      </c>
      <c r="E83" s="154"/>
      <c r="F83" s="153">
        <v>0</v>
      </c>
      <c r="G83" s="159"/>
      <c r="H83" s="159"/>
      <c r="I83" s="159"/>
      <c r="N83" s="164" t="s">
        <v>63</v>
      </c>
      <c r="O83" s="163">
        <v>1038267.1499999999</v>
      </c>
      <c r="P83" s="153"/>
    </row>
    <row r="84" spans="1:16" ht="11.25" thickBot="1">
      <c r="C84" s="156"/>
      <c r="D84" s="154"/>
      <c r="E84" s="154"/>
      <c r="F84" s="159"/>
      <c r="G84" s="159"/>
      <c r="H84" s="159"/>
      <c r="I84" s="159"/>
      <c r="O84" s="163">
        <v>109342677.12402758</v>
      </c>
      <c r="P84" s="153"/>
    </row>
    <row r="85" spans="1:16" ht="11.25" thickBot="1">
      <c r="B85" s="146" t="s">
        <v>10</v>
      </c>
      <c r="C85" s="156"/>
      <c r="D85" s="153">
        <v>84342841.02653116</v>
      </c>
      <c r="E85" s="154"/>
      <c r="F85" s="162"/>
      <c r="G85" s="159"/>
      <c r="H85" s="159"/>
      <c r="I85" s="153">
        <v>84342841.02653116</v>
      </c>
      <c r="N85" s="161" t="s">
        <v>40</v>
      </c>
      <c r="O85" s="150">
        <v>0</v>
      </c>
      <c r="P85" s="160"/>
    </row>
    <row r="86" spans="1:16">
      <c r="F86" s="159"/>
      <c r="G86" s="159"/>
      <c r="H86" s="159"/>
      <c r="I86" s="159"/>
    </row>
    <row r="87" spans="1:16" s="156" customFormat="1">
      <c r="A87" s="146"/>
      <c r="B87" s="156" t="s">
        <v>34</v>
      </c>
      <c r="C87" s="146"/>
      <c r="D87" s="153">
        <v>0</v>
      </c>
      <c r="E87" s="154"/>
      <c r="F87" s="159"/>
      <c r="H87" s="153">
        <v>0</v>
      </c>
      <c r="I87" s="159"/>
      <c r="J87" s="146"/>
      <c r="K87" s="146"/>
      <c r="L87" s="146"/>
      <c r="M87" s="146"/>
      <c r="N87" s="147"/>
    </row>
    <row r="88" spans="1:16">
      <c r="A88" s="156"/>
      <c r="B88" s="156"/>
      <c r="C88" s="156"/>
      <c r="D88" s="156"/>
      <c r="E88" s="156"/>
      <c r="F88" s="156"/>
      <c r="G88" s="156"/>
      <c r="H88" s="156"/>
      <c r="I88" s="156"/>
      <c r="J88" s="156"/>
      <c r="K88" s="156"/>
      <c r="L88" s="156"/>
      <c r="M88" s="156"/>
    </row>
    <row r="89" spans="1:16" ht="11.25" thickBot="1">
      <c r="D89" s="155" t="s">
        <v>14</v>
      </c>
      <c r="E89" s="149" t="s">
        <v>13</v>
      </c>
      <c r="F89" s="155" t="s">
        <v>14</v>
      </c>
      <c r="G89" s="155" t="s">
        <v>14</v>
      </c>
      <c r="H89" s="155" t="s">
        <v>14</v>
      </c>
      <c r="I89" s="155" t="s">
        <v>14</v>
      </c>
    </row>
    <row r="90" spans="1:16" s="156" customFormat="1" ht="11.25" thickBot="1">
      <c r="A90" s="146" t="s">
        <v>35</v>
      </c>
      <c r="B90" s="146"/>
      <c r="C90" s="146"/>
      <c r="D90" s="153">
        <v>109342677</v>
      </c>
      <c r="E90" s="154"/>
      <c r="F90" s="153">
        <v>24999835.973468848</v>
      </c>
      <c r="G90" s="153">
        <v>0</v>
      </c>
      <c r="H90" s="153">
        <v>0</v>
      </c>
      <c r="I90" s="153">
        <v>84342841.02653116</v>
      </c>
      <c r="J90" s="146"/>
      <c r="K90" s="152">
        <v>0</v>
      </c>
      <c r="L90" s="151" t="s">
        <v>40</v>
      </c>
      <c r="M90" s="150">
        <v>0</v>
      </c>
      <c r="N90" s="147"/>
    </row>
    <row r="91" spans="1:16" s="156" customFormat="1">
      <c r="A91" s="146"/>
      <c r="B91" s="146"/>
      <c r="C91" s="146"/>
      <c r="D91" s="146"/>
      <c r="E91" s="146"/>
      <c r="G91" s="146"/>
      <c r="H91" s="146"/>
      <c r="I91" s="146"/>
      <c r="N91" s="147"/>
    </row>
    <row r="92" spans="1:16" s="156" customFormat="1">
      <c r="A92" s="146" t="s">
        <v>36</v>
      </c>
      <c r="B92" s="146"/>
      <c r="C92" s="146"/>
      <c r="D92" s="146"/>
      <c r="E92" s="146"/>
      <c r="G92" s="146"/>
      <c r="H92" s="146"/>
      <c r="I92" s="146"/>
      <c r="N92" s="147"/>
    </row>
    <row r="93" spans="1:16" s="156" customFormat="1" hidden="1">
      <c r="A93" s="146"/>
      <c r="B93" s="154" t="s">
        <v>98</v>
      </c>
      <c r="C93" s="146"/>
      <c r="D93" s="153">
        <v>0</v>
      </c>
      <c r="E93" s="154"/>
      <c r="G93" s="146"/>
      <c r="H93" s="153">
        <v>0</v>
      </c>
      <c r="I93" s="157"/>
      <c r="N93" s="147"/>
    </row>
    <row r="94" spans="1:16" s="156" customFormat="1" hidden="1">
      <c r="A94" s="146"/>
      <c r="B94" s="154" t="s">
        <v>99</v>
      </c>
      <c r="C94" s="146"/>
      <c r="D94" s="153">
        <v>0</v>
      </c>
      <c r="E94" s="154"/>
      <c r="G94" s="146"/>
      <c r="H94" s="153">
        <v>0</v>
      </c>
      <c r="I94" s="157"/>
      <c r="N94" s="147"/>
    </row>
    <row r="95" spans="1:16" s="156" customFormat="1">
      <c r="A95" s="146"/>
      <c r="B95" s="154" t="s">
        <v>100</v>
      </c>
      <c r="C95" s="146"/>
      <c r="D95" s="153">
        <v>8051919.5899999999</v>
      </c>
      <c r="E95" s="154"/>
      <c r="G95" s="146"/>
      <c r="H95" s="153">
        <v>8051919.5899999999</v>
      </c>
      <c r="I95" s="157"/>
      <c r="N95" s="147"/>
    </row>
    <row r="96" spans="1:16" s="156" customFormat="1" hidden="1">
      <c r="A96" s="146"/>
      <c r="B96" s="154" t="s">
        <v>101</v>
      </c>
      <c r="C96" s="146"/>
      <c r="D96" s="153">
        <v>0</v>
      </c>
      <c r="E96" s="154"/>
      <c r="G96" s="146"/>
      <c r="H96" s="153">
        <v>0</v>
      </c>
      <c r="I96" s="157"/>
      <c r="N96" s="147"/>
    </row>
    <row r="97" spans="1:14" s="156" customFormat="1">
      <c r="A97" s="146"/>
      <c r="B97" s="154" t="s">
        <v>66</v>
      </c>
      <c r="C97" s="146"/>
      <c r="D97" s="153">
        <v>50918245.159999996</v>
      </c>
      <c r="E97" s="154"/>
      <c r="G97" s="146"/>
      <c r="H97" s="153">
        <v>50918245.159999996</v>
      </c>
      <c r="I97" s="157"/>
      <c r="N97" s="147"/>
    </row>
    <row r="98" spans="1:14" s="156" customFormat="1" hidden="1">
      <c r="A98" s="146"/>
      <c r="B98" s="154" t="s">
        <v>47</v>
      </c>
      <c r="C98" s="146"/>
      <c r="D98" s="153">
        <v>0</v>
      </c>
      <c r="E98" s="154"/>
      <c r="G98" s="146"/>
      <c r="H98" s="153">
        <v>0</v>
      </c>
      <c r="I98" s="157"/>
      <c r="N98" s="147"/>
    </row>
    <row r="99" spans="1:14" s="156" customFormat="1" hidden="1">
      <c r="A99" s="146"/>
      <c r="B99" s="154" t="s">
        <v>102</v>
      </c>
      <c r="C99" s="146"/>
      <c r="D99" s="153">
        <v>0</v>
      </c>
      <c r="E99" s="154"/>
      <c r="G99" s="146"/>
      <c r="H99" s="153">
        <v>0</v>
      </c>
      <c r="I99" s="157"/>
      <c r="N99" s="147"/>
    </row>
    <row r="100" spans="1:14" s="156" customFormat="1" hidden="1">
      <c r="A100" s="146"/>
      <c r="B100" s="154" t="s">
        <v>103</v>
      </c>
      <c r="C100" s="146"/>
      <c r="D100" s="153">
        <v>0</v>
      </c>
      <c r="E100" s="154"/>
      <c r="G100" s="146"/>
      <c r="H100" s="153">
        <v>0</v>
      </c>
      <c r="I100" s="157"/>
      <c r="N100" s="147"/>
    </row>
    <row r="101" spans="1:14" s="156" customFormat="1" hidden="1">
      <c r="A101" s="146"/>
      <c r="B101" s="154" t="s">
        <v>104</v>
      </c>
      <c r="C101" s="146"/>
      <c r="D101" s="153">
        <v>0</v>
      </c>
      <c r="E101" s="154"/>
      <c r="G101" s="146"/>
      <c r="H101" s="153">
        <v>0</v>
      </c>
      <c r="I101" s="157"/>
      <c r="N101" s="147"/>
    </row>
    <row r="102" spans="1:14" s="156" customFormat="1" hidden="1">
      <c r="A102" s="146"/>
      <c r="B102" s="154" t="s">
        <v>105</v>
      </c>
      <c r="C102" s="146"/>
      <c r="D102" s="153">
        <v>0</v>
      </c>
      <c r="E102" s="154"/>
      <c r="F102" s="149"/>
      <c r="G102" s="146"/>
      <c r="H102" s="153">
        <v>0</v>
      </c>
      <c r="I102" s="157"/>
      <c r="N102" s="147"/>
    </row>
    <row r="103" spans="1:14" s="156" customFormat="1">
      <c r="A103" s="146"/>
      <c r="B103" s="154" t="s">
        <v>106</v>
      </c>
      <c r="C103" s="146"/>
      <c r="D103" s="153">
        <v>46003985.939999998</v>
      </c>
      <c r="E103" s="154"/>
      <c r="F103" s="149"/>
      <c r="G103" s="146"/>
      <c r="H103" s="153">
        <v>46003985.939999998</v>
      </c>
      <c r="I103" s="157"/>
      <c r="N103" s="147"/>
    </row>
    <row r="104" spans="1:14" s="156" customFormat="1" hidden="1">
      <c r="A104" s="146"/>
      <c r="B104" s="154" t="s">
        <v>107</v>
      </c>
      <c r="C104" s="146"/>
      <c r="D104" s="153">
        <v>0</v>
      </c>
      <c r="E104" s="154"/>
      <c r="F104" s="149"/>
      <c r="G104" s="146"/>
      <c r="H104" s="153">
        <v>0</v>
      </c>
      <c r="I104" s="157"/>
      <c r="N104" s="147"/>
    </row>
    <row r="105" spans="1:14" s="156" customFormat="1" hidden="1">
      <c r="A105" s="146"/>
      <c r="B105" s="154" t="s">
        <v>108</v>
      </c>
      <c r="C105" s="146"/>
      <c r="D105" s="153">
        <v>0</v>
      </c>
      <c r="E105" s="154"/>
      <c r="F105" s="149"/>
      <c r="G105" s="146"/>
      <c r="H105" s="153">
        <v>0</v>
      </c>
      <c r="I105" s="157"/>
      <c r="N105" s="147"/>
    </row>
    <row r="106" spans="1:14" s="156" customFormat="1">
      <c r="A106" s="146"/>
      <c r="B106" s="154" t="s">
        <v>109</v>
      </c>
      <c r="C106" s="146"/>
      <c r="D106" s="153">
        <v>198244684.53999999</v>
      </c>
      <c r="E106" s="154"/>
      <c r="F106" s="149"/>
      <c r="G106" s="146"/>
      <c r="H106" s="153">
        <v>198244684.53999999</v>
      </c>
      <c r="I106" s="157"/>
      <c r="N106" s="147"/>
    </row>
    <row r="107" spans="1:14" s="156" customFormat="1" hidden="1">
      <c r="A107" s="146"/>
      <c r="B107" s="154" t="s">
        <v>110</v>
      </c>
      <c r="C107" s="146"/>
      <c r="D107" s="153">
        <v>0</v>
      </c>
      <c r="E107" s="154"/>
      <c r="F107" s="149"/>
      <c r="G107" s="146"/>
      <c r="H107" s="153">
        <v>0</v>
      </c>
      <c r="I107" s="157"/>
      <c r="N107" s="147"/>
    </row>
    <row r="108" spans="1:14" s="156" customFormat="1">
      <c r="A108" s="146"/>
      <c r="B108" s="154"/>
      <c r="C108" s="146"/>
      <c r="D108" s="153"/>
      <c r="E108" s="154"/>
      <c r="F108" s="149"/>
      <c r="G108" s="146"/>
      <c r="H108" s="153"/>
      <c r="I108" s="157"/>
      <c r="N108" s="147"/>
    </row>
    <row r="109" spans="1:14" s="156" customFormat="1" hidden="1">
      <c r="A109" s="146"/>
      <c r="B109" s="154" t="s">
        <v>111</v>
      </c>
      <c r="C109" s="146"/>
      <c r="D109" s="153">
        <v>0</v>
      </c>
      <c r="E109" s="154"/>
      <c r="F109" s="149"/>
      <c r="G109" s="146"/>
      <c r="H109" s="153">
        <v>0</v>
      </c>
      <c r="I109" s="157"/>
      <c r="N109" s="147"/>
    </row>
    <row r="110" spans="1:14" s="156" customFormat="1" hidden="1">
      <c r="A110" s="146"/>
      <c r="B110" s="154" t="s">
        <v>112</v>
      </c>
      <c r="C110" s="146"/>
      <c r="D110" s="153">
        <v>0</v>
      </c>
      <c r="E110" s="154"/>
      <c r="F110" s="149"/>
      <c r="G110" s="146"/>
      <c r="H110" s="153">
        <v>0</v>
      </c>
      <c r="I110" s="157"/>
      <c r="N110" s="147"/>
    </row>
    <row r="111" spans="1:14" s="156" customFormat="1" hidden="1">
      <c r="A111" s="146"/>
      <c r="B111" s="154" t="s">
        <v>113</v>
      </c>
      <c r="C111" s="146"/>
      <c r="D111" s="153">
        <v>0</v>
      </c>
      <c r="E111" s="154"/>
      <c r="F111" s="149"/>
      <c r="G111" s="146"/>
      <c r="H111" s="153">
        <v>0</v>
      </c>
      <c r="I111" s="157"/>
      <c r="N111" s="147"/>
    </row>
    <row r="112" spans="1:14" s="156" customFormat="1" hidden="1">
      <c r="A112" s="146"/>
      <c r="B112" s="154"/>
      <c r="C112" s="146"/>
      <c r="D112" s="153"/>
      <c r="E112" s="154"/>
      <c r="F112" s="149"/>
      <c r="G112" s="146"/>
      <c r="H112" s="153"/>
      <c r="I112" s="157"/>
      <c r="N112" s="147"/>
    </row>
    <row r="113" spans="1:14" s="156" customFormat="1" hidden="1">
      <c r="A113" s="146"/>
      <c r="B113" s="154" t="s">
        <v>114</v>
      </c>
      <c r="C113" s="146"/>
      <c r="D113" s="153">
        <v>0</v>
      </c>
      <c r="E113" s="154"/>
      <c r="F113" s="149"/>
      <c r="G113" s="146"/>
      <c r="H113" s="153">
        <v>0</v>
      </c>
      <c r="I113" s="157"/>
      <c r="N113" s="147"/>
    </row>
    <row r="114" spans="1:14" s="156" customFormat="1" ht="11.25" thickBot="1">
      <c r="A114" s="146"/>
      <c r="B114" s="146"/>
      <c r="C114" s="146"/>
      <c r="D114" s="155" t="s">
        <v>14</v>
      </c>
      <c r="E114" s="149" t="s">
        <v>13</v>
      </c>
      <c r="F114" s="155" t="s">
        <v>14</v>
      </c>
      <c r="G114" s="155" t="s">
        <v>14</v>
      </c>
      <c r="H114" s="155" t="s">
        <v>14</v>
      </c>
      <c r="I114" s="155" t="s">
        <v>14</v>
      </c>
      <c r="N114" s="147"/>
    </row>
    <row r="115" spans="1:14" s="156" customFormat="1" ht="11.25" thickBot="1">
      <c r="A115" s="146" t="s">
        <v>37</v>
      </c>
      <c r="B115" s="146"/>
      <c r="C115" s="146"/>
      <c r="D115" s="153">
        <v>303218835.23000002</v>
      </c>
      <c r="E115" s="154"/>
      <c r="F115" s="153">
        <v>0</v>
      </c>
      <c r="G115" s="153">
        <v>0</v>
      </c>
      <c r="H115" s="153">
        <v>303218835.23000002</v>
      </c>
      <c r="I115" s="153">
        <v>0</v>
      </c>
      <c r="K115" s="152">
        <v>0</v>
      </c>
      <c r="L115" s="151" t="s">
        <v>40</v>
      </c>
      <c r="M115" s="150">
        <v>0</v>
      </c>
      <c r="N115" s="147"/>
    </row>
    <row r="116" spans="1:14" s="156" customFormat="1">
      <c r="A116" s="146"/>
      <c r="B116" s="146"/>
      <c r="C116" s="146"/>
      <c r="D116" s="158"/>
      <c r="E116" s="154"/>
      <c r="F116" s="154"/>
      <c r="G116" s="154"/>
      <c r="H116" s="154"/>
      <c r="I116" s="154"/>
      <c r="N116" s="147"/>
    </row>
    <row r="117" spans="1:14" s="156" customFormat="1">
      <c r="A117" s="146" t="s">
        <v>43</v>
      </c>
      <c r="B117" s="146"/>
      <c r="C117" s="146"/>
      <c r="D117" s="158"/>
      <c r="E117" s="154"/>
      <c r="F117" s="154"/>
      <c r="G117" s="154"/>
      <c r="H117" s="154"/>
      <c r="I117" s="154"/>
      <c r="N117" s="147"/>
    </row>
    <row r="118" spans="1:14" s="156" customFormat="1">
      <c r="A118" s="146"/>
      <c r="B118" s="154" t="s">
        <v>97</v>
      </c>
      <c r="C118" s="146"/>
      <c r="D118" s="153">
        <v>0</v>
      </c>
      <c r="E118" s="154"/>
      <c r="F118" s="149"/>
      <c r="G118" s="146"/>
      <c r="H118" s="153">
        <v>0</v>
      </c>
      <c r="I118" s="157"/>
      <c r="N118" s="147"/>
    </row>
    <row r="119" spans="1:14">
      <c r="D119" s="155" t="s">
        <v>14</v>
      </c>
      <c r="E119" s="149" t="s">
        <v>13</v>
      </c>
      <c r="F119" s="155" t="s">
        <v>14</v>
      </c>
      <c r="G119" s="155" t="s">
        <v>14</v>
      </c>
      <c r="H119" s="155" t="s">
        <v>14</v>
      </c>
      <c r="I119" s="155" t="s">
        <v>14</v>
      </c>
    </row>
    <row r="120" spans="1:14">
      <c r="A120" s="146" t="s">
        <v>44</v>
      </c>
      <c r="D120" s="153">
        <v>0</v>
      </c>
      <c r="E120" s="154"/>
      <c r="F120" s="153">
        <v>0</v>
      </c>
      <c r="G120" s="153">
        <v>0</v>
      </c>
      <c r="H120" s="153">
        <v>0</v>
      </c>
      <c r="I120" s="153">
        <v>0</v>
      </c>
    </row>
    <row r="121" spans="1:14" ht="11.25" thickBot="1">
      <c r="D121" s="148" t="s">
        <v>38</v>
      </c>
      <c r="E121" s="149" t="s">
        <v>13</v>
      </c>
      <c r="F121" s="148" t="s">
        <v>38</v>
      </c>
      <c r="G121" s="148" t="s">
        <v>38</v>
      </c>
      <c r="H121" s="148" t="s">
        <v>38</v>
      </c>
      <c r="I121" s="148" t="s">
        <v>38</v>
      </c>
    </row>
    <row r="122" spans="1:14" ht="11.25" thickBot="1">
      <c r="A122" s="146" t="s">
        <v>39</v>
      </c>
      <c r="D122" s="153">
        <v>580642562.85000002</v>
      </c>
      <c r="E122" s="154" t="s">
        <v>13</v>
      </c>
      <c r="F122" s="153">
        <v>14564456.737641495</v>
      </c>
      <c r="G122" s="153">
        <v>12377848.49156395</v>
      </c>
      <c r="H122" s="153">
        <v>303218835.23000002</v>
      </c>
      <c r="I122" s="153">
        <v>250481422.39079458</v>
      </c>
      <c r="K122" s="152">
        <v>0</v>
      </c>
      <c r="L122" s="151" t="s">
        <v>40</v>
      </c>
      <c r="M122" s="150">
        <v>0</v>
      </c>
    </row>
    <row r="123" spans="1:14">
      <c r="D123" s="148" t="s">
        <v>38</v>
      </c>
      <c r="E123" s="149" t="s">
        <v>13</v>
      </c>
      <c r="F123" s="148" t="s">
        <v>38</v>
      </c>
      <c r="G123" s="148" t="s">
        <v>38</v>
      </c>
      <c r="H123" s="148" t="s">
        <v>38</v>
      </c>
      <c r="I123" s="148" t="s">
        <v>38</v>
      </c>
    </row>
  </sheetData>
  <mergeCells count="1">
    <mergeCell ref="A4:C4"/>
  </mergeCells>
  <pageMargins left="0.65" right="0.72" top="1" bottom="1" header="0.5" footer="0.5"/>
  <pageSetup scale="70" orientation="portrait" r:id="rId1"/>
  <headerFooter alignWithMargins="0">
    <oddHeader>&amp;L&amp;"Arial,Regular"&amp;10WA UE-130043
Bench Request 9&amp;R&amp;"Arial,Bold"&amp;10Attachment Bench Request 9</oddHeader>
    <oddFooter>&amp;L&amp;"Arial,Regular"&amp;10&amp;F&amp;C&amp;A</oddFooter>
  </headerFooter>
  <rowBreaks count="1" manualBreakCount="1">
    <brk id="71" max="8" man="1"/>
  </rowBreaks>
  <colBreaks count="1" manualBreakCount="1">
    <brk id="9" max="1048575" man="1"/>
  </col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K50"/>
  <sheetViews>
    <sheetView view="pageBreakPreview" topLeftCell="A2" zoomScale="85" zoomScaleNormal="100" zoomScaleSheetLayoutView="85" workbookViewId="0">
      <selection activeCell="T91" sqref="T91"/>
    </sheetView>
  </sheetViews>
  <sheetFormatPr defaultRowHeight="12.75"/>
  <cols>
    <col min="1" max="1" width="4.83203125" style="275" customWidth="1"/>
    <col min="2" max="2" width="8" style="275" customWidth="1"/>
    <col min="3" max="3" width="32.83203125" style="275" customWidth="1"/>
    <col min="4" max="4" width="12.33203125" style="275" customWidth="1"/>
    <col min="5" max="5" width="9.33203125" style="276"/>
    <col min="6" max="6" width="17" style="106" customWidth="1"/>
    <col min="7" max="7" width="9.33203125" style="276"/>
    <col min="8" max="8" width="12" style="276" bestFit="1" customWidth="1"/>
    <col min="9" max="9" width="15.33203125" style="276" bestFit="1" customWidth="1"/>
    <col min="10" max="16384" width="9.33203125" style="275"/>
  </cols>
  <sheetData>
    <row r="1" spans="1:10">
      <c r="A1" s="274" t="s">
        <v>118</v>
      </c>
      <c r="B1" s="274"/>
      <c r="I1" s="277" t="s">
        <v>272</v>
      </c>
      <c r="J1" s="296" t="s">
        <v>292</v>
      </c>
    </row>
    <row r="2" spans="1:10">
      <c r="A2" s="274" t="s">
        <v>255</v>
      </c>
      <c r="B2" s="274"/>
    </row>
    <row r="3" spans="1:10">
      <c r="A3" s="274" t="s">
        <v>315</v>
      </c>
      <c r="B3" s="274"/>
    </row>
    <row r="5" spans="1:10">
      <c r="F5" s="105" t="s">
        <v>274</v>
      </c>
      <c r="I5" s="276" t="s">
        <v>126</v>
      </c>
    </row>
    <row r="6" spans="1:10" ht="15">
      <c r="D6" s="279" t="s">
        <v>275</v>
      </c>
      <c r="E6" s="279" t="s">
        <v>276</v>
      </c>
      <c r="F6" s="280" t="s">
        <v>277</v>
      </c>
      <c r="G6" s="279" t="s">
        <v>278</v>
      </c>
      <c r="H6" s="279" t="s">
        <v>134</v>
      </c>
      <c r="I6" s="279" t="s">
        <v>279</v>
      </c>
      <c r="J6" s="279" t="s">
        <v>280</v>
      </c>
    </row>
    <row r="7" spans="1:10" ht="15">
      <c r="B7" s="274" t="s">
        <v>281</v>
      </c>
      <c r="C7" s="281"/>
      <c r="D7" s="279"/>
      <c r="E7" s="279"/>
      <c r="F7" s="280"/>
      <c r="G7" s="279"/>
      <c r="H7" s="279"/>
      <c r="I7" s="279"/>
      <c r="J7" s="279"/>
    </row>
    <row r="8" spans="1:10" ht="15">
      <c r="B8" s="274"/>
      <c r="C8" s="281"/>
      <c r="D8" s="279"/>
      <c r="E8" s="279"/>
      <c r="F8" s="280"/>
      <c r="G8" s="279"/>
      <c r="H8" s="279"/>
      <c r="I8" s="279"/>
      <c r="J8" s="279"/>
    </row>
    <row r="9" spans="1:10">
      <c r="B9" s="274" t="s">
        <v>137</v>
      </c>
      <c r="C9" s="281"/>
    </row>
    <row r="10" spans="1:10">
      <c r="B10" s="281" t="s">
        <v>138</v>
      </c>
      <c r="C10" s="281"/>
      <c r="D10" s="282" t="s">
        <v>139</v>
      </c>
      <c r="E10" s="283" t="s">
        <v>286</v>
      </c>
      <c r="F10" s="106">
        <f>'9.1 - Summary '!AF15</f>
        <v>0</v>
      </c>
      <c r="G10" s="276" t="s">
        <v>140</v>
      </c>
      <c r="H10" s="284">
        <v>0.2262649010137</v>
      </c>
      <c r="I10" s="276">
        <f>F10*H10</f>
        <v>0</v>
      </c>
      <c r="J10" s="276"/>
    </row>
    <row r="11" spans="1:10">
      <c r="B11" s="281" t="s">
        <v>141</v>
      </c>
      <c r="C11" s="281"/>
      <c r="D11" s="282" t="s">
        <v>139</v>
      </c>
      <c r="E11" s="283" t="s">
        <v>286</v>
      </c>
      <c r="F11" s="106">
        <f>'9.1 - Summary '!AF16</f>
        <v>307001.03999999911</v>
      </c>
      <c r="G11" s="276" t="s">
        <v>140</v>
      </c>
      <c r="H11" s="284">
        <v>0.2262649010137</v>
      </c>
      <c r="I11" s="276">
        <f t="shared" ref="I11:I12" si="0">F11*H11</f>
        <v>69463.559926702757</v>
      </c>
      <c r="J11" s="276"/>
    </row>
    <row r="12" spans="1:10">
      <c r="B12" s="281" t="s">
        <v>142</v>
      </c>
      <c r="C12" s="281"/>
      <c r="D12" s="282" t="s">
        <v>139</v>
      </c>
      <c r="E12" s="283" t="s">
        <v>286</v>
      </c>
      <c r="F12" s="106">
        <f>'9.1 - Summary '!AF17</f>
        <v>0</v>
      </c>
      <c r="G12" s="276" t="s">
        <v>143</v>
      </c>
      <c r="H12" s="284">
        <v>0.22648067236840891</v>
      </c>
      <c r="I12" s="276">
        <f t="shared" si="0"/>
        <v>0</v>
      </c>
    </row>
    <row r="13" spans="1:10">
      <c r="B13" s="281" t="s">
        <v>144</v>
      </c>
      <c r="C13" s="281"/>
      <c r="D13" s="282"/>
      <c r="E13" s="283"/>
      <c r="F13" s="285">
        <f>SUM(F10:F12)</f>
        <v>307001.03999999911</v>
      </c>
      <c r="H13" s="284"/>
      <c r="I13" s="285">
        <f>SUM(I10:I12)</f>
        <v>69463.559926702757</v>
      </c>
      <c r="J13" s="282" t="s">
        <v>335</v>
      </c>
    </row>
    <row r="14" spans="1:10">
      <c r="B14" s="281"/>
      <c r="C14" s="286"/>
      <c r="D14" s="282"/>
      <c r="E14" s="283"/>
      <c r="H14" s="284"/>
    </row>
    <row r="15" spans="1:10">
      <c r="B15" s="274" t="s">
        <v>145</v>
      </c>
      <c r="C15" s="286"/>
      <c r="D15" s="282"/>
      <c r="E15" s="283"/>
      <c r="H15" s="284"/>
    </row>
    <row r="16" spans="1:10">
      <c r="B16" s="281" t="s">
        <v>146</v>
      </c>
      <c r="C16" s="286"/>
      <c r="D16" s="282" t="s">
        <v>147</v>
      </c>
      <c r="E16" s="283" t="s">
        <v>286</v>
      </c>
      <c r="F16" s="106">
        <f>'9.1 - Summary '!AF21</f>
        <v>0</v>
      </c>
      <c r="G16" s="276" t="s">
        <v>140</v>
      </c>
      <c r="H16" s="284">
        <v>0.2262649010137</v>
      </c>
      <c r="I16" s="276">
        <f t="shared" ref="I16:I20" si="1">F16*H16</f>
        <v>0</v>
      </c>
      <c r="J16" s="276"/>
    </row>
    <row r="17" spans="2:10">
      <c r="B17" s="281" t="s">
        <v>148</v>
      </c>
      <c r="C17" s="286"/>
      <c r="D17" s="282" t="s">
        <v>147</v>
      </c>
      <c r="E17" s="283" t="s">
        <v>286</v>
      </c>
      <c r="F17" s="106">
        <f>'9.1 - Summary '!AF22</f>
        <v>0</v>
      </c>
      <c r="G17" s="276" t="s">
        <v>143</v>
      </c>
      <c r="H17" s="284">
        <v>0.22648067236840891</v>
      </c>
      <c r="I17" s="276">
        <f t="shared" si="1"/>
        <v>0</v>
      </c>
      <c r="J17" s="276"/>
    </row>
    <row r="18" spans="2:10">
      <c r="B18" s="281" t="s">
        <v>149</v>
      </c>
      <c r="C18" s="286"/>
      <c r="D18" s="282" t="s">
        <v>147</v>
      </c>
      <c r="E18" s="283" t="s">
        <v>286</v>
      </c>
      <c r="F18" s="106">
        <f>'9.1 - Summary '!AF23</f>
        <v>0</v>
      </c>
      <c r="G18" s="276" t="s">
        <v>140</v>
      </c>
      <c r="H18" s="284">
        <v>0.2262649010137</v>
      </c>
      <c r="I18" s="276">
        <f t="shared" si="1"/>
        <v>0</v>
      </c>
      <c r="J18" s="276"/>
    </row>
    <row r="19" spans="2:10">
      <c r="B19" s="281" t="s">
        <v>150</v>
      </c>
      <c r="C19" s="286"/>
      <c r="D19" s="282" t="s">
        <v>147</v>
      </c>
      <c r="E19" s="283" t="s">
        <v>286</v>
      </c>
      <c r="F19" s="106">
        <f>'9.1 - Summary '!AF24</f>
        <v>-2882245.6800000072</v>
      </c>
      <c r="G19" s="276" t="s">
        <v>140</v>
      </c>
      <c r="H19" s="284">
        <v>0.2262649010137</v>
      </c>
      <c r="I19" s="276">
        <f t="shared" si="1"/>
        <v>-652151.03348236613</v>
      </c>
      <c r="J19" s="276"/>
    </row>
    <row r="20" spans="2:10">
      <c r="B20" s="281" t="s">
        <v>151</v>
      </c>
      <c r="C20" s="281"/>
      <c r="D20" s="282" t="s">
        <v>147</v>
      </c>
      <c r="E20" s="283" t="s">
        <v>286</v>
      </c>
      <c r="F20" s="106">
        <f>'9.1 - Summary '!AF25</f>
        <v>0</v>
      </c>
      <c r="G20" s="276" t="s">
        <v>140</v>
      </c>
      <c r="H20" s="284">
        <v>0.2262649010137</v>
      </c>
      <c r="I20" s="276">
        <f t="shared" si="1"/>
        <v>0</v>
      </c>
    </row>
    <row r="21" spans="2:10">
      <c r="B21" s="281" t="s">
        <v>152</v>
      </c>
      <c r="C21" s="281"/>
      <c r="D21" s="282"/>
      <c r="E21" s="283"/>
      <c r="F21" s="285">
        <f>SUM(F16:F20)</f>
        <v>-2882245.6800000072</v>
      </c>
      <c r="H21" s="284"/>
      <c r="I21" s="285">
        <f>SUM(I16:I20)</f>
        <v>-652151.03348236613</v>
      </c>
      <c r="J21" s="282" t="s">
        <v>335</v>
      </c>
    </row>
    <row r="22" spans="2:10">
      <c r="B22" s="281"/>
      <c r="C22" s="281"/>
      <c r="D22" s="282"/>
      <c r="E22" s="283"/>
      <c r="H22" s="284"/>
    </row>
    <row r="23" spans="2:10">
      <c r="B23" s="274" t="s">
        <v>153</v>
      </c>
      <c r="C23" s="281"/>
      <c r="D23" s="282"/>
      <c r="E23" s="283"/>
      <c r="H23" s="284"/>
      <c r="J23" s="276"/>
    </row>
    <row r="24" spans="2:10">
      <c r="B24" s="281" t="s">
        <v>154</v>
      </c>
      <c r="C24" s="281"/>
      <c r="D24" s="282" t="s">
        <v>155</v>
      </c>
      <c r="E24" s="283" t="s">
        <v>286</v>
      </c>
      <c r="F24" s="106">
        <f>'9.1 - Summary '!AF29</f>
        <v>0</v>
      </c>
      <c r="G24" s="276" t="s">
        <v>140</v>
      </c>
      <c r="H24" s="284">
        <v>0.2262649010137</v>
      </c>
      <c r="I24" s="276">
        <f t="shared" ref="I24:I26" si="2">F24*H24</f>
        <v>0</v>
      </c>
      <c r="J24" s="276"/>
    </row>
    <row r="25" spans="2:10">
      <c r="B25" s="281" t="s">
        <v>156</v>
      </c>
      <c r="C25" s="286"/>
      <c r="D25" s="282" t="s">
        <v>155</v>
      </c>
      <c r="E25" s="283" t="s">
        <v>286</v>
      </c>
      <c r="F25" s="106">
        <f>'9.1 - Summary '!AF30</f>
        <v>0</v>
      </c>
      <c r="G25" s="276" t="s">
        <v>140</v>
      </c>
      <c r="H25" s="284">
        <v>0.2262649010137</v>
      </c>
      <c r="I25" s="276">
        <f t="shared" si="2"/>
        <v>0</v>
      </c>
      <c r="J25" s="276"/>
    </row>
    <row r="26" spans="2:10">
      <c r="B26" s="281" t="s">
        <v>157</v>
      </c>
      <c r="C26" s="286"/>
      <c r="D26" s="282" t="s">
        <v>155</v>
      </c>
      <c r="E26" s="283" t="s">
        <v>286</v>
      </c>
      <c r="F26" s="106">
        <f>'9.1 - Summary '!AF31</f>
        <v>0</v>
      </c>
      <c r="G26" s="276" t="s">
        <v>143</v>
      </c>
      <c r="H26" s="284">
        <v>0.22648067236840891</v>
      </c>
      <c r="I26" s="276">
        <f t="shared" si="2"/>
        <v>0</v>
      </c>
      <c r="J26" s="276"/>
    </row>
    <row r="27" spans="2:10">
      <c r="B27" s="281" t="s">
        <v>158</v>
      </c>
      <c r="C27" s="281"/>
      <c r="D27" s="282"/>
      <c r="E27" s="283"/>
      <c r="F27" s="285">
        <f>SUM(F24:F26)</f>
        <v>0</v>
      </c>
      <c r="H27" s="284"/>
      <c r="I27" s="285">
        <f>SUM(I24:I26)</f>
        <v>0</v>
      </c>
      <c r="J27" s="282" t="s">
        <v>335</v>
      </c>
    </row>
    <row r="28" spans="2:10">
      <c r="B28" s="281"/>
      <c r="C28" s="281"/>
      <c r="D28" s="282"/>
      <c r="E28" s="283"/>
      <c r="H28" s="284"/>
    </row>
    <row r="29" spans="2:10">
      <c r="B29" s="274" t="s">
        <v>159</v>
      </c>
      <c r="C29" s="274"/>
      <c r="D29" s="282"/>
      <c r="E29" s="283"/>
      <c r="H29" s="284"/>
      <c r="J29" s="276"/>
    </row>
    <row r="30" spans="2:10">
      <c r="B30" s="281" t="s">
        <v>160</v>
      </c>
      <c r="C30" s="274"/>
      <c r="D30" s="282" t="s">
        <v>161</v>
      </c>
      <c r="E30" s="283" t="s">
        <v>286</v>
      </c>
      <c r="F30" s="106">
        <f>'9.1 - Summary '!AF35</f>
        <v>889101.78000000119</v>
      </c>
      <c r="G30" s="276" t="s">
        <v>143</v>
      </c>
      <c r="H30" s="284">
        <v>0.22648067236840891</v>
      </c>
      <c r="I30" s="276">
        <f t="shared" ref="I30:I31" si="3">F30*H30</f>
        <v>201364.36893834945</v>
      </c>
      <c r="J30" s="276"/>
    </row>
    <row r="31" spans="2:10">
      <c r="B31" s="281" t="s">
        <v>162</v>
      </c>
      <c r="C31" s="274"/>
      <c r="D31" s="282" t="s">
        <v>163</v>
      </c>
      <c r="E31" s="283" t="s">
        <v>286</v>
      </c>
      <c r="F31" s="106">
        <f>'9.1 - Summary '!AF36</f>
        <v>525745.62999999523</v>
      </c>
      <c r="G31" s="276" t="s">
        <v>143</v>
      </c>
      <c r="H31" s="284">
        <v>0.22648067236840891</v>
      </c>
      <c r="I31" s="276">
        <f t="shared" si="3"/>
        <v>119071.22377715165</v>
      </c>
    </row>
    <row r="32" spans="2:10">
      <c r="B32" s="281" t="s">
        <v>164</v>
      </c>
      <c r="C32" s="274"/>
      <c r="D32" s="282"/>
      <c r="E32" s="283"/>
      <c r="F32" s="285">
        <f>SUM(F30:F31)</f>
        <v>1414847.4099999964</v>
      </c>
      <c r="H32" s="287"/>
      <c r="I32" s="285">
        <f>SUM(I30:I31)</f>
        <v>320435.59271550109</v>
      </c>
      <c r="J32" s="282" t="s">
        <v>335</v>
      </c>
    </row>
    <row r="33" spans="1:11">
      <c r="B33" s="291"/>
      <c r="C33" s="274"/>
      <c r="D33" s="282"/>
      <c r="E33" s="283"/>
      <c r="H33" s="287"/>
      <c r="I33" s="106"/>
      <c r="J33" s="276"/>
    </row>
    <row r="34" spans="1:11">
      <c r="B34" s="288" t="s">
        <v>284</v>
      </c>
      <c r="C34" s="274"/>
      <c r="D34" s="282"/>
      <c r="E34" s="283"/>
      <c r="F34" s="285">
        <f>-F13+F21+F27+F32</f>
        <v>-1774399.3100000098</v>
      </c>
      <c r="H34" s="287"/>
      <c r="I34" s="285">
        <f>-I13+I21+I27+I32</f>
        <v>-401179.0006935678</v>
      </c>
      <c r="J34" s="276"/>
    </row>
    <row r="35" spans="1:11">
      <c r="C35" s="274"/>
      <c r="F35" s="289"/>
      <c r="J35" s="276"/>
    </row>
    <row r="36" spans="1:11">
      <c r="C36" s="274"/>
      <c r="F36" s="289"/>
      <c r="J36" s="276"/>
    </row>
    <row r="37" spans="1:11">
      <c r="C37" s="274"/>
      <c r="F37" s="289"/>
      <c r="J37" s="276"/>
    </row>
    <row r="42" spans="1:11" ht="13.5" thickBot="1">
      <c r="B42" s="290" t="s">
        <v>283</v>
      </c>
    </row>
    <row r="43" spans="1:11" ht="12.75" customHeight="1">
      <c r="A43" s="359" t="s">
        <v>419</v>
      </c>
      <c r="B43" s="360"/>
      <c r="C43" s="360"/>
      <c r="D43" s="360"/>
      <c r="E43" s="360"/>
      <c r="F43" s="360"/>
      <c r="G43" s="360"/>
      <c r="H43" s="360"/>
      <c r="I43" s="360"/>
      <c r="J43" s="361"/>
      <c r="K43" s="292"/>
    </row>
    <row r="44" spans="1:11">
      <c r="A44" s="362"/>
      <c r="B44" s="363"/>
      <c r="C44" s="363"/>
      <c r="D44" s="363"/>
      <c r="E44" s="363"/>
      <c r="F44" s="363"/>
      <c r="G44" s="363"/>
      <c r="H44" s="363"/>
      <c r="I44" s="363"/>
      <c r="J44" s="364"/>
      <c r="K44" s="292"/>
    </row>
    <row r="45" spans="1:11">
      <c r="A45" s="362"/>
      <c r="B45" s="363"/>
      <c r="C45" s="363"/>
      <c r="D45" s="363"/>
      <c r="E45" s="363"/>
      <c r="F45" s="363"/>
      <c r="G45" s="363"/>
      <c r="H45" s="363"/>
      <c r="I45" s="363"/>
      <c r="J45" s="364"/>
      <c r="K45" s="292"/>
    </row>
    <row r="46" spans="1:11">
      <c r="A46" s="362"/>
      <c r="B46" s="363"/>
      <c r="C46" s="363"/>
      <c r="D46" s="363"/>
      <c r="E46" s="363"/>
      <c r="F46" s="363"/>
      <c r="G46" s="363"/>
      <c r="H46" s="363"/>
      <c r="I46" s="363"/>
      <c r="J46" s="364"/>
      <c r="K46" s="292"/>
    </row>
    <row r="47" spans="1:11">
      <c r="A47" s="362"/>
      <c r="B47" s="363"/>
      <c r="C47" s="363"/>
      <c r="D47" s="363"/>
      <c r="E47" s="363"/>
      <c r="F47" s="363"/>
      <c r="G47" s="363"/>
      <c r="H47" s="363"/>
      <c r="I47" s="363"/>
      <c r="J47" s="364"/>
      <c r="K47" s="292"/>
    </row>
    <row r="48" spans="1:11">
      <c r="A48" s="362"/>
      <c r="B48" s="363"/>
      <c r="C48" s="363"/>
      <c r="D48" s="363"/>
      <c r="E48" s="363"/>
      <c r="F48" s="363"/>
      <c r="G48" s="363"/>
      <c r="H48" s="363"/>
      <c r="I48" s="363"/>
      <c r="J48" s="364"/>
      <c r="K48" s="292"/>
    </row>
    <row r="49" spans="1:11">
      <c r="A49" s="362"/>
      <c r="B49" s="363"/>
      <c r="C49" s="363"/>
      <c r="D49" s="363"/>
      <c r="E49" s="363"/>
      <c r="F49" s="363"/>
      <c r="G49" s="363"/>
      <c r="H49" s="363"/>
      <c r="I49" s="363"/>
      <c r="J49" s="364"/>
      <c r="K49" s="292"/>
    </row>
    <row r="50" spans="1:11" ht="13.5" thickBot="1">
      <c r="A50" s="365"/>
      <c r="B50" s="366"/>
      <c r="C50" s="366"/>
      <c r="D50" s="366"/>
      <c r="E50" s="366"/>
      <c r="F50" s="366"/>
      <c r="G50" s="366"/>
      <c r="H50" s="366"/>
      <c r="I50" s="366"/>
      <c r="J50" s="367"/>
      <c r="K50" s="292"/>
    </row>
  </sheetData>
  <mergeCells count="1">
    <mergeCell ref="A43:J50"/>
  </mergeCells>
  <conditionalFormatting sqref="B9:B26">
    <cfRule type="cellIs" dxfId="53" priority="3" stopIfTrue="1" operator="equal">
      <formula>"Adjustment to Income/Expense/Rate Base:"</formula>
    </cfRule>
  </conditionalFormatting>
  <conditionalFormatting sqref="B20:B22">
    <cfRule type="cellIs" dxfId="52" priority="2" stopIfTrue="1" operator="equal">
      <formula>"Title"</formula>
    </cfRule>
  </conditionalFormatting>
  <conditionalFormatting sqref="B27:B34">
    <cfRule type="cellIs" dxfId="51" priority="1" stopIfTrue="1" operator="equal">
      <formula>"Adjustment to Income/Expense/Rate Base:"</formula>
    </cfRule>
  </conditionalFormatting>
  <pageMargins left="0.65" right="0.72" top="1" bottom="1" header="0.5" footer="0.5"/>
  <pageSetup scale="77" orientation="portrait" r:id="rId1"/>
  <headerFooter alignWithMargins="0">
    <oddHeader>&amp;L&amp;"Arial,Regular"&amp;10WA UE-130043
Bench Request 9&amp;R&amp;"Arial,Bold"&amp;10Attachment Bench Request 9</oddHeader>
    <oddFooter>&amp;L&amp;"Arial,Regular"&amp;10&amp;F&amp;C&amp;A</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S123"/>
  <sheetViews>
    <sheetView view="pageBreakPreview" zoomScale="85" zoomScaleNormal="85" zoomScaleSheetLayoutView="85" workbookViewId="0">
      <pane xSplit="3" ySplit="6" topLeftCell="D10" activePane="bottomRight" state="frozen"/>
      <selection activeCell="T91" sqref="T91"/>
      <selection pane="topRight" activeCell="T91" sqref="T91"/>
      <selection pane="bottomLeft" activeCell="T91" sqref="T91"/>
      <selection pane="bottomRight" activeCell="T91" sqref="T91"/>
    </sheetView>
  </sheetViews>
  <sheetFormatPr defaultColWidth="11" defaultRowHeight="10.5"/>
  <cols>
    <col min="1" max="1" width="3" style="3" customWidth="1"/>
    <col min="2" max="2" width="2.6640625" style="3" customWidth="1"/>
    <col min="3" max="3" width="33.1640625" style="3" customWidth="1"/>
    <col min="4" max="4" width="13.83203125" style="3" customWidth="1"/>
    <col min="5" max="5" width="2.33203125" style="3" customWidth="1"/>
    <col min="6" max="6" width="15.83203125" style="3" customWidth="1"/>
    <col min="7" max="8" width="13.33203125" style="3" bestFit="1" customWidth="1"/>
    <col min="9" max="9" width="13.83203125" style="3" bestFit="1" customWidth="1"/>
    <col min="10" max="10" width="11" style="3" customWidth="1"/>
    <col min="11" max="11" width="14.5" style="3" customWidth="1"/>
    <col min="12" max="12" width="11" style="3" customWidth="1"/>
    <col min="13" max="13" width="14.1640625" style="3" bestFit="1" customWidth="1"/>
    <col min="14" max="14" width="20.1640625" style="27" bestFit="1" customWidth="1"/>
    <col min="15" max="15" width="15" style="3" bestFit="1" customWidth="1"/>
    <col min="16" max="16" width="14.6640625" style="3" bestFit="1" customWidth="1"/>
    <col min="17" max="16384" width="11" style="3"/>
  </cols>
  <sheetData>
    <row r="1" spans="1:14">
      <c r="A1" s="4" t="s">
        <v>118</v>
      </c>
      <c r="D1"/>
      <c r="E1" s="9"/>
      <c r="F1" s="8" t="s">
        <v>42</v>
      </c>
    </row>
    <row r="2" spans="1:14">
      <c r="A2" s="20"/>
      <c r="D2"/>
      <c r="E2" s="9"/>
      <c r="F2" s="9" t="s">
        <v>0</v>
      </c>
      <c r="K2" s="50"/>
    </row>
    <row r="3" spans="1:14">
      <c r="A3" s="5" t="s">
        <v>52</v>
      </c>
      <c r="D3" s="10"/>
      <c r="E3" s="10"/>
      <c r="F3" s="8" t="s">
        <v>1</v>
      </c>
    </row>
    <row r="4" spans="1:14">
      <c r="A4" s="358">
        <v>41974</v>
      </c>
      <c r="B4" s="358"/>
      <c r="C4" s="358"/>
      <c r="D4" s="10"/>
      <c r="E4" s="10"/>
      <c r="F4" s="9"/>
    </row>
    <row r="5" spans="1:14">
      <c r="B5" s="5"/>
      <c r="D5" s="11" t="s">
        <v>2</v>
      </c>
      <c r="E5" s="11"/>
      <c r="F5" s="12" t="s">
        <v>3</v>
      </c>
      <c r="G5" s="12" t="s">
        <v>3</v>
      </c>
      <c r="H5" s="12"/>
      <c r="I5" s="12"/>
    </row>
    <row r="6" spans="1:14" s="11" customFormat="1">
      <c r="A6" s="3"/>
      <c r="B6" s="3"/>
      <c r="C6" s="3"/>
      <c r="D6" s="41" t="s">
        <v>117</v>
      </c>
      <c r="E6" s="15"/>
      <c r="F6" s="13" t="s">
        <v>4</v>
      </c>
      <c r="G6" s="13" t="s">
        <v>5</v>
      </c>
      <c r="H6" s="13" t="s">
        <v>6</v>
      </c>
      <c r="I6" s="13" t="s">
        <v>7</v>
      </c>
      <c r="N6" s="28"/>
    </row>
    <row r="7" spans="1:14">
      <c r="A7" s="3" t="s">
        <v>8</v>
      </c>
      <c r="F7" s="6"/>
      <c r="G7" s="6"/>
      <c r="H7" s="6"/>
      <c r="I7" s="6"/>
    </row>
    <row r="8" spans="1:14">
      <c r="B8" t="s">
        <v>9</v>
      </c>
      <c r="D8" s="26">
        <v>12964800</v>
      </c>
      <c r="E8" s="16"/>
      <c r="F8" s="26">
        <f>D8</f>
        <v>12964800</v>
      </c>
      <c r="G8"/>
      <c r="H8"/>
      <c r="I8"/>
    </row>
    <row r="9" spans="1:14" hidden="1">
      <c r="B9"/>
      <c r="D9" s="16"/>
      <c r="E9" s="16"/>
      <c r="F9" s="1"/>
      <c r="G9" s="6"/>
      <c r="H9" s="6"/>
      <c r="I9" s="6"/>
    </row>
    <row r="10" spans="1:14">
      <c r="B10" t="s">
        <v>10</v>
      </c>
      <c r="D10" s="26">
        <v>61170807.789999999</v>
      </c>
      <c r="E10" s="16"/>
      <c r="F10" s="1"/>
      <c r="G10" s="6"/>
      <c r="H10" s="6"/>
      <c r="I10" s="26">
        <f>D10</f>
        <v>61170807.789999999</v>
      </c>
    </row>
    <row r="11" spans="1:14" hidden="1">
      <c r="B11"/>
      <c r="D11" s="16"/>
      <c r="E11" s="16"/>
      <c r="F11" s="1"/>
      <c r="G11" s="6"/>
      <c r="H11" s="6"/>
      <c r="I11" s="6"/>
    </row>
    <row r="12" spans="1:14" hidden="1">
      <c r="B12" t="s">
        <v>11</v>
      </c>
      <c r="D12" s="26">
        <v>0</v>
      </c>
      <c r="E12" s="16"/>
      <c r="F12" s="26">
        <f>D12</f>
        <v>0</v>
      </c>
      <c r="G12" s="6"/>
      <c r="H12" s="6"/>
      <c r="I12" s="6"/>
    </row>
    <row r="13" spans="1:14" hidden="1">
      <c r="C13"/>
      <c r="D13" s="16"/>
      <c r="E13" s="16"/>
      <c r="F13" s="6"/>
      <c r="G13" s="6"/>
      <c r="H13" s="6"/>
      <c r="I13" s="6"/>
    </row>
    <row r="14" spans="1:14" hidden="1">
      <c r="B14" s="3" t="s">
        <v>12</v>
      </c>
      <c r="C14"/>
      <c r="D14" s="26">
        <v>0</v>
      </c>
      <c r="E14" s="16"/>
      <c r="F14" s="6"/>
      <c r="G14" s="6"/>
      <c r="H14" s="26">
        <f>D14</f>
        <v>0</v>
      </c>
      <c r="I14" s="6"/>
    </row>
    <row r="15" spans="1:14" ht="11.25" thickBot="1">
      <c r="D15" s="11" t="s">
        <v>14</v>
      </c>
      <c r="E15" s="14" t="s">
        <v>13</v>
      </c>
      <c r="F15" s="11" t="s">
        <v>14</v>
      </c>
      <c r="G15" s="11" t="s">
        <v>14</v>
      </c>
      <c r="H15" s="11" t="s">
        <v>14</v>
      </c>
      <c r="I15" s="11" t="s">
        <v>14</v>
      </c>
    </row>
    <row r="16" spans="1:14" ht="11.25" thickBot="1">
      <c r="A16" s="3" t="s">
        <v>15</v>
      </c>
      <c r="D16" s="26">
        <f>SUM(D8:D14)</f>
        <v>74135607.789999992</v>
      </c>
      <c r="E16" s="16"/>
      <c r="F16" s="26">
        <f>SUM(F8:F14)</f>
        <v>12964800</v>
      </c>
      <c r="G16" s="26">
        <f>SUM(G8:G14)</f>
        <v>0</v>
      </c>
      <c r="H16" s="26">
        <f>SUM(H8:H14)</f>
        <v>0</v>
      </c>
      <c r="I16" s="26">
        <f>SUM(I8:I14)</f>
        <v>61170807.789999999</v>
      </c>
      <c r="K16" s="36">
        <v>0</v>
      </c>
      <c r="L16" s="24" t="s">
        <v>40</v>
      </c>
      <c r="M16" s="37">
        <f>D16-SUM(F16:I16)</f>
        <v>0</v>
      </c>
    </row>
    <row r="17" spans="1:19">
      <c r="D17" s="16"/>
      <c r="E17" s="16"/>
      <c r="F17" s="16"/>
      <c r="G17" s="16"/>
      <c r="H17" s="16"/>
      <c r="I17" s="16"/>
      <c r="P17" s="8" t="s">
        <v>67</v>
      </c>
    </row>
    <row r="18" spans="1:19">
      <c r="D18"/>
      <c r="E18" s="6"/>
      <c r="F18" s="6"/>
      <c r="G18" s="6"/>
      <c r="H18" s="6"/>
      <c r="I18" s="6"/>
      <c r="N18" s="39"/>
      <c r="O18" s="35"/>
      <c r="P18" s="48">
        <f>+A4</f>
        <v>41974</v>
      </c>
    </row>
    <row r="19" spans="1:19" ht="11.25">
      <c r="A19" s="3" t="s">
        <v>16</v>
      </c>
      <c r="D19" s="16"/>
      <c r="E19" s="16"/>
      <c r="F19" s="45"/>
      <c r="G19" s="6"/>
      <c r="H19" s="6"/>
      <c r="I19" s="6"/>
      <c r="N19" s="29" t="s">
        <v>56</v>
      </c>
      <c r="O19" s="42">
        <v>0.42634034956164213</v>
      </c>
      <c r="P19" s="16">
        <v>14785516.07</v>
      </c>
      <c r="Q19" s="44"/>
      <c r="R19" s="30"/>
      <c r="S19" s="16"/>
    </row>
    <row r="20" spans="1:19" ht="11.25" hidden="1">
      <c r="B20"/>
      <c r="C20" s="3" t="s">
        <v>17</v>
      </c>
      <c r="D20" s="26">
        <v>0</v>
      </c>
      <c r="E20" s="16"/>
      <c r="F20" s="26">
        <f>D20</f>
        <v>0</v>
      </c>
      <c r="G20" s="6"/>
      <c r="H20" s="6"/>
      <c r="I20" s="6"/>
      <c r="N20" s="29" t="s">
        <v>58</v>
      </c>
      <c r="O20" s="42">
        <f>1-O19</f>
        <v>0.57365965043835787</v>
      </c>
      <c r="P20" s="16">
        <v>19894560.739999998</v>
      </c>
      <c r="Q20" s="44"/>
      <c r="R20" s="30"/>
      <c r="S20" s="16"/>
    </row>
    <row r="21" spans="1:19" ht="11.25" hidden="1">
      <c r="B21"/>
      <c r="C21" s="3" t="s">
        <v>18</v>
      </c>
      <c r="D21" s="26">
        <v>0</v>
      </c>
      <c r="E21" s="16"/>
      <c r="F21" s="26">
        <f>D21-G21</f>
        <v>0</v>
      </c>
      <c r="G21" s="26">
        <v>0</v>
      </c>
      <c r="H21" s="6"/>
      <c r="I21" s="6"/>
      <c r="N21" s="29" t="s">
        <v>57</v>
      </c>
      <c r="O21" s="42">
        <f>IFERROR(P21/(P21+P22),0)</f>
        <v>0</v>
      </c>
      <c r="P21" s="16">
        <v>0</v>
      </c>
      <c r="Q21" s="44"/>
      <c r="R21" s="30"/>
      <c r="S21" s="16"/>
    </row>
    <row r="22" spans="1:19" ht="11.25">
      <c r="B22"/>
      <c r="C22" s="3" t="s">
        <v>19</v>
      </c>
      <c r="D22" s="26">
        <v>-148246.80999999959</v>
      </c>
      <c r="E22" s="16"/>
      <c r="F22" s="26">
        <f>D22*0.3</f>
        <v>-44474.042999999874</v>
      </c>
      <c r="G22" s="26">
        <f>D22*0.7</f>
        <v>-103772.7669999997</v>
      </c>
      <c r="H22" s="6"/>
      <c r="I22" s="6"/>
      <c r="N22" s="29" t="s">
        <v>59</v>
      </c>
      <c r="O22" s="42">
        <f>1-O21</f>
        <v>1</v>
      </c>
      <c r="P22" s="16">
        <v>0</v>
      </c>
      <c r="Q22" s="44"/>
      <c r="R22" s="30"/>
      <c r="S22" s="16"/>
    </row>
    <row r="23" spans="1:19">
      <c r="B23"/>
      <c r="C23" s="3" t="s">
        <v>20</v>
      </c>
      <c r="D23" s="26">
        <v>270000</v>
      </c>
      <c r="E23" s="16"/>
      <c r="F23" s="26">
        <f>D23*0.2073628</f>
        <v>55987.956000000006</v>
      </c>
      <c r="G23" s="26">
        <f>D23-F23</f>
        <v>214012.04399999999</v>
      </c>
      <c r="H23" s="6"/>
      <c r="I23" s="6"/>
    </row>
    <row r="24" spans="1:19">
      <c r="B24"/>
      <c r="C24" s="3" t="s">
        <v>21</v>
      </c>
      <c r="D24" s="26">
        <f>N27</f>
        <v>76897305.959999993</v>
      </c>
      <c r="E24" s="16"/>
      <c r="F24" s="31">
        <f>(N25+N24*O19)*K24</f>
        <v>2517906.851172646</v>
      </c>
      <c r="G24" s="31">
        <f>(N25+N24*O19)*L24</f>
        <v>12267609.214563949</v>
      </c>
      <c r="H24" s="6"/>
      <c r="I24" s="31">
        <f>(N26+N24*O20)</f>
        <v>62111789.894263402</v>
      </c>
      <c r="K24" s="25">
        <v>0.17029549999999999</v>
      </c>
      <c r="L24" s="25">
        <f>1-K24</f>
        <v>0.82970450000000007</v>
      </c>
      <c r="N24" s="26">
        <v>34680076.799999997</v>
      </c>
      <c r="O24" t="s">
        <v>53</v>
      </c>
    </row>
    <row r="25" spans="1:19">
      <c r="B25"/>
      <c r="C25" s="49" t="s">
        <v>90</v>
      </c>
      <c r="D25" s="26">
        <v>0</v>
      </c>
      <c r="E25" s="16"/>
      <c r="F25" s="6"/>
      <c r="G25" s="26">
        <f>D25</f>
        <v>0</v>
      </c>
      <c r="H25" s="6"/>
      <c r="I25" s="26"/>
      <c r="N25" s="26">
        <v>0</v>
      </c>
      <c r="O25" t="s">
        <v>50</v>
      </c>
    </row>
    <row r="26" spans="1:19">
      <c r="B26" s="40" t="s">
        <v>65</v>
      </c>
      <c r="C26" s="14"/>
      <c r="D26" s="11" t="s">
        <v>14</v>
      </c>
      <c r="E26" s="14" t="s">
        <v>13</v>
      </c>
      <c r="F26" s="11" t="s">
        <v>14</v>
      </c>
      <c r="G26" s="11" t="s">
        <v>14</v>
      </c>
      <c r="H26" s="11" t="s">
        <v>14</v>
      </c>
      <c r="I26" s="11" t="s">
        <v>14</v>
      </c>
      <c r="K26" s="25"/>
      <c r="L26" s="25"/>
      <c r="N26" s="43">
        <v>42217229.159999996</v>
      </c>
      <c r="O26" t="s">
        <v>49</v>
      </c>
    </row>
    <row r="27" spans="1:19">
      <c r="B27" s="3" t="s">
        <v>22</v>
      </c>
      <c r="C27"/>
      <c r="D27" s="26">
        <f>SUM(D20:D26)</f>
        <v>77019059.149999991</v>
      </c>
      <c r="E27" s="16"/>
      <c r="F27" s="26">
        <f>SUM(F20:F26)</f>
        <v>2529420.7641726462</v>
      </c>
      <c r="G27" s="26">
        <f>SUM(G20:G26)</f>
        <v>12377848.49156395</v>
      </c>
      <c r="H27" s="26">
        <f>SUM(H20:H26)</f>
        <v>0</v>
      </c>
      <c r="I27" s="26">
        <f>SUM(I20:I26)</f>
        <v>62111789.894263402</v>
      </c>
      <c r="K27" s="25"/>
      <c r="L27" s="25"/>
      <c r="N27" s="26">
        <f>SUM(N24:N26)</f>
        <v>76897305.959999993</v>
      </c>
      <c r="O27"/>
    </row>
    <row r="28" spans="1:19" ht="12.75">
      <c r="D28" s="1"/>
      <c r="E28" s="16"/>
      <c r="F28" s="1"/>
      <c r="G28" s="1"/>
      <c r="H28" s="6"/>
      <c r="I28" s="6"/>
      <c r="K28" s="25"/>
      <c r="L28" s="25"/>
      <c r="N28" s="34"/>
      <c r="O28" s="32"/>
    </row>
    <row r="29" spans="1:19" hidden="1">
      <c r="B29"/>
      <c r="C29" s="3" t="s">
        <v>41</v>
      </c>
      <c r="D29" s="26">
        <v>0</v>
      </c>
      <c r="E29" s="16"/>
      <c r="F29" s="26"/>
      <c r="G29" s="26">
        <f>D29</f>
        <v>0</v>
      </c>
      <c r="H29" s="6"/>
      <c r="I29" s="6"/>
      <c r="K29" s="25"/>
      <c r="L29" s="25"/>
      <c r="N29" s="26">
        <v>0</v>
      </c>
      <c r="O29" t="s">
        <v>54</v>
      </c>
    </row>
    <row r="30" spans="1:19" hidden="1">
      <c r="B30"/>
      <c r="C30" s="3" t="s">
        <v>23</v>
      </c>
      <c r="D30" s="26">
        <v>0</v>
      </c>
      <c r="E30" s="16"/>
      <c r="F30" s="26"/>
      <c r="G30" s="26">
        <f>D30</f>
        <v>0</v>
      </c>
      <c r="H30" s="6"/>
      <c r="I30" s="6"/>
      <c r="K30" s="25"/>
      <c r="L30" s="25"/>
      <c r="M30" s="21"/>
      <c r="N30" s="26">
        <v>0</v>
      </c>
      <c r="O30" t="s">
        <v>51</v>
      </c>
    </row>
    <row r="31" spans="1:19" hidden="1">
      <c r="B31"/>
      <c r="C31" s="3" t="s">
        <v>24</v>
      </c>
      <c r="D31" s="26">
        <f>N32</f>
        <v>0</v>
      </c>
      <c r="E31" s="16"/>
      <c r="F31" s="31">
        <f>(N30+N29*O21)*K31</f>
        <v>0</v>
      </c>
      <c r="G31" s="31">
        <f>(N30+N29*O21)*L31</f>
        <v>0</v>
      </c>
      <c r="H31" s="6"/>
      <c r="I31" s="31">
        <f>(N31+N29*O22)</f>
        <v>0</v>
      </c>
      <c r="K31" s="25">
        <v>0.7</v>
      </c>
      <c r="L31" s="25">
        <f>1-K31</f>
        <v>0.30000000000000004</v>
      </c>
      <c r="N31" s="43">
        <v>0</v>
      </c>
      <c r="O31" t="s">
        <v>48</v>
      </c>
    </row>
    <row r="32" spans="1:19" hidden="1">
      <c r="B32"/>
      <c r="C32" s="3" t="s">
        <v>25</v>
      </c>
      <c r="D32" s="26">
        <v>0</v>
      </c>
      <c r="E32" s="16"/>
      <c r="F32" s="26">
        <f>D32</f>
        <v>0</v>
      </c>
      <c r="G32" s="26">
        <v>0</v>
      </c>
      <c r="H32" s="6"/>
      <c r="I32" s="6"/>
      <c r="N32" s="33">
        <f>SUM(N29:N31)</f>
        <v>0</v>
      </c>
      <c r="O32"/>
    </row>
    <row r="33" spans="2:18" hidden="1">
      <c r="B33"/>
      <c r="C33" s="3" t="s">
        <v>89</v>
      </c>
      <c r="D33" s="26">
        <v>0</v>
      </c>
      <c r="E33" s="16"/>
      <c r="F33" s="6"/>
      <c r="G33" s="26">
        <f>D33</f>
        <v>0</v>
      </c>
      <c r="H33" s="6"/>
      <c r="I33" s="6"/>
      <c r="N33" s="33"/>
      <c r="O33"/>
    </row>
    <row r="34" spans="2:18" hidden="1">
      <c r="B34"/>
      <c r="C34" s="3" t="s">
        <v>26</v>
      </c>
      <c r="D34" s="26">
        <v>0</v>
      </c>
      <c r="E34" s="16"/>
      <c r="F34" s="26">
        <v>0</v>
      </c>
      <c r="G34" s="26">
        <v>0</v>
      </c>
      <c r="H34" s="6"/>
      <c r="I34" s="6"/>
    </row>
    <row r="35" spans="2:18" hidden="1">
      <c r="B35" s="40" t="s">
        <v>65</v>
      </c>
      <c r="C35" s="14"/>
      <c r="D35" s="11" t="s">
        <v>14</v>
      </c>
      <c r="E35" s="14" t="s">
        <v>13</v>
      </c>
      <c r="F35" s="11" t="s">
        <v>14</v>
      </c>
      <c r="G35" s="11" t="s">
        <v>14</v>
      </c>
      <c r="H35" s="11" t="s">
        <v>14</v>
      </c>
      <c r="I35" s="11" t="s">
        <v>14</v>
      </c>
      <c r="R35" s="30"/>
    </row>
    <row r="36" spans="2:18" hidden="1">
      <c r="B36" s="3" t="s">
        <v>27</v>
      </c>
      <c r="C36"/>
      <c r="D36" s="26">
        <f>SUM(D29:D35)</f>
        <v>0</v>
      </c>
      <c r="E36" s="16"/>
      <c r="F36" s="26">
        <f>SUM(F29:F35)</f>
        <v>0</v>
      </c>
      <c r="G36" s="26">
        <f>SUM(G29:G35)</f>
        <v>0</v>
      </c>
      <c r="H36" s="26">
        <f>SUM(H29:H35)</f>
        <v>0</v>
      </c>
      <c r="I36" s="26">
        <f>SUM(I29:I35)</f>
        <v>0</v>
      </c>
    </row>
    <row r="37" spans="2:18">
      <c r="D37" s="16"/>
      <c r="E37" s="16"/>
      <c r="F37" s="6"/>
      <c r="G37" s="6"/>
      <c r="H37" s="6"/>
      <c r="I37" s="6"/>
      <c r="N37" s="3"/>
    </row>
    <row r="38" spans="2:18" hidden="1">
      <c r="B38"/>
      <c r="C38" s="3" t="s">
        <v>68</v>
      </c>
      <c r="D38" s="26">
        <v>0</v>
      </c>
      <c r="E38" s="16"/>
      <c r="F38" s="6"/>
      <c r="G38" s="6"/>
      <c r="H38" s="6"/>
      <c r="I38" s="26">
        <f t="shared" ref="I38:I65" si="0">IF(K38="Post Merger",D38,0)</f>
        <v>0</v>
      </c>
      <c r="K38" s="3" t="s">
        <v>10</v>
      </c>
    </row>
    <row r="39" spans="2:18" hidden="1">
      <c r="B39"/>
      <c r="C39" s="3" t="s">
        <v>55</v>
      </c>
      <c r="D39" s="26">
        <v>0</v>
      </c>
      <c r="E39" s="16"/>
      <c r="F39" s="6"/>
      <c r="G39" s="6"/>
      <c r="H39" s="6"/>
      <c r="I39" s="26">
        <f t="shared" si="0"/>
        <v>0</v>
      </c>
      <c r="K39" s="3" t="s">
        <v>10</v>
      </c>
    </row>
    <row r="40" spans="2:18" hidden="1">
      <c r="B40"/>
      <c r="C40" s="3" t="s">
        <v>69</v>
      </c>
      <c r="D40" s="26">
        <v>0</v>
      </c>
      <c r="E40" s="16"/>
      <c r="F40" s="6"/>
      <c r="G40" s="6"/>
      <c r="H40" s="6"/>
      <c r="I40" s="26">
        <f t="shared" si="0"/>
        <v>0</v>
      </c>
      <c r="K40" s="3" t="s">
        <v>10</v>
      </c>
    </row>
    <row r="41" spans="2:18" hidden="1">
      <c r="B41"/>
      <c r="C41" s="3" t="s">
        <v>88</v>
      </c>
      <c r="D41" s="26">
        <v>0</v>
      </c>
      <c r="E41" s="16"/>
      <c r="F41" s="6"/>
      <c r="G41" s="6"/>
      <c r="H41" s="6"/>
      <c r="I41" s="26">
        <f t="shared" si="0"/>
        <v>0</v>
      </c>
      <c r="K41" s="3" t="s">
        <v>10</v>
      </c>
    </row>
    <row r="42" spans="2:18" hidden="1">
      <c r="B42"/>
      <c r="C42" s="3" t="s">
        <v>70</v>
      </c>
      <c r="D42" s="26">
        <v>0</v>
      </c>
      <c r="E42" s="16"/>
      <c r="F42" s="6"/>
      <c r="G42" s="6"/>
      <c r="H42" s="6"/>
      <c r="I42" s="26">
        <f t="shared" si="0"/>
        <v>0</v>
      </c>
      <c r="K42" s="3" t="s">
        <v>10</v>
      </c>
    </row>
    <row r="43" spans="2:18">
      <c r="B43"/>
      <c r="C43" s="3" t="s">
        <v>71</v>
      </c>
      <c r="D43" s="26">
        <v>4575693.2</v>
      </c>
      <c r="E43" s="16"/>
      <c r="F43" s="6"/>
      <c r="G43" s="6"/>
      <c r="H43" s="6"/>
      <c r="I43" s="26">
        <f t="shared" si="0"/>
        <v>4575693.2</v>
      </c>
      <c r="K43" s="3" t="s">
        <v>10</v>
      </c>
    </row>
    <row r="44" spans="2:18" hidden="1">
      <c r="B44"/>
      <c r="C44" s="3" t="s">
        <v>72</v>
      </c>
      <c r="D44" s="26">
        <v>0</v>
      </c>
      <c r="E44" s="16"/>
      <c r="F44" s="6"/>
      <c r="G44" s="6"/>
      <c r="H44" s="6"/>
      <c r="I44" s="26">
        <f t="shared" si="0"/>
        <v>0</v>
      </c>
      <c r="K44" s="3" t="s">
        <v>10</v>
      </c>
    </row>
    <row r="45" spans="2:18">
      <c r="B45"/>
      <c r="C45" s="3" t="s">
        <v>46</v>
      </c>
      <c r="D45" s="26">
        <v>8005931.2199999997</v>
      </c>
      <c r="E45" s="16"/>
      <c r="F45" s="6"/>
      <c r="G45" s="6"/>
      <c r="H45" s="6"/>
      <c r="I45" s="26">
        <f t="shared" si="0"/>
        <v>8005931.2199999997</v>
      </c>
      <c r="K45" s="3" t="s">
        <v>10</v>
      </c>
    </row>
    <row r="46" spans="2:18">
      <c r="B46"/>
      <c r="C46" s="3" t="s">
        <v>73</v>
      </c>
      <c r="D46" s="26">
        <v>84369826.359999999</v>
      </c>
      <c r="E46" s="16"/>
      <c r="F46" s="6"/>
      <c r="G46" s="6"/>
      <c r="H46" s="6"/>
      <c r="I46" s="26">
        <f t="shared" si="0"/>
        <v>84369826.359999999</v>
      </c>
      <c r="K46" s="3" t="s">
        <v>10</v>
      </c>
    </row>
    <row r="47" spans="2:18" hidden="1">
      <c r="B47"/>
      <c r="C47" s="3" t="s">
        <v>74</v>
      </c>
      <c r="D47" s="26">
        <v>0</v>
      </c>
      <c r="E47" s="16"/>
      <c r="F47" s="6"/>
      <c r="G47" s="6"/>
      <c r="H47" s="6"/>
      <c r="I47" s="26">
        <f t="shared" si="0"/>
        <v>0</v>
      </c>
      <c r="K47" s="3" t="s">
        <v>10</v>
      </c>
    </row>
    <row r="48" spans="2:18" hidden="1">
      <c r="B48"/>
      <c r="C48" s="3" t="s">
        <v>75</v>
      </c>
      <c r="D48" s="26">
        <v>0</v>
      </c>
      <c r="E48" s="16"/>
      <c r="F48" s="6"/>
      <c r="G48" s="6"/>
      <c r="H48" s="6"/>
      <c r="I48" s="26">
        <f t="shared" si="0"/>
        <v>0</v>
      </c>
      <c r="K48" s="3" t="s">
        <v>10</v>
      </c>
    </row>
    <row r="49" spans="2:11" hidden="1">
      <c r="B49"/>
      <c r="C49" s="3" t="s">
        <v>45</v>
      </c>
      <c r="D49" s="26">
        <v>0</v>
      </c>
      <c r="E49" s="16"/>
      <c r="F49" s="6"/>
      <c r="G49" s="6"/>
      <c r="H49" s="6"/>
      <c r="I49" s="26">
        <f t="shared" si="0"/>
        <v>0</v>
      </c>
      <c r="K49" s="3" t="s">
        <v>10</v>
      </c>
    </row>
    <row r="50" spans="2:11" hidden="1">
      <c r="B50"/>
      <c r="C50" s="22" t="s">
        <v>76</v>
      </c>
      <c r="D50" s="26">
        <v>0</v>
      </c>
      <c r="E50" s="16"/>
      <c r="F50" s="6"/>
      <c r="G50" s="6"/>
      <c r="H50" s="6"/>
      <c r="I50" s="26">
        <f t="shared" si="0"/>
        <v>0</v>
      </c>
      <c r="K50" s="3" t="s">
        <v>10</v>
      </c>
    </row>
    <row r="51" spans="2:11" hidden="1">
      <c r="B51"/>
      <c r="C51" s="3" t="s">
        <v>77</v>
      </c>
      <c r="D51" s="26">
        <v>0</v>
      </c>
      <c r="E51" s="16"/>
      <c r="F51" s="6"/>
      <c r="G51" s="6"/>
      <c r="H51" s="6"/>
      <c r="I51" s="26">
        <f t="shared" si="0"/>
        <v>0</v>
      </c>
      <c r="K51" s="3" t="s">
        <v>10</v>
      </c>
    </row>
    <row r="52" spans="2:11" hidden="1">
      <c r="B52"/>
      <c r="C52" s="3" t="s">
        <v>78</v>
      </c>
      <c r="D52" s="26">
        <v>0</v>
      </c>
      <c r="E52" s="16"/>
      <c r="F52" s="6"/>
      <c r="G52" s="6"/>
      <c r="H52" s="6"/>
      <c r="I52" s="26">
        <f t="shared" si="0"/>
        <v>0</v>
      </c>
      <c r="K52" s="3" t="s">
        <v>10</v>
      </c>
    </row>
    <row r="53" spans="2:11" hidden="1">
      <c r="B53"/>
      <c r="C53" s="3" t="s">
        <v>79</v>
      </c>
      <c r="D53" s="26">
        <v>0</v>
      </c>
      <c r="E53" s="16"/>
      <c r="F53" s="6"/>
      <c r="G53" s="6"/>
      <c r="H53" s="6"/>
      <c r="I53" s="26">
        <f t="shared" si="0"/>
        <v>0</v>
      </c>
      <c r="K53" s="3" t="s">
        <v>10</v>
      </c>
    </row>
    <row r="54" spans="2:11" hidden="1">
      <c r="B54"/>
      <c r="C54" s="3" t="s">
        <v>80</v>
      </c>
      <c r="D54" s="26">
        <v>0</v>
      </c>
      <c r="E54" s="16"/>
      <c r="F54" s="6"/>
      <c r="G54" s="6"/>
      <c r="H54" s="6"/>
      <c r="I54" s="26">
        <f t="shared" si="0"/>
        <v>0</v>
      </c>
      <c r="K54" s="3" t="s">
        <v>10</v>
      </c>
    </row>
    <row r="55" spans="2:11" hidden="1">
      <c r="B55"/>
      <c r="C55" s="3" t="s">
        <v>81</v>
      </c>
      <c r="D55" s="26">
        <v>0</v>
      </c>
      <c r="E55" s="16"/>
      <c r="F55" s="6"/>
      <c r="G55" s="6"/>
      <c r="H55" s="6"/>
      <c r="I55" s="26">
        <f t="shared" si="0"/>
        <v>0</v>
      </c>
      <c r="K55" s="3" t="s">
        <v>10</v>
      </c>
    </row>
    <row r="56" spans="2:11" hidden="1">
      <c r="B56"/>
      <c r="C56" s="3" t="s">
        <v>82</v>
      </c>
      <c r="D56" s="26">
        <v>0</v>
      </c>
      <c r="E56" s="16"/>
      <c r="F56" s="6"/>
      <c r="G56" s="6"/>
      <c r="H56" s="6"/>
      <c r="I56" s="26">
        <f t="shared" si="0"/>
        <v>0</v>
      </c>
      <c r="K56" s="3" t="s">
        <v>10</v>
      </c>
    </row>
    <row r="57" spans="2:11" hidden="1">
      <c r="B57"/>
      <c r="C57" s="27" t="s">
        <v>83</v>
      </c>
      <c r="D57" s="26">
        <v>0</v>
      </c>
      <c r="E57" s="16"/>
      <c r="F57" s="6"/>
      <c r="G57" s="6"/>
      <c r="H57" s="6"/>
      <c r="I57" s="26">
        <f t="shared" si="0"/>
        <v>0</v>
      </c>
      <c r="K57" s="3" t="s">
        <v>10</v>
      </c>
    </row>
    <row r="58" spans="2:11" hidden="1">
      <c r="B58"/>
      <c r="C58" s="27" t="s">
        <v>92</v>
      </c>
      <c r="D58" s="26">
        <v>0</v>
      </c>
      <c r="E58" s="16"/>
      <c r="F58" s="6"/>
      <c r="G58" s="6"/>
      <c r="H58" s="6"/>
      <c r="I58" s="26">
        <f t="shared" si="0"/>
        <v>0</v>
      </c>
      <c r="K58" s="3" t="s">
        <v>10</v>
      </c>
    </row>
    <row r="59" spans="2:11" hidden="1">
      <c r="B59"/>
      <c r="C59" s="3" t="s">
        <v>84</v>
      </c>
      <c r="D59" s="26">
        <v>0</v>
      </c>
      <c r="E59" s="16"/>
      <c r="F59" s="6"/>
      <c r="G59" s="6"/>
      <c r="H59" s="6"/>
      <c r="I59" s="26">
        <f t="shared" si="0"/>
        <v>0</v>
      </c>
      <c r="K59" s="3" t="s">
        <v>10</v>
      </c>
    </row>
    <row r="60" spans="2:11" hidden="1">
      <c r="B60"/>
      <c r="C60" s="3" t="s">
        <v>95</v>
      </c>
      <c r="D60" s="26">
        <v>0</v>
      </c>
      <c r="E60" s="16"/>
      <c r="F60" s="6"/>
      <c r="G60" s="6"/>
      <c r="H60" s="6"/>
      <c r="I60" s="26">
        <f t="shared" si="0"/>
        <v>0</v>
      </c>
      <c r="K60" s="3" t="s">
        <v>10</v>
      </c>
    </row>
    <row r="61" spans="2:11" hidden="1">
      <c r="B61"/>
      <c r="C61" s="3" t="s">
        <v>85</v>
      </c>
      <c r="D61" s="26">
        <v>0</v>
      </c>
      <c r="E61" s="16"/>
      <c r="F61" s="6"/>
      <c r="G61" s="6"/>
      <c r="H61" s="6"/>
      <c r="I61" s="26">
        <f t="shared" si="0"/>
        <v>0</v>
      </c>
      <c r="K61" s="3" t="s">
        <v>10</v>
      </c>
    </row>
    <row r="62" spans="2:11" hidden="1">
      <c r="B62"/>
      <c r="C62" s="3" t="s">
        <v>86</v>
      </c>
      <c r="D62" s="26">
        <v>0</v>
      </c>
      <c r="E62" s="16"/>
      <c r="F62" s="6"/>
      <c r="G62" s="6"/>
      <c r="H62" s="6"/>
      <c r="I62" s="26">
        <f t="shared" si="0"/>
        <v>0</v>
      </c>
      <c r="K62" s="3" t="s">
        <v>10</v>
      </c>
    </row>
    <row r="63" spans="2:11" hidden="1">
      <c r="B63"/>
      <c r="C63" s="3" t="s">
        <v>94</v>
      </c>
      <c r="D63" s="26">
        <v>0</v>
      </c>
      <c r="E63" s="16"/>
      <c r="F63" s="6"/>
      <c r="G63" s="6"/>
      <c r="H63" s="6"/>
      <c r="I63" s="26">
        <f t="shared" si="0"/>
        <v>0</v>
      </c>
      <c r="K63" s="3" t="s">
        <v>10</v>
      </c>
    </row>
    <row r="64" spans="2:11" hidden="1">
      <c r="B64"/>
      <c r="C64" s="27" t="s">
        <v>87</v>
      </c>
      <c r="D64" s="26">
        <v>0</v>
      </c>
      <c r="E64" s="16"/>
      <c r="F64" s="6"/>
      <c r="G64" s="6"/>
      <c r="H64" s="6"/>
      <c r="I64" s="26">
        <f t="shared" si="0"/>
        <v>0</v>
      </c>
      <c r="K64" s="3" t="s">
        <v>10</v>
      </c>
    </row>
    <row r="65" spans="1:16" hidden="1">
      <c r="B65"/>
      <c r="C65" s="3" t="s">
        <v>93</v>
      </c>
      <c r="D65" s="26">
        <v>0</v>
      </c>
      <c r="E65" s="16"/>
      <c r="F65" s="6"/>
      <c r="G65" s="6"/>
      <c r="H65" s="6"/>
      <c r="I65" s="26">
        <f t="shared" si="0"/>
        <v>0</v>
      </c>
      <c r="K65" s="3" t="s">
        <v>10</v>
      </c>
    </row>
    <row r="66" spans="1:16" ht="11.25" thickBot="1">
      <c r="B66"/>
      <c r="C66" s="27"/>
      <c r="D66" s="26"/>
      <c r="E66" s="16"/>
      <c r="F66" s="6"/>
      <c r="G66" s="6"/>
      <c r="H66" s="6"/>
      <c r="I66" s="26"/>
    </row>
    <row r="67" spans="1:16" hidden="1">
      <c r="B67" s="22" t="s">
        <v>64</v>
      </c>
      <c r="C67" s="27"/>
      <c r="D67" s="26"/>
      <c r="E67" s="16"/>
      <c r="F67" s="6"/>
      <c r="G67" s="6"/>
      <c r="H67" s="6"/>
      <c r="I67" s="26"/>
    </row>
    <row r="68" spans="1:16" ht="11.25" hidden="1" thickBot="1">
      <c r="B68"/>
      <c r="C68" s="3" t="s">
        <v>96</v>
      </c>
      <c r="D68" s="26">
        <v>0</v>
      </c>
      <c r="E68" s="16"/>
      <c r="F68" s="6"/>
      <c r="G68" s="6"/>
      <c r="H68" s="6"/>
      <c r="I68" s="26">
        <f>IF(K68="Post Merger",D68,0)</f>
        <v>0</v>
      </c>
      <c r="K68" s="3" t="s">
        <v>10</v>
      </c>
    </row>
    <row r="69" spans="1:16" ht="11.25" thickBot="1">
      <c r="B69"/>
      <c r="D69" s="16"/>
      <c r="E69" s="16"/>
      <c r="F69" s="6"/>
      <c r="G69" s="6"/>
      <c r="H69" s="6"/>
      <c r="I69" s="6"/>
      <c r="K69" s="36">
        <v>0</v>
      </c>
      <c r="L69" s="24" t="s">
        <v>40</v>
      </c>
      <c r="M69" s="37">
        <v>0</v>
      </c>
    </row>
    <row r="70" spans="1:16">
      <c r="B70"/>
      <c r="C70" t="s">
        <v>115</v>
      </c>
      <c r="D70" s="26">
        <v>64393735.450000003</v>
      </c>
      <c r="E70" s="16"/>
      <c r="F70" s="6"/>
      <c r="G70" s="6"/>
      <c r="H70" s="6"/>
      <c r="I70" s="26">
        <f>D70</f>
        <v>64393735.450000003</v>
      </c>
    </row>
    <row r="71" spans="1:16" ht="11.25" thickBot="1">
      <c r="B71" s="40" t="s">
        <v>65</v>
      </c>
      <c r="C71" s="14"/>
      <c r="D71" s="11" t="s">
        <v>14</v>
      </c>
      <c r="E71" s="14" t="s">
        <v>13</v>
      </c>
      <c r="F71" s="11" t="s">
        <v>14</v>
      </c>
      <c r="G71" s="11" t="s">
        <v>14</v>
      </c>
      <c r="H71" s="11" t="s">
        <v>14</v>
      </c>
      <c r="I71" s="11" t="s">
        <v>14</v>
      </c>
    </row>
    <row r="72" spans="1:16" ht="11.25" thickBot="1">
      <c r="B72" s="3" t="s">
        <v>28</v>
      </c>
      <c r="C72"/>
      <c r="D72" s="26">
        <f>SUM(D38:D70)</f>
        <v>161345186.23000002</v>
      </c>
      <c r="E72" s="16"/>
      <c r="F72" s="26">
        <f>SUM(F38:F70)</f>
        <v>0</v>
      </c>
      <c r="G72" s="26">
        <f>SUM(G38:G70)</f>
        <v>0</v>
      </c>
      <c r="H72" s="26">
        <f>SUM(H38:H70)</f>
        <v>0</v>
      </c>
      <c r="I72" s="26">
        <f>SUM(I38:I70)</f>
        <v>161345186.23000002</v>
      </c>
      <c r="K72" s="36"/>
      <c r="L72" s="24" t="s">
        <v>40</v>
      </c>
      <c r="M72" s="37">
        <f>D72-SUM(F72:I72)</f>
        <v>0</v>
      </c>
    </row>
    <row r="73" spans="1:16">
      <c r="B73" s="3" t="s">
        <v>116</v>
      </c>
      <c r="D73" s="26">
        <v>663166.31000000006</v>
      </c>
      <c r="E73" s="16"/>
      <c r="F73" s="14"/>
      <c r="H73" s="26"/>
      <c r="I73" s="26">
        <f>D73</f>
        <v>663166.31000000006</v>
      </c>
      <c r="J73"/>
      <c r="K73"/>
      <c r="L73"/>
      <c r="M73"/>
    </row>
    <row r="74" spans="1:16">
      <c r="B74" s="3" t="s">
        <v>29</v>
      </c>
      <c r="C74"/>
      <c r="D74" s="26">
        <v>0</v>
      </c>
      <c r="E74" s="16"/>
      <c r="F74" s="26"/>
      <c r="G74" s="26"/>
      <c r="H74" s="26">
        <f>D74</f>
        <v>0</v>
      </c>
      <c r="I74" s="6"/>
    </row>
    <row r="75" spans="1:16" ht="11.25" thickBot="1">
      <c r="D75" s="11" t="s">
        <v>14</v>
      </c>
      <c r="E75" s="14" t="s">
        <v>13</v>
      </c>
      <c r="F75" s="11" t="s">
        <v>14</v>
      </c>
      <c r="G75" s="11" t="s">
        <v>14</v>
      </c>
      <c r="H75" s="11" t="s">
        <v>14</v>
      </c>
      <c r="I75" s="11" t="s">
        <v>14</v>
      </c>
    </row>
    <row r="76" spans="1:16" ht="11.25" thickBot="1">
      <c r="A76" s="3" t="s">
        <v>30</v>
      </c>
      <c r="D76" s="26">
        <f>D72+D73+D74+D36+D27</f>
        <v>239027411.69</v>
      </c>
      <c r="E76" s="16"/>
      <c r="F76" s="26">
        <f>F72+F73+F74+F36+F27</f>
        <v>2529420.7641726462</v>
      </c>
      <c r="G76" s="26">
        <f>G72+G73+G74+G36+G27</f>
        <v>12377848.49156395</v>
      </c>
      <c r="H76" s="26">
        <f>H72+H73+H74+H36+H27</f>
        <v>0</v>
      </c>
      <c r="I76" s="26">
        <f>I72+I73+I74+I36+I27</f>
        <v>224120142.43426341</v>
      </c>
      <c r="K76" s="36">
        <v>0</v>
      </c>
      <c r="L76" s="24" t="s">
        <v>40</v>
      </c>
      <c r="M76" s="37">
        <f>D76-SUM(F76:I76)</f>
        <v>0</v>
      </c>
    </row>
    <row r="77" spans="1:16">
      <c r="D77" s="16"/>
      <c r="E77" s="16"/>
      <c r="F77" s="16"/>
      <c r="G77" s="16"/>
      <c r="H77" s="16"/>
      <c r="I77" s="16"/>
    </row>
    <row r="78" spans="1:16">
      <c r="D78" s="16"/>
      <c r="E78" s="16"/>
      <c r="F78" s="16"/>
      <c r="G78" s="16"/>
      <c r="H78" s="16"/>
      <c r="I78" s="16"/>
    </row>
    <row r="79" spans="1:16" ht="11.25">
      <c r="A79" s="3" t="s">
        <v>31</v>
      </c>
      <c r="F79" s="6"/>
      <c r="G79" s="6"/>
      <c r="H79" s="6"/>
      <c r="I79" s="6"/>
      <c r="N79" s="29" t="s">
        <v>60</v>
      </c>
      <c r="O79" s="32">
        <v>24999835.973468848</v>
      </c>
      <c r="P79" s="26"/>
    </row>
    <row r="80" spans="1:16" ht="11.25">
      <c r="F80" s="6"/>
      <c r="G80" s="6"/>
      <c r="H80" s="6"/>
      <c r="I80" s="6"/>
      <c r="N80" s="29" t="s">
        <v>61</v>
      </c>
      <c r="O80" s="32">
        <v>0</v>
      </c>
      <c r="P80" s="26"/>
    </row>
    <row r="81" spans="1:16" customFormat="1" ht="11.25">
      <c r="A81" s="3"/>
      <c r="B81" s="3" t="s">
        <v>32</v>
      </c>
      <c r="D81" s="26">
        <f>SUM(F81:I81)</f>
        <v>24999835.973468848</v>
      </c>
      <c r="E81" s="16"/>
      <c r="F81" s="26">
        <f>O79</f>
        <v>24999835.973468848</v>
      </c>
      <c r="G81" s="6"/>
      <c r="H81" s="6"/>
      <c r="I81" s="6"/>
      <c r="J81" s="3"/>
      <c r="K81" s="18"/>
      <c r="L81" s="3"/>
      <c r="M81" s="3"/>
      <c r="N81" s="29" t="s">
        <v>62</v>
      </c>
      <c r="O81" s="32">
        <v>83304574.000558719</v>
      </c>
      <c r="P81" s="38"/>
    </row>
    <row r="82" spans="1:16" ht="11.25" hidden="1">
      <c r="A82"/>
      <c r="B82"/>
      <c r="C82"/>
      <c r="D82"/>
      <c r="E82"/>
      <c r="F82"/>
      <c r="G82"/>
      <c r="H82"/>
      <c r="I82"/>
      <c r="J82"/>
      <c r="K82" s="23"/>
      <c r="L82"/>
      <c r="M82"/>
      <c r="N82" s="29" t="s">
        <v>91</v>
      </c>
      <c r="O82" s="32">
        <v>0</v>
      </c>
      <c r="P82" s="26"/>
    </row>
    <row r="83" spans="1:16" ht="12" thickBot="1">
      <c r="B83" s="3" t="s">
        <v>33</v>
      </c>
      <c r="C83"/>
      <c r="D83" s="26">
        <f>SUM(F83:I83)</f>
        <v>0</v>
      </c>
      <c r="E83" s="16"/>
      <c r="F83" s="26">
        <f>O80</f>
        <v>0</v>
      </c>
      <c r="G83" s="6"/>
      <c r="H83" s="6"/>
      <c r="I83" s="6"/>
      <c r="N83" s="29" t="s">
        <v>63</v>
      </c>
      <c r="O83" s="32">
        <v>1038267.1499999999</v>
      </c>
      <c r="P83" s="26"/>
    </row>
    <row r="84" spans="1:16" ht="11.25" hidden="1" thickBot="1">
      <c r="C84"/>
      <c r="D84" s="16"/>
      <c r="E84" s="16"/>
      <c r="F84" s="6"/>
      <c r="G84" s="6"/>
      <c r="H84" s="6"/>
      <c r="I84" s="6"/>
      <c r="O84" s="32">
        <f>SUM(O79:O83)</f>
        <v>109342677.12402758</v>
      </c>
      <c r="P84" s="26"/>
    </row>
    <row r="85" spans="1:16" ht="11.25" thickBot="1">
      <c r="B85" s="3" t="s">
        <v>10</v>
      </c>
      <c r="C85"/>
      <c r="D85" s="26">
        <f>D90-(D81+D83+D87)</f>
        <v>84342841.02653116</v>
      </c>
      <c r="E85" s="16"/>
      <c r="F85" s="17"/>
      <c r="G85" s="6"/>
      <c r="H85" s="6"/>
      <c r="I85" s="26">
        <f>D85</f>
        <v>84342841.02653116</v>
      </c>
      <c r="N85" s="47" t="s">
        <v>40</v>
      </c>
      <c r="O85" s="37">
        <v>0</v>
      </c>
      <c r="P85" s="46"/>
    </row>
    <row r="86" spans="1:16" hidden="1">
      <c r="F86" s="6"/>
      <c r="G86" s="6"/>
      <c r="H86" s="6"/>
      <c r="I86" s="6"/>
    </row>
    <row r="87" spans="1:16" customFormat="1">
      <c r="A87" s="3"/>
      <c r="B87" t="s">
        <v>34</v>
      </c>
      <c r="C87" s="3"/>
      <c r="D87" s="26">
        <v>0</v>
      </c>
      <c r="E87" s="16"/>
      <c r="F87" s="6"/>
      <c r="H87" s="26">
        <f>D87</f>
        <v>0</v>
      </c>
      <c r="I87" s="6"/>
      <c r="J87" s="3"/>
      <c r="K87" s="3"/>
      <c r="L87" s="3"/>
      <c r="M87" s="3"/>
      <c r="N87" s="27"/>
    </row>
    <row r="88" spans="1:16">
      <c r="A88"/>
      <c r="B88"/>
      <c r="C88"/>
      <c r="D88"/>
      <c r="E88"/>
      <c r="F88"/>
      <c r="G88"/>
      <c r="H88"/>
      <c r="I88"/>
      <c r="J88"/>
      <c r="K88"/>
      <c r="L88"/>
      <c r="M88"/>
    </row>
    <row r="89" spans="1:16" ht="11.25" thickBot="1">
      <c r="D89" s="11" t="s">
        <v>14</v>
      </c>
      <c r="E89" s="14" t="s">
        <v>13</v>
      </c>
      <c r="F89" s="11" t="s">
        <v>14</v>
      </c>
      <c r="G89" s="11" t="s">
        <v>14</v>
      </c>
      <c r="H89" s="11" t="s">
        <v>14</v>
      </c>
      <c r="I89" s="11" t="s">
        <v>14</v>
      </c>
    </row>
    <row r="90" spans="1:16" customFormat="1" ht="11.25" thickBot="1">
      <c r="A90" s="3" t="s">
        <v>35</v>
      </c>
      <c r="B90" s="3"/>
      <c r="C90" s="3"/>
      <c r="D90" s="26">
        <v>109342677</v>
      </c>
      <c r="E90" s="16"/>
      <c r="F90" s="26">
        <f>SUM(F81:F87)</f>
        <v>24999835.973468848</v>
      </c>
      <c r="G90" s="26">
        <f>SUM(G81:G87)</f>
        <v>0</v>
      </c>
      <c r="H90" s="26">
        <f>SUM(H81:H87)</f>
        <v>0</v>
      </c>
      <c r="I90" s="26">
        <f>SUM(I81:I87)</f>
        <v>84342841.02653116</v>
      </c>
      <c r="J90" s="3"/>
      <c r="K90" s="36">
        <f>D90-(D81+D83+D85+D87)</f>
        <v>0</v>
      </c>
      <c r="L90" s="24" t="s">
        <v>40</v>
      </c>
      <c r="M90" s="37">
        <f>D90-SUM(F90:I90)</f>
        <v>0</v>
      </c>
      <c r="N90" s="27"/>
    </row>
    <row r="91" spans="1:16" customFormat="1">
      <c r="A91" s="3"/>
      <c r="B91" s="3"/>
      <c r="C91" s="3"/>
      <c r="D91" s="3"/>
      <c r="E91" s="3"/>
      <c r="G91" s="3"/>
      <c r="H91" s="3"/>
      <c r="I91" s="3"/>
      <c r="N91" s="27"/>
    </row>
    <row r="92" spans="1:16" customFormat="1">
      <c r="A92" s="3" t="s">
        <v>36</v>
      </c>
      <c r="B92" s="3"/>
      <c r="C92" s="3"/>
      <c r="D92" s="3"/>
      <c r="E92" s="3"/>
      <c r="G92" s="3"/>
      <c r="H92" s="3"/>
      <c r="I92" s="3"/>
      <c r="N92" s="27"/>
    </row>
    <row r="93" spans="1:16" customFormat="1" hidden="1">
      <c r="A93" s="3"/>
      <c r="B93" s="16" t="s">
        <v>98</v>
      </c>
      <c r="C93" s="3"/>
      <c r="D93" s="26">
        <v>0</v>
      </c>
      <c r="E93" s="16"/>
      <c r="G93" s="3"/>
      <c r="H93" s="26">
        <f t="shared" ref="H93:H107" si="1">D93</f>
        <v>0</v>
      </c>
      <c r="I93" s="2"/>
      <c r="N93" s="27"/>
    </row>
    <row r="94" spans="1:16" customFormat="1" hidden="1">
      <c r="A94" s="3"/>
      <c r="B94" s="16" t="s">
        <v>99</v>
      </c>
      <c r="C94" s="3"/>
      <c r="D94" s="26">
        <v>0</v>
      </c>
      <c r="E94" s="16"/>
      <c r="G94" s="3"/>
      <c r="H94" s="26">
        <f t="shared" si="1"/>
        <v>0</v>
      </c>
      <c r="I94" s="2"/>
      <c r="N94" s="27"/>
    </row>
    <row r="95" spans="1:16" customFormat="1">
      <c r="A95" s="3"/>
      <c r="B95" s="16" t="s">
        <v>100</v>
      </c>
      <c r="C95" s="3"/>
      <c r="D95" s="26">
        <v>8051919.5899999999</v>
      </c>
      <c r="E95" s="16"/>
      <c r="G95" s="3"/>
      <c r="H95" s="26">
        <f t="shared" si="1"/>
        <v>8051919.5899999999</v>
      </c>
      <c r="I95" s="2"/>
      <c r="N95" s="27"/>
    </row>
    <row r="96" spans="1:16" customFormat="1" hidden="1">
      <c r="A96" s="3"/>
      <c r="B96" s="16" t="s">
        <v>101</v>
      </c>
      <c r="C96" s="3"/>
      <c r="D96" s="26">
        <v>0</v>
      </c>
      <c r="E96" s="16"/>
      <c r="G96" s="3"/>
      <c r="H96" s="26">
        <f t="shared" si="1"/>
        <v>0</v>
      </c>
      <c r="I96" s="2"/>
      <c r="N96" s="27"/>
    </row>
    <row r="97" spans="1:14" customFormat="1">
      <c r="A97" s="3"/>
      <c r="B97" s="16" t="s">
        <v>66</v>
      </c>
      <c r="C97" s="3"/>
      <c r="D97" s="26">
        <v>51235913.469999999</v>
      </c>
      <c r="E97" s="16"/>
      <c r="G97" s="3"/>
      <c r="H97" s="26">
        <f t="shared" si="1"/>
        <v>51235913.469999999</v>
      </c>
      <c r="I97" s="2"/>
      <c r="N97" s="27"/>
    </row>
    <row r="98" spans="1:14" customFormat="1" hidden="1">
      <c r="A98" s="3"/>
      <c r="B98" s="16" t="s">
        <v>47</v>
      </c>
      <c r="C98" s="3"/>
      <c r="D98" s="26">
        <v>0</v>
      </c>
      <c r="E98" s="16"/>
      <c r="G98" s="3"/>
      <c r="H98" s="26">
        <f t="shared" si="1"/>
        <v>0</v>
      </c>
      <c r="I98" s="2"/>
      <c r="N98" s="27"/>
    </row>
    <row r="99" spans="1:14" customFormat="1" hidden="1">
      <c r="A99" s="3"/>
      <c r="B99" s="16" t="s">
        <v>102</v>
      </c>
      <c r="C99" s="3"/>
      <c r="D99" s="26">
        <v>0</v>
      </c>
      <c r="E99" s="16"/>
      <c r="G99" s="3"/>
      <c r="H99" s="26">
        <f t="shared" si="1"/>
        <v>0</v>
      </c>
      <c r="I99" s="2"/>
      <c r="N99" s="27"/>
    </row>
    <row r="100" spans="1:14" customFormat="1" hidden="1">
      <c r="A100" s="3"/>
      <c r="B100" s="16" t="s">
        <v>103</v>
      </c>
      <c r="C100" s="3"/>
      <c r="D100" s="26">
        <v>0</v>
      </c>
      <c r="E100" s="16"/>
      <c r="G100" s="3"/>
      <c r="H100" s="26">
        <f t="shared" si="1"/>
        <v>0</v>
      </c>
      <c r="I100" s="2"/>
      <c r="N100" s="27"/>
    </row>
    <row r="101" spans="1:14" customFormat="1" hidden="1">
      <c r="A101" s="3"/>
      <c r="B101" s="16" t="s">
        <v>104</v>
      </c>
      <c r="C101" s="3"/>
      <c r="D101" s="26">
        <v>0</v>
      </c>
      <c r="E101" s="16"/>
      <c r="G101" s="3"/>
      <c r="H101" s="26">
        <f t="shared" si="1"/>
        <v>0</v>
      </c>
      <c r="I101" s="2"/>
      <c r="N101" s="27"/>
    </row>
    <row r="102" spans="1:14" customFormat="1" hidden="1">
      <c r="A102" s="3"/>
      <c r="B102" s="16" t="s">
        <v>105</v>
      </c>
      <c r="C102" s="3"/>
      <c r="D102" s="26">
        <v>0</v>
      </c>
      <c r="E102" s="16"/>
      <c r="F102" s="14"/>
      <c r="G102" s="3"/>
      <c r="H102" s="26">
        <f t="shared" si="1"/>
        <v>0</v>
      </c>
      <c r="I102" s="2"/>
      <c r="N102" s="27"/>
    </row>
    <row r="103" spans="1:14" customFormat="1">
      <c r="A103" s="3"/>
      <c r="B103" s="16" t="s">
        <v>106</v>
      </c>
      <c r="C103" s="3"/>
      <c r="D103" s="26">
        <v>46212063.259999998</v>
      </c>
      <c r="E103" s="16"/>
      <c r="F103" s="14"/>
      <c r="G103" s="3"/>
      <c r="H103" s="26">
        <f t="shared" si="1"/>
        <v>46212063.259999998</v>
      </c>
      <c r="I103" s="2"/>
      <c r="N103" s="27"/>
    </row>
    <row r="104" spans="1:14" customFormat="1" hidden="1">
      <c r="A104" s="3"/>
      <c r="B104" s="16" t="s">
        <v>107</v>
      </c>
      <c r="C104" s="3"/>
      <c r="D104" s="26">
        <v>0</v>
      </c>
      <c r="E104" s="16"/>
      <c r="F104" s="14"/>
      <c r="G104" s="3"/>
      <c r="H104" s="26">
        <f t="shared" si="1"/>
        <v>0</v>
      </c>
      <c r="I104" s="2"/>
      <c r="N104" s="27"/>
    </row>
    <row r="105" spans="1:14" customFormat="1" hidden="1">
      <c r="A105" s="3"/>
      <c r="B105" s="16" t="s">
        <v>108</v>
      </c>
      <c r="C105" s="3"/>
      <c r="D105" s="26">
        <v>0</v>
      </c>
      <c r="E105" s="16"/>
      <c r="F105" s="14"/>
      <c r="G105" s="3"/>
      <c r="H105" s="26">
        <f t="shared" si="1"/>
        <v>0</v>
      </c>
      <c r="I105" s="2"/>
      <c r="N105" s="27"/>
    </row>
    <row r="106" spans="1:14" customFormat="1">
      <c r="A106" s="3"/>
      <c r="B106" s="16" t="s">
        <v>109</v>
      </c>
      <c r="C106" s="3"/>
      <c r="D106" s="26">
        <v>199133786.31999999</v>
      </c>
      <c r="E106" s="16"/>
      <c r="F106" s="14"/>
      <c r="G106" s="3"/>
      <c r="H106" s="26">
        <f t="shared" si="1"/>
        <v>199133786.31999999</v>
      </c>
      <c r="I106" s="2"/>
      <c r="N106" s="27"/>
    </row>
    <row r="107" spans="1:14" customFormat="1" hidden="1">
      <c r="A107" s="3"/>
      <c r="B107" s="16" t="s">
        <v>110</v>
      </c>
      <c r="C107" s="3"/>
      <c r="D107" s="26">
        <v>0</v>
      </c>
      <c r="E107" s="16"/>
      <c r="F107" s="14"/>
      <c r="G107" s="3"/>
      <c r="H107" s="26">
        <f t="shared" si="1"/>
        <v>0</v>
      </c>
      <c r="I107" s="2"/>
      <c r="N107" s="27"/>
    </row>
    <row r="108" spans="1:14" customFormat="1" hidden="1">
      <c r="A108" s="3"/>
      <c r="B108" s="16"/>
      <c r="C108" s="3"/>
      <c r="D108" s="26"/>
      <c r="E108" s="16"/>
      <c r="F108" s="14"/>
      <c r="G108" s="3"/>
      <c r="H108" s="26"/>
      <c r="I108" s="2"/>
      <c r="N108" s="27"/>
    </row>
    <row r="109" spans="1:14" customFormat="1" hidden="1">
      <c r="A109" s="3"/>
      <c r="B109" s="16" t="s">
        <v>111</v>
      </c>
      <c r="C109" s="3"/>
      <c r="D109" s="26">
        <v>0</v>
      </c>
      <c r="E109" s="16"/>
      <c r="F109" s="14"/>
      <c r="G109" s="3"/>
      <c r="H109" s="26">
        <f>D109</f>
        <v>0</v>
      </c>
      <c r="I109" s="2"/>
      <c r="N109" s="27"/>
    </row>
    <row r="110" spans="1:14" customFormat="1" hidden="1">
      <c r="A110" s="3"/>
      <c r="B110" s="16" t="s">
        <v>112</v>
      </c>
      <c r="C110" s="3"/>
      <c r="D110" s="26">
        <v>0</v>
      </c>
      <c r="E110" s="16"/>
      <c r="F110" s="14"/>
      <c r="G110" s="3"/>
      <c r="H110" s="26">
        <f>D110</f>
        <v>0</v>
      </c>
      <c r="I110" s="2"/>
      <c r="N110" s="27"/>
    </row>
    <row r="111" spans="1:14" customFormat="1" hidden="1">
      <c r="A111" s="3"/>
      <c r="B111" s="16" t="s">
        <v>113</v>
      </c>
      <c r="C111" s="3"/>
      <c r="D111" s="26">
        <v>0</v>
      </c>
      <c r="E111" s="16"/>
      <c r="F111" s="14"/>
      <c r="G111" s="3"/>
      <c r="H111" s="26">
        <f>D111</f>
        <v>0</v>
      </c>
      <c r="I111" s="2"/>
      <c r="N111" s="27"/>
    </row>
    <row r="112" spans="1:14" customFormat="1" hidden="1">
      <c r="A112" s="3"/>
      <c r="B112" s="16"/>
      <c r="C112" s="3"/>
      <c r="D112" s="26"/>
      <c r="E112" s="16"/>
      <c r="F112" s="14"/>
      <c r="G112" s="3"/>
      <c r="H112" s="26"/>
      <c r="I112" s="2"/>
      <c r="N112" s="27"/>
    </row>
    <row r="113" spans="1:14" customFormat="1" hidden="1">
      <c r="A113" s="3"/>
      <c r="B113" s="16" t="s">
        <v>114</v>
      </c>
      <c r="C113" s="3"/>
      <c r="D113" s="26">
        <v>0</v>
      </c>
      <c r="E113" s="16"/>
      <c r="F113" s="14"/>
      <c r="G113" s="3"/>
      <c r="H113" s="26">
        <f>D113</f>
        <v>0</v>
      </c>
      <c r="I113" s="2"/>
      <c r="N113" s="27"/>
    </row>
    <row r="114" spans="1:14" customFormat="1" ht="11.25" thickBot="1">
      <c r="A114" s="3"/>
      <c r="B114" s="3"/>
      <c r="C114" s="3"/>
      <c r="D114" s="11" t="s">
        <v>14</v>
      </c>
      <c r="E114" s="14" t="s">
        <v>13</v>
      </c>
      <c r="F114" s="11" t="s">
        <v>14</v>
      </c>
      <c r="G114" s="11" t="s">
        <v>14</v>
      </c>
      <c r="H114" s="11" t="s">
        <v>14</v>
      </c>
      <c r="I114" s="11" t="s">
        <v>14</v>
      </c>
      <c r="N114" s="27"/>
    </row>
    <row r="115" spans="1:14" customFormat="1" ht="11.25" thickBot="1">
      <c r="A115" s="3" t="s">
        <v>37</v>
      </c>
      <c r="B115" s="3"/>
      <c r="C115" s="3"/>
      <c r="D115" s="26">
        <f>SUM(D93:D113)</f>
        <v>304633682.63999999</v>
      </c>
      <c r="E115" s="16"/>
      <c r="F115" s="26">
        <f>SUM(F92:F113)</f>
        <v>0</v>
      </c>
      <c r="G115" s="26">
        <f>SUM(G92:G113)</f>
        <v>0</v>
      </c>
      <c r="H115" s="26">
        <f>SUM(H92:H113)</f>
        <v>304633682.63999999</v>
      </c>
      <c r="I115" s="26">
        <f>SUM(I92:I105)</f>
        <v>0</v>
      </c>
      <c r="K115" s="36">
        <v>0</v>
      </c>
      <c r="L115" s="24" t="s">
        <v>40</v>
      </c>
      <c r="M115" s="37">
        <f>D115-SUM(F115:I115)</f>
        <v>0</v>
      </c>
      <c r="N115" s="27"/>
    </row>
    <row r="116" spans="1:14" customFormat="1">
      <c r="A116" s="3"/>
      <c r="B116" s="3"/>
      <c r="C116" s="3"/>
      <c r="D116" s="7"/>
      <c r="E116" s="16"/>
      <c r="F116" s="16"/>
      <c r="G116" s="16"/>
      <c r="H116" s="16"/>
      <c r="I116" s="16"/>
      <c r="N116" s="27"/>
    </row>
    <row r="117" spans="1:14" customFormat="1">
      <c r="A117" s="3" t="s">
        <v>43</v>
      </c>
      <c r="B117" s="3"/>
      <c r="C117" s="3"/>
      <c r="D117" s="7"/>
      <c r="E117" s="16"/>
      <c r="F117" s="16"/>
      <c r="G117" s="16"/>
      <c r="H117" s="16"/>
      <c r="I117" s="16"/>
      <c r="N117" s="27"/>
    </row>
    <row r="118" spans="1:14" customFormat="1">
      <c r="A118" s="3"/>
      <c r="B118" s="16" t="s">
        <v>97</v>
      </c>
      <c r="C118" s="3"/>
      <c r="D118" s="26">
        <v>0</v>
      </c>
      <c r="E118" s="16"/>
      <c r="F118" s="14"/>
      <c r="G118" s="3"/>
      <c r="H118" s="26">
        <f>D118</f>
        <v>0</v>
      </c>
      <c r="I118" s="2"/>
      <c r="N118" s="27"/>
    </row>
    <row r="119" spans="1:14">
      <c r="D119" s="11" t="s">
        <v>14</v>
      </c>
      <c r="E119" s="14" t="s">
        <v>13</v>
      </c>
      <c r="F119" s="11" t="s">
        <v>14</v>
      </c>
      <c r="G119" s="11" t="s">
        <v>14</v>
      </c>
      <c r="H119" s="11" t="s">
        <v>14</v>
      </c>
      <c r="I119" s="11" t="s">
        <v>14</v>
      </c>
    </row>
    <row r="120" spans="1:14">
      <c r="A120" s="3" t="s">
        <v>44</v>
      </c>
      <c r="D120" s="26">
        <v>0</v>
      </c>
      <c r="E120" s="16"/>
      <c r="F120" s="26">
        <f>SUM(F118:F118)</f>
        <v>0</v>
      </c>
      <c r="G120" s="26">
        <f>SUM(G118:G118)</f>
        <v>0</v>
      </c>
      <c r="H120" s="26">
        <f>SUM(H118:H118)</f>
        <v>0</v>
      </c>
      <c r="I120" s="26">
        <f>SUM(I118:I118)</f>
        <v>0</v>
      </c>
    </row>
    <row r="121" spans="1:14" ht="11.25" thickBot="1">
      <c r="D121" s="19" t="s">
        <v>38</v>
      </c>
      <c r="E121" s="14" t="s">
        <v>13</v>
      </c>
      <c r="F121" s="19" t="s">
        <v>38</v>
      </c>
      <c r="G121" s="19" t="s">
        <v>38</v>
      </c>
      <c r="H121" s="19" t="s">
        <v>38</v>
      </c>
      <c r="I121" s="19" t="s">
        <v>38</v>
      </c>
    </row>
    <row r="122" spans="1:14" ht="11.25" thickBot="1">
      <c r="A122" s="3" t="s">
        <v>39</v>
      </c>
      <c r="D122" s="26">
        <f>D115+D90+D76+D120-D16</f>
        <v>578868163.53999996</v>
      </c>
      <c r="E122" s="16" t="s">
        <v>13</v>
      </c>
      <c r="F122" s="26">
        <f>F115+F90+F76+F120-F16</f>
        <v>14564456.737641495</v>
      </c>
      <c r="G122" s="26">
        <f>G115+G90+G76+G120-G16</f>
        <v>12377848.49156395</v>
      </c>
      <c r="H122" s="26">
        <f>H115+H90+H76+H120-H16</f>
        <v>304633682.63999999</v>
      </c>
      <c r="I122" s="26">
        <f>I115+I90+I76+I120-I16</f>
        <v>247292175.67079458</v>
      </c>
      <c r="K122" s="36">
        <v>0</v>
      </c>
      <c r="L122" s="24" t="s">
        <v>40</v>
      </c>
      <c r="M122" s="37">
        <f>D122-SUM(F122:I122)</f>
        <v>0</v>
      </c>
    </row>
    <row r="123" spans="1:14">
      <c r="D123" s="19" t="s">
        <v>38</v>
      </c>
      <c r="E123" s="14" t="s">
        <v>13</v>
      </c>
      <c r="F123" s="19" t="s">
        <v>38</v>
      </c>
      <c r="G123" s="19" t="s">
        <v>38</v>
      </c>
      <c r="H123" s="19" t="s">
        <v>38</v>
      </c>
      <c r="I123" s="19" t="s">
        <v>38</v>
      </c>
    </row>
  </sheetData>
  <mergeCells count="1">
    <mergeCell ref="A4:C4"/>
  </mergeCells>
  <pageMargins left="0.65" right="0.72" top="1" bottom="1" header="0.5" footer="0.5"/>
  <pageSetup scale="67" orientation="portrait" r:id="rId1"/>
  <headerFooter alignWithMargins="0">
    <oddHeader>&amp;L&amp;"Arial,Regular"&amp;10WA UE-130043
Bench Request 9&amp;R&amp;"Arial,Bold"&amp;10Attachment Bench Request 9</oddHeader>
    <oddFooter>&amp;L&amp;"Arial,Regular"&amp;10&amp;F&amp;C&amp;A</oddFooter>
  </headerFooter>
  <rowBreaks count="1" manualBreakCount="1">
    <brk id="69" max="8"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K50"/>
  <sheetViews>
    <sheetView view="pageBreakPreview" zoomScale="85" zoomScaleNormal="100" zoomScaleSheetLayoutView="85" workbookViewId="0">
      <selection activeCell="T91" sqref="T91"/>
    </sheetView>
  </sheetViews>
  <sheetFormatPr defaultRowHeight="12.75"/>
  <cols>
    <col min="1" max="1" width="4.83203125" style="275" customWidth="1"/>
    <col min="2" max="2" width="8" style="275" customWidth="1"/>
    <col min="3" max="3" width="32.83203125" style="275" customWidth="1"/>
    <col min="4" max="4" width="12.33203125" style="275" customWidth="1"/>
    <col min="5" max="5" width="9.33203125" style="276"/>
    <col min="6" max="6" width="17" style="106" customWidth="1"/>
    <col min="7" max="7" width="9.33203125" style="276"/>
    <col min="8" max="8" width="12" style="276" bestFit="1" customWidth="1"/>
    <col min="9" max="9" width="15.33203125" style="276" bestFit="1" customWidth="1"/>
    <col min="10" max="16384" width="9.33203125" style="275"/>
  </cols>
  <sheetData>
    <row r="1" spans="1:10">
      <c r="A1" s="274" t="s">
        <v>118</v>
      </c>
      <c r="B1" s="274"/>
      <c r="I1" s="277" t="s">
        <v>272</v>
      </c>
      <c r="J1" s="296" t="s">
        <v>293</v>
      </c>
    </row>
    <row r="2" spans="1:10">
      <c r="A2" s="274" t="s">
        <v>255</v>
      </c>
      <c r="B2" s="274"/>
    </row>
    <row r="3" spans="1:10">
      <c r="A3" s="274" t="s">
        <v>316</v>
      </c>
      <c r="B3" s="274"/>
    </row>
    <row r="5" spans="1:10">
      <c r="F5" s="105" t="s">
        <v>274</v>
      </c>
      <c r="I5" s="276" t="s">
        <v>126</v>
      </c>
    </row>
    <row r="6" spans="1:10" ht="15">
      <c r="D6" s="279" t="s">
        <v>275</v>
      </c>
      <c r="E6" s="279" t="s">
        <v>276</v>
      </c>
      <c r="F6" s="280" t="s">
        <v>277</v>
      </c>
      <c r="G6" s="279" t="s">
        <v>278</v>
      </c>
      <c r="H6" s="279" t="s">
        <v>134</v>
      </c>
      <c r="I6" s="279" t="s">
        <v>279</v>
      </c>
      <c r="J6" s="279" t="s">
        <v>280</v>
      </c>
    </row>
    <row r="7" spans="1:10" ht="15">
      <c r="B7" s="274" t="s">
        <v>281</v>
      </c>
      <c r="C7" s="281"/>
      <c r="D7" s="279"/>
      <c r="E7" s="279"/>
      <c r="F7" s="280"/>
      <c r="G7" s="279"/>
      <c r="H7" s="279"/>
      <c r="I7" s="279"/>
      <c r="J7" s="279"/>
    </row>
    <row r="8" spans="1:10" ht="15">
      <c r="B8" s="274"/>
      <c r="C8" s="281"/>
      <c r="D8" s="279"/>
      <c r="E8" s="279"/>
      <c r="F8" s="280"/>
      <c r="G8" s="279"/>
      <c r="H8" s="279"/>
      <c r="I8" s="279"/>
      <c r="J8" s="279"/>
    </row>
    <row r="9" spans="1:10">
      <c r="B9" s="274" t="s">
        <v>137</v>
      </c>
      <c r="C9" s="281"/>
    </row>
    <row r="10" spans="1:10">
      <c r="B10" s="281" t="s">
        <v>138</v>
      </c>
      <c r="C10" s="281"/>
      <c r="D10" s="282" t="s">
        <v>139</v>
      </c>
      <c r="E10" s="283" t="s">
        <v>286</v>
      </c>
      <c r="F10" s="106">
        <f>'9.1 - Summary '!AI15</f>
        <v>0</v>
      </c>
      <c r="G10" s="276" t="s">
        <v>140</v>
      </c>
      <c r="H10" s="284">
        <v>0.2262649010137</v>
      </c>
      <c r="I10" s="276">
        <f>F10*H10</f>
        <v>0</v>
      </c>
      <c r="J10" s="276"/>
    </row>
    <row r="11" spans="1:10">
      <c r="B11" s="281" t="s">
        <v>141</v>
      </c>
      <c r="C11" s="281"/>
      <c r="D11" s="282" t="s">
        <v>139</v>
      </c>
      <c r="E11" s="283" t="s">
        <v>286</v>
      </c>
      <c r="F11" s="106">
        <f>'9.1 - Summary '!AI16</f>
        <v>-146101.5</v>
      </c>
      <c r="G11" s="276" t="s">
        <v>140</v>
      </c>
      <c r="H11" s="284">
        <v>0.2262649010137</v>
      </c>
      <c r="I11" s="276">
        <f t="shared" ref="I11:I12" si="0">F11*H11</f>
        <v>-33057.641435453093</v>
      </c>
      <c r="J11" s="276"/>
    </row>
    <row r="12" spans="1:10">
      <c r="B12" s="281" t="s">
        <v>142</v>
      </c>
      <c r="C12" s="281"/>
      <c r="D12" s="282" t="s">
        <v>139</v>
      </c>
      <c r="E12" s="283" t="s">
        <v>286</v>
      </c>
      <c r="F12" s="106">
        <f>'9.1 - Summary '!AI17</f>
        <v>0</v>
      </c>
      <c r="G12" s="276" t="s">
        <v>143</v>
      </c>
      <c r="H12" s="284">
        <v>0.22648067236840891</v>
      </c>
      <c r="I12" s="276">
        <f t="shared" si="0"/>
        <v>0</v>
      </c>
    </row>
    <row r="13" spans="1:10">
      <c r="B13" s="281" t="s">
        <v>144</v>
      </c>
      <c r="C13" s="281"/>
      <c r="D13" s="282"/>
      <c r="E13" s="283"/>
      <c r="F13" s="285">
        <f>SUM(F10:F12)</f>
        <v>-146101.5</v>
      </c>
      <c r="H13" s="284"/>
      <c r="I13" s="285">
        <f>SUM(I10:I12)</f>
        <v>-33057.641435453093</v>
      </c>
      <c r="J13" s="282" t="s">
        <v>336</v>
      </c>
    </row>
    <row r="14" spans="1:10">
      <c r="B14" s="281"/>
      <c r="C14" s="286"/>
      <c r="D14" s="282"/>
      <c r="E14" s="283"/>
      <c r="H14" s="284"/>
    </row>
    <row r="15" spans="1:10">
      <c r="B15" s="274" t="s">
        <v>145</v>
      </c>
      <c r="C15" s="286"/>
      <c r="D15" s="282"/>
      <c r="E15" s="283"/>
      <c r="H15" s="284"/>
    </row>
    <row r="16" spans="1:10">
      <c r="B16" s="281" t="s">
        <v>146</v>
      </c>
      <c r="C16" s="286"/>
      <c r="D16" s="282" t="s">
        <v>147</v>
      </c>
      <c r="E16" s="283" t="s">
        <v>286</v>
      </c>
      <c r="F16" s="106">
        <f>'9.1 - Summary '!AI21</f>
        <v>0</v>
      </c>
      <c r="G16" s="276" t="s">
        <v>140</v>
      </c>
      <c r="H16" s="284">
        <v>0.2262649010137</v>
      </c>
      <c r="I16" s="276">
        <f t="shared" ref="I16:I20" si="1">F16*H16</f>
        <v>0</v>
      </c>
      <c r="J16" s="276"/>
    </row>
    <row r="17" spans="2:10">
      <c r="B17" s="281" t="s">
        <v>148</v>
      </c>
      <c r="C17" s="286"/>
      <c r="D17" s="282" t="s">
        <v>147</v>
      </c>
      <c r="E17" s="283" t="s">
        <v>286</v>
      </c>
      <c r="F17" s="106">
        <f>'9.1 - Summary '!AI22</f>
        <v>0</v>
      </c>
      <c r="G17" s="276" t="s">
        <v>143</v>
      </c>
      <c r="H17" s="284">
        <v>0.22648067236840891</v>
      </c>
      <c r="I17" s="276">
        <f t="shared" si="1"/>
        <v>0</v>
      </c>
      <c r="J17" s="276"/>
    </row>
    <row r="18" spans="2:10">
      <c r="B18" s="281" t="s">
        <v>149</v>
      </c>
      <c r="C18" s="286"/>
      <c r="D18" s="282" t="s">
        <v>147</v>
      </c>
      <c r="E18" s="283" t="s">
        <v>286</v>
      </c>
      <c r="F18" s="106">
        <f>'9.1 - Summary '!AI23</f>
        <v>0</v>
      </c>
      <c r="G18" s="276" t="s">
        <v>140</v>
      </c>
      <c r="H18" s="284">
        <v>0.2262649010137</v>
      </c>
      <c r="I18" s="276">
        <f t="shared" si="1"/>
        <v>0</v>
      </c>
      <c r="J18" s="276"/>
    </row>
    <row r="19" spans="2:10">
      <c r="B19" s="281" t="s">
        <v>150</v>
      </c>
      <c r="C19" s="286"/>
      <c r="D19" s="282" t="s">
        <v>147</v>
      </c>
      <c r="E19" s="283" t="s">
        <v>286</v>
      </c>
      <c r="F19" s="106">
        <f>'9.1 - Summary '!AI24</f>
        <v>911121.28999996185</v>
      </c>
      <c r="G19" s="276" t="s">
        <v>140</v>
      </c>
      <c r="H19" s="284">
        <v>0.2262649010137</v>
      </c>
      <c r="I19" s="276">
        <f t="shared" si="1"/>
        <v>206154.76849331602</v>
      </c>
      <c r="J19" s="276"/>
    </row>
    <row r="20" spans="2:10">
      <c r="B20" s="281" t="s">
        <v>151</v>
      </c>
      <c r="C20" s="281"/>
      <c r="D20" s="282" t="s">
        <v>147</v>
      </c>
      <c r="E20" s="283" t="s">
        <v>286</v>
      </c>
      <c r="F20" s="106">
        <f>'9.1 - Summary '!AI25</f>
        <v>0</v>
      </c>
      <c r="G20" s="276" t="s">
        <v>140</v>
      </c>
      <c r="H20" s="284">
        <v>0.2262649010137</v>
      </c>
      <c r="I20" s="276">
        <f t="shared" si="1"/>
        <v>0</v>
      </c>
    </row>
    <row r="21" spans="2:10">
      <c r="B21" s="281" t="s">
        <v>152</v>
      </c>
      <c r="C21" s="281"/>
      <c r="D21" s="282"/>
      <c r="E21" s="283"/>
      <c r="F21" s="285">
        <f>SUM(F16:F20)</f>
        <v>911121.28999996185</v>
      </c>
      <c r="H21" s="284"/>
      <c r="I21" s="285">
        <f>SUM(I16:I20)</f>
        <v>206154.76849331602</v>
      </c>
      <c r="J21" s="282" t="s">
        <v>336</v>
      </c>
    </row>
    <row r="22" spans="2:10">
      <c r="B22" s="281"/>
      <c r="C22" s="281"/>
      <c r="D22" s="282"/>
      <c r="E22" s="283"/>
      <c r="H22" s="284"/>
    </row>
    <row r="23" spans="2:10">
      <c r="B23" s="274" t="s">
        <v>153</v>
      </c>
      <c r="C23" s="281"/>
      <c r="D23" s="282"/>
      <c r="E23" s="283"/>
      <c r="H23" s="284"/>
      <c r="J23" s="276"/>
    </row>
    <row r="24" spans="2:10">
      <c r="B24" s="281" t="s">
        <v>154</v>
      </c>
      <c r="C24" s="281"/>
      <c r="D24" s="282" t="s">
        <v>155</v>
      </c>
      <c r="E24" s="283" t="s">
        <v>286</v>
      </c>
      <c r="F24" s="106">
        <f>'9.1 - Summary '!AI29</f>
        <v>0</v>
      </c>
      <c r="G24" s="276" t="s">
        <v>140</v>
      </c>
      <c r="H24" s="284">
        <v>0.2262649010137</v>
      </c>
      <c r="I24" s="276">
        <f t="shared" ref="I24:I26" si="2">F24*H24</f>
        <v>0</v>
      </c>
      <c r="J24" s="276"/>
    </row>
    <row r="25" spans="2:10">
      <c r="B25" s="281" t="s">
        <v>156</v>
      </c>
      <c r="C25" s="286"/>
      <c r="D25" s="282" t="s">
        <v>155</v>
      </c>
      <c r="E25" s="283" t="s">
        <v>286</v>
      </c>
      <c r="F25" s="106">
        <f>'9.1 - Summary '!AI30</f>
        <v>0</v>
      </c>
      <c r="G25" s="276" t="s">
        <v>140</v>
      </c>
      <c r="H25" s="284">
        <v>0.2262649010137</v>
      </c>
      <c r="I25" s="276">
        <f t="shared" si="2"/>
        <v>0</v>
      </c>
      <c r="J25" s="276"/>
    </row>
    <row r="26" spans="2:10">
      <c r="B26" s="281" t="s">
        <v>157</v>
      </c>
      <c r="C26" s="286"/>
      <c r="D26" s="282" t="s">
        <v>155</v>
      </c>
      <c r="E26" s="283" t="s">
        <v>286</v>
      </c>
      <c r="F26" s="106">
        <f>'9.1 - Summary '!AI31</f>
        <v>0</v>
      </c>
      <c r="G26" s="276" t="s">
        <v>143</v>
      </c>
      <c r="H26" s="284">
        <v>0.22648067236840891</v>
      </c>
      <c r="I26" s="276">
        <f t="shared" si="2"/>
        <v>0</v>
      </c>
      <c r="J26" s="276"/>
    </row>
    <row r="27" spans="2:10">
      <c r="B27" s="281" t="s">
        <v>158</v>
      </c>
      <c r="C27" s="281"/>
      <c r="D27" s="282"/>
      <c r="E27" s="283"/>
      <c r="F27" s="285">
        <f>SUM(F24:F26)</f>
        <v>0</v>
      </c>
      <c r="H27" s="284"/>
      <c r="I27" s="285">
        <f>SUM(I24:I26)</f>
        <v>0</v>
      </c>
      <c r="J27" s="282" t="s">
        <v>336</v>
      </c>
    </row>
    <row r="28" spans="2:10">
      <c r="B28" s="281"/>
      <c r="C28" s="281"/>
      <c r="D28" s="282"/>
      <c r="E28" s="283"/>
      <c r="H28" s="284"/>
    </row>
    <row r="29" spans="2:10">
      <c r="B29" s="274" t="s">
        <v>159</v>
      </c>
      <c r="C29" s="274"/>
      <c r="D29" s="282"/>
      <c r="E29" s="283"/>
      <c r="H29" s="284"/>
      <c r="J29" s="276"/>
    </row>
    <row r="30" spans="2:10">
      <c r="B30" s="281" t="s">
        <v>160</v>
      </c>
      <c r="C30" s="274"/>
      <c r="D30" s="282" t="s">
        <v>161</v>
      </c>
      <c r="E30" s="283" t="s">
        <v>286</v>
      </c>
      <c r="F30" s="106">
        <f>'9.1 - Summary '!AI35</f>
        <v>-126558.34999999404</v>
      </c>
      <c r="G30" s="276" t="s">
        <v>143</v>
      </c>
      <c r="H30" s="284">
        <v>0.22648067236840891</v>
      </c>
      <c r="I30" s="276">
        <f t="shared" ref="I30:I31" si="3">F30*H30</f>
        <v>-28663.020201835072</v>
      </c>
      <c r="J30" s="276"/>
    </row>
    <row r="31" spans="2:10">
      <c r="B31" s="281" t="s">
        <v>162</v>
      </c>
      <c r="C31" s="274"/>
      <c r="D31" s="282" t="s">
        <v>163</v>
      </c>
      <c r="E31" s="283" t="s">
        <v>286</v>
      </c>
      <c r="F31" s="106">
        <f>'9.1 - Summary '!AI36</f>
        <v>115380.53000000119</v>
      </c>
      <c r="G31" s="276" t="s">
        <v>143</v>
      </c>
      <c r="H31" s="284">
        <v>0.22648067236840891</v>
      </c>
      <c r="I31" s="276">
        <f t="shared" si="3"/>
        <v>26131.460012623644</v>
      </c>
    </row>
    <row r="32" spans="2:10">
      <c r="B32" s="281" t="s">
        <v>164</v>
      </c>
      <c r="C32" s="274"/>
      <c r="D32" s="282"/>
      <c r="E32" s="283"/>
      <c r="F32" s="285">
        <f>SUM(F30:F31)</f>
        <v>-11177.819999992847</v>
      </c>
      <c r="H32" s="287"/>
      <c r="I32" s="285">
        <f>SUM(I30:I31)</f>
        <v>-2531.5601892114282</v>
      </c>
      <c r="J32" s="282" t="s">
        <v>336</v>
      </c>
    </row>
    <row r="33" spans="1:11">
      <c r="B33" s="291"/>
      <c r="C33" s="274"/>
      <c r="D33" s="282"/>
      <c r="E33" s="283"/>
      <c r="H33" s="287"/>
      <c r="I33" s="106"/>
      <c r="J33" s="276"/>
    </row>
    <row r="34" spans="1:11">
      <c r="B34" s="288" t="s">
        <v>284</v>
      </c>
      <c r="C34" s="274"/>
      <c r="D34" s="282"/>
      <c r="E34" s="283"/>
      <c r="F34" s="285">
        <f>-F13+F21+F27+F32</f>
        <v>1046044.969999969</v>
      </c>
      <c r="H34" s="287"/>
      <c r="I34" s="285">
        <f>-I13+I21+I27+I32</f>
        <v>236680.84973955769</v>
      </c>
      <c r="J34" s="276"/>
    </row>
    <row r="35" spans="1:11">
      <c r="C35" s="274"/>
      <c r="F35" s="289"/>
      <c r="J35" s="276"/>
    </row>
    <row r="36" spans="1:11">
      <c r="C36" s="274"/>
      <c r="F36" s="289"/>
      <c r="J36" s="276"/>
    </row>
    <row r="37" spans="1:11">
      <c r="C37" s="274"/>
      <c r="F37" s="289"/>
      <c r="J37" s="276"/>
    </row>
    <row r="42" spans="1:11" ht="13.5" thickBot="1">
      <c r="B42" s="290" t="s">
        <v>283</v>
      </c>
    </row>
    <row r="43" spans="1:11" ht="12.75" customHeight="1">
      <c r="A43" s="359" t="s">
        <v>345</v>
      </c>
      <c r="B43" s="360"/>
      <c r="C43" s="360"/>
      <c r="D43" s="360"/>
      <c r="E43" s="360"/>
      <c r="F43" s="360"/>
      <c r="G43" s="360"/>
      <c r="H43" s="360"/>
      <c r="I43" s="360"/>
      <c r="J43" s="361"/>
      <c r="K43" s="292"/>
    </row>
    <row r="44" spans="1:11">
      <c r="A44" s="362"/>
      <c r="B44" s="363"/>
      <c r="C44" s="363"/>
      <c r="D44" s="363"/>
      <c r="E44" s="363"/>
      <c r="F44" s="363"/>
      <c r="G44" s="363"/>
      <c r="H44" s="363"/>
      <c r="I44" s="363"/>
      <c r="J44" s="364"/>
      <c r="K44" s="292"/>
    </row>
    <row r="45" spans="1:11">
      <c r="A45" s="362"/>
      <c r="B45" s="363"/>
      <c r="C45" s="363"/>
      <c r="D45" s="363"/>
      <c r="E45" s="363"/>
      <c r="F45" s="363"/>
      <c r="G45" s="363"/>
      <c r="H45" s="363"/>
      <c r="I45" s="363"/>
      <c r="J45" s="364"/>
      <c r="K45" s="292"/>
    </row>
    <row r="46" spans="1:11">
      <c r="A46" s="362"/>
      <c r="B46" s="363"/>
      <c r="C46" s="363"/>
      <c r="D46" s="363"/>
      <c r="E46" s="363"/>
      <c r="F46" s="363"/>
      <c r="G46" s="363"/>
      <c r="H46" s="363"/>
      <c r="I46" s="363"/>
      <c r="J46" s="364"/>
      <c r="K46" s="292"/>
    </row>
    <row r="47" spans="1:11">
      <c r="A47" s="362"/>
      <c r="B47" s="363"/>
      <c r="C47" s="363"/>
      <c r="D47" s="363"/>
      <c r="E47" s="363"/>
      <c r="F47" s="363"/>
      <c r="G47" s="363"/>
      <c r="H47" s="363"/>
      <c r="I47" s="363"/>
      <c r="J47" s="364"/>
      <c r="K47" s="292"/>
    </row>
    <row r="48" spans="1:11">
      <c r="A48" s="362"/>
      <c r="B48" s="363"/>
      <c r="C48" s="363"/>
      <c r="D48" s="363"/>
      <c r="E48" s="363"/>
      <c r="F48" s="363"/>
      <c r="G48" s="363"/>
      <c r="H48" s="363"/>
      <c r="I48" s="363"/>
      <c r="J48" s="364"/>
      <c r="K48" s="292"/>
    </row>
    <row r="49" spans="1:11">
      <c r="A49" s="362"/>
      <c r="B49" s="363"/>
      <c r="C49" s="363"/>
      <c r="D49" s="363"/>
      <c r="E49" s="363"/>
      <c r="F49" s="363"/>
      <c r="G49" s="363"/>
      <c r="H49" s="363"/>
      <c r="I49" s="363"/>
      <c r="J49" s="364"/>
      <c r="K49" s="292"/>
    </row>
    <row r="50" spans="1:11" ht="13.5" thickBot="1">
      <c r="A50" s="365"/>
      <c r="B50" s="366"/>
      <c r="C50" s="366"/>
      <c r="D50" s="366"/>
      <c r="E50" s="366"/>
      <c r="F50" s="366"/>
      <c r="G50" s="366"/>
      <c r="H50" s="366"/>
      <c r="I50" s="366"/>
      <c r="J50" s="367"/>
      <c r="K50" s="292"/>
    </row>
  </sheetData>
  <mergeCells count="1">
    <mergeCell ref="A43:J50"/>
  </mergeCells>
  <conditionalFormatting sqref="B9:B26">
    <cfRule type="cellIs" dxfId="50" priority="3" stopIfTrue="1" operator="equal">
      <formula>"Adjustment to Income/Expense/Rate Base:"</formula>
    </cfRule>
  </conditionalFormatting>
  <conditionalFormatting sqref="B20:B22">
    <cfRule type="cellIs" dxfId="49" priority="2" stopIfTrue="1" operator="equal">
      <formula>"Title"</formula>
    </cfRule>
  </conditionalFormatting>
  <conditionalFormatting sqref="B27:B34">
    <cfRule type="cellIs" dxfId="48" priority="1" stopIfTrue="1" operator="equal">
      <formula>"Adjustment to Income/Expense/Rate Base:"</formula>
    </cfRule>
  </conditionalFormatting>
  <pageMargins left="0.65" right="0.72" top="1" bottom="1" header="0.5" footer="0.5"/>
  <pageSetup scale="77" orientation="portrait" r:id="rId1"/>
  <headerFooter alignWithMargins="0">
    <oddHeader>&amp;L&amp;"Arial,Regular"&amp;10WA UE-130043
Bench Request 9&amp;R&amp;"Arial,Bold"&amp;10Attachment Bench Request 9</oddHeader>
    <oddFooter>&amp;L&amp;"Arial,Regular"&amp;10&amp;F&amp;C&amp;A</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S123"/>
  <sheetViews>
    <sheetView view="pageBreakPreview" zoomScale="85" zoomScaleNormal="85" zoomScaleSheetLayoutView="85" workbookViewId="0">
      <pane xSplit="3" ySplit="6" topLeftCell="D7" activePane="bottomRight" state="frozen"/>
      <selection activeCell="T91" sqref="T91"/>
      <selection pane="topRight" activeCell="T91" sqref="T91"/>
      <selection pane="bottomLeft" activeCell="T91" sqref="T91"/>
      <selection pane="bottomRight" activeCell="T91" sqref="T91"/>
    </sheetView>
  </sheetViews>
  <sheetFormatPr defaultColWidth="11" defaultRowHeight="10.5"/>
  <cols>
    <col min="1" max="1" width="3" style="3" customWidth="1"/>
    <col min="2" max="2" width="2.6640625" style="3" customWidth="1"/>
    <col min="3" max="3" width="33.1640625" style="3" customWidth="1"/>
    <col min="4" max="4" width="13.83203125" style="3" customWidth="1"/>
    <col min="5" max="5" width="2.33203125" style="3" customWidth="1"/>
    <col min="6" max="6" width="15.83203125" style="3" customWidth="1"/>
    <col min="7" max="8" width="13.33203125" style="3" bestFit="1" customWidth="1"/>
    <col min="9" max="9" width="13.83203125" style="3" bestFit="1" customWidth="1"/>
    <col min="10" max="10" width="11" style="3" customWidth="1"/>
    <col min="11" max="11" width="14.5" style="3" customWidth="1"/>
    <col min="12" max="12" width="11" style="3" customWidth="1"/>
    <col min="13" max="13" width="14.1640625" style="3" bestFit="1" customWidth="1"/>
    <col min="14" max="14" width="20.1640625" style="27" bestFit="1" customWidth="1"/>
    <col min="15" max="15" width="15" style="3" bestFit="1" customWidth="1"/>
    <col min="16" max="16" width="14.6640625" style="3" bestFit="1" customWidth="1"/>
    <col min="17" max="16384" width="11" style="3"/>
  </cols>
  <sheetData>
    <row r="1" spans="1:14">
      <c r="A1" s="4" t="s">
        <v>118</v>
      </c>
      <c r="D1"/>
      <c r="E1" s="9"/>
      <c r="F1" s="8" t="s">
        <v>42</v>
      </c>
    </row>
    <row r="2" spans="1:14">
      <c r="A2" s="20"/>
      <c r="D2"/>
      <c r="E2" s="9"/>
      <c r="F2" s="9" t="s">
        <v>0</v>
      </c>
      <c r="K2" s="50"/>
    </row>
    <row r="3" spans="1:14">
      <c r="A3" s="5" t="s">
        <v>52</v>
      </c>
      <c r="D3" s="10"/>
      <c r="E3" s="10"/>
      <c r="F3" s="8" t="s">
        <v>1</v>
      </c>
    </row>
    <row r="4" spans="1:14">
      <c r="A4" s="358">
        <v>41974</v>
      </c>
      <c r="B4" s="358"/>
      <c r="C4" s="358"/>
      <c r="D4" s="10"/>
      <c r="E4" s="10"/>
      <c r="F4" s="9"/>
    </row>
    <row r="5" spans="1:14">
      <c r="B5" s="5"/>
      <c r="D5" s="11" t="s">
        <v>2</v>
      </c>
      <c r="E5" s="11"/>
      <c r="F5" s="12" t="s">
        <v>3</v>
      </c>
      <c r="G5" s="12" t="s">
        <v>3</v>
      </c>
      <c r="H5" s="12"/>
      <c r="I5" s="12"/>
    </row>
    <row r="6" spans="1:14" s="11" customFormat="1">
      <c r="A6" s="3"/>
      <c r="B6" s="3"/>
      <c r="C6" s="3"/>
      <c r="D6" s="41" t="s">
        <v>117</v>
      </c>
      <c r="E6" s="15"/>
      <c r="F6" s="13" t="s">
        <v>4</v>
      </c>
      <c r="G6" s="13" t="s">
        <v>5</v>
      </c>
      <c r="H6" s="13" t="s">
        <v>6</v>
      </c>
      <c r="I6" s="13" t="s">
        <v>7</v>
      </c>
      <c r="N6" s="28"/>
    </row>
    <row r="7" spans="1:14">
      <c r="A7" s="3" t="s">
        <v>8</v>
      </c>
      <c r="F7" s="6"/>
      <c r="G7" s="6"/>
      <c r="H7" s="6"/>
      <c r="I7" s="6"/>
    </row>
    <row r="8" spans="1:14">
      <c r="B8" t="s">
        <v>9</v>
      </c>
      <c r="D8" s="26">
        <v>12964800</v>
      </c>
      <c r="E8" s="16"/>
      <c r="F8" s="26">
        <f>D8</f>
        <v>12964800</v>
      </c>
      <c r="G8"/>
      <c r="H8"/>
      <c r="I8"/>
    </row>
    <row r="9" spans="1:14" hidden="1">
      <c r="B9"/>
      <c r="D9" s="16"/>
      <c r="E9" s="16"/>
      <c r="F9" s="1"/>
      <c r="G9" s="6"/>
      <c r="H9" s="6"/>
      <c r="I9" s="6"/>
    </row>
    <row r="10" spans="1:14">
      <c r="B10" t="s">
        <v>10</v>
      </c>
      <c r="D10" s="26">
        <v>60717705.25</v>
      </c>
      <c r="E10" s="16"/>
      <c r="F10" s="1"/>
      <c r="G10" s="6"/>
      <c r="H10" s="6"/>
      <c r="I10" s="26">
        <f>D10</f>
        <v>60717705.25</v>
      </c>
    </row>
    <row r="11" spans="1:14" hidden="1">
      <c r="B11"/>
      <c r="D11" s="16"/>
      <c r="E11" s="16"/>
      <c r="F11" s="1"/>
      <c r="G11" s="6"/>
      <c r="H11" s="6"/>
      <c r="I11" s="6"/>
    </row>
    <row r="12" spans="1:14" hidden="1">
      <c r="B12" t="s">
        <v>11</v>
      </c>
      <c r="D12" s="26">
        <v>0</v>
      </c>
      <c r="E12" s="16"/>
      <c r="F12" s="26">
        <f>D12</f>
        <v>0</v>
      </c>
      <c r="G12" s="6"/>
      <c r="H12" s="6"/>
      <c r="I12" s="6"/>
    </row>
    <row r="13" spans="1:14" hidden="1">
      <c r="C13"/>
      <c r="D13" s="16"/>
      <c r="E13" s="16"/>
      <c r="F13" s="6"/>
      <c r="G13" s="6"/>
      <c r="H13" s="6"/>
      <c r="I13" s="6"/>
    </row>
    <row r="14" spans="1:14" hidden="1">
      <c r="B14" s="3" t="s">
        <v>12</v>
      </c>
      <c r="C14"/>
      <c r="D14" s="26">
        <v>0</v>
      </c>
      <c r="E14" s="16"/>
      <c r="F14" s="6"/>
      <c r="G14" s="6"/>
      <c r="H14" s="26">
        <f>D14</f>
        <v>0</v>
      </c>
      <c r="I14" s="6"/>
    </row>
    <row r="15" spans="1:14" ht="11.25" thickBot="1">
      <c r="D15" s="11" t="s">
        <v>14</v>
      </c>
      <c r="E15" s="14" t="s">
        <v>13</v>
      </c>
      <c r="F15" s="11" t="s">
        <v>14</v>
      </c>
      <c r="G15" s="11" t="s">
        <v>14</v>
      </c>
      <c r="H15" s="11" t="s">
        <v>14</v>
      </c>
      <c r="I15" s="11" t="s">
        <v>14</v>
      </c>
    </row>
    <row r="16" spans="1:14" ht="11.25" thickBot="1">
      <c r="A16" s="3" t="s">
        <v>15</v>
      </c>
      <c r="D16" s="26">
        <f>SUM(D8:D14)</f>
        <v>73682505.25</v>
      </c>
      <c r="E16" s="16"/>
      <c r="F16" s="26">
        <f>SUM(F8:F14)</f>
        <v>12964800</v>
      </c>
      <c r="G16" s="26">
        <f>SUM(G8:G14)</f>
        <v>0</v>
      </c>
      <c r="H16" s="26">
        <f>SUM(H8:H14)</f>
        <v>0</v>
      </c>
      <c r="I16" s="26">
        <f>SUM(I8:I14)</f>
        <v>60717705.25</v>
      </c>
      <c r="K16" s="36">
        <v>0</v>
      </c>
      <c r="L16" s="24" t="s">
        <v>40</v>
      </c>
      <c r="M16" s="37">
        <f>D16-SUM(F16:I16)</f>
        <v>0</v>
      </c>
    </row>
    <row r="17" spans="1:19">
      <c r="D17" s="16"/>
      <c r="E17" s="16"/>
      <c r="F17" s="16"/>
      <c r="G17" s="16"/>
      <c r="H17" s="16"/>
      <c r="I17" s="16"/>
      <c r="P17" s="8" t="s">
        <v>67</v>
      </c>
    </row>
    <row r="18" spans="1:19">
      <c r="D18"/>
      <c r="E18" s="6"/>
      <c r="F18" s="6"/>
      <c r="G18" s="6"/>
      <c r="H18" s="6"/>
      <c r="I18" s="6"/>
      <c r="N18" s="39"/>
      <c r="O18" s="35"/>
      <c r="P18" s="48">
        <f>+A4</f>
        <v>41974</v>
      </c>
    </row>
    <row r="19" spans="1:19" ht="11.25">
      <c r="A19" s="3" t="s">
        <v>16</v>
      </c>
      <c r="D19" s="16"/>
      <c r="E19" s="16"/>
      <c r="F19" s="45"/>
      <c r="G19" s="6"/>
      <c r="H19" s="6"/>
      <c r="I19" s="6"/>
      <c r="N19" s="29" t="s">
        <v>56</v>
      </c>
      <c r="O19" s="42">
        <v>0.42634034956164213</v>
      </c>
      <c r="P19" s="16">
        <v>14785516.07</v>
      </c>
      <c r="Q19" s="44"/>
      <c r="R19" s="30"/>
      <c r="S19" s="16"/>
    </row>
    <row r="20" spans="1:19" ht="11.25" hidden="1">
      <c r="B20"/>
      <c r="C20" s="3" t="s">
        <v>17</v>
      </c>
      <c r="D20" s="26">
        <v>0</v>
      </c>
      <c r="E20" s="16"/>
      <c r="F20" s="26">
        <f>D20</f>
        <v>0</v>
      </c>
      <c r="G20" s="6"/>
      <c r="H20" s="6"/>
      <c r="I20" s="6"/>
      <c r="N20" s="29" t="s">
        <v>58</v>
      </c>
      <c r="O20" s="42">
        <f>1-O19</f>
        <v>0.57365965043835787</v>
      </c>
      <c r="P20" s="16">
        <v>19894560.739999998</v>
      </c>
      <c r="Q20" s="44"/>
      <c r="R20" s="30"/>
      <c r="S20" s="16"/>
    </row>
    <row r="21" spans="1:19" ht="11.25" hidden="1">
      <c r="B21"/>
      <c r="C21" s="3" t="s">
        <v>18</v>
      </c>
      <c r="D21" s="26">
        <v>0</v>
      </c>
      <c r="E21" s="16"/>
      <c r="F21" s="26">
        <f>D21-G21</f>
        <v>0</v>
      </c>
      <c r="G21" s="26">
        <v>0</v>
      </c>
      <c r="H21" s="6"/>
      <c r="I21" s="6"/>
      <c r="N21" s="29" t="s">
        <v>57</v>
      </c>
      <c r="O21" s="42">
        <f>IFERROR(P21/(P21+P22),0)</f>
        <v>0</v>
      </c>
      <c r="P21" s="16">
        <v>0</v>
      </c>
      <c r="Q21" s="44"/>
      <c r="R21" s="30"/>
      <c r="S21" s="16"/>
    </row>
    <row r="22" spans="1:19" ht="11.25">
      <c r="B22"/>
      <c r="C22" s="3" t="s">
        <v>19</v>
      </c>
      <c r="D22" s="26">
        <v>-148246.80999999959</v>
      </c>
      <c r="E22" s="16"/>
      <c r="F22" s="26">
        <f>D22*0.3</f>
        <v>-44474.042999999874</v>
      </c>
      <c r="G22" s="26">
        <f>D22*0.7</f>
        <v>-103772.7669999997</v>
      </c>
      <c r="H22" s="6"/>
      <c r="I22" s="6"/>
      <c r="N22" s="29" t="s">
        <v>59</v>
      </c>
      <c r="O22" s="42">
        <f>1-O21</f>
        <v>1</v>
      </c>
      <c r="P22" s="16">
        <v>0</v>
      </c>
      <c r="Q22" s="44"/>
      <c r="R22" s="30"/>
      <c r="S22" s="16"/>
    </row>
    <row r="23" spans="1:19">
      <c r="B23"/>
      <c r="C23" s="3" t="s">
        <v>20</v>
      </c>
      <c r="D23" s="26">
        <v>270000</v>
      </c>
      <c r="E23" s="16"/>
      <c r="F23" s="26">
        <f>D23*0.2073628</f>
        <v>55987.956000000006</v>
      </c>
      <c r="G23" s="26">
        <f>D23-F23</f>
        <v>214012.04399999999</v>
      </c>
      <c r="H23" s="6"/>
      <c r="I23" s="6"/>
    </row>
    <row r="24" spans="1:19">
      <c r="B24"/>
      <c r="C24" s="3" t="s">
        <v>21</v>
      </c>
      <c r="D24" s="26">
        <f>N27</f>
        <v>76897305.959999993</v>
      </c>
      <c r="E24" s="16"/>
      <c r="F24" s="31">
        <f>(N25+N24*O19)*K24</f>
        <v>2517906.851172646</v>
      </c>
      <c r="G24" s="31">
        <f>(N25+N24*O19)*L24</f>
        <v>12267609.214563949</v>
      </c>
      <c r="H24" s="6"/>
      <c r="I24" s="31">
        <f>(N26+N24*O20)</f>
        <v>62111789.894263402</v>
      </c>
      <c r="K24" s="25">
        <v>0.17029549999999999</v>
      </c>
      <c r="L24" s="25">
        <f>1-K24</f>
        <v>0.82970450000000007</v>
      </c>
      <c r="N24" s="26">
        <v>34680076.799999997</v>
      </c>
      <c r="O24" t="s">
        <v>53</v>
      </c>
    </row>
    <row r="25" spans="1:19">
      <c r="B25"/>
      <c r="C25" s="49" t="s">
        <v>90</v>
      </c>
      <c r="D25" s="26">
        <v>0</v>
      </c>
      <c r="E25" s="16"/>
      <c r="F25" s="6"/>
      <c r="G25" s="26">
        <f>D25</f>
        <v>0</v>
      </c>
      <c r="H25" s="6"/>
      <c r="I25" s="26"/>
      <c r="N25" s="26">
        <v>0</v>
      </c>
      <c r="O25" t="s">
        <v>50</v>
      </c>
    </row>
    <row r="26" spans="1:19">
      <c r="B26" s="40" t="s">
        <v>65</v>
      </c>
      <c r="C26" s="14"/>
      <c r="D26" s="11" t="s">
        <v>14</v>
      </c>
      <c r="E26" s="14" t="s">
        <v>13</v>
      </c>
      <c r="F26" s="11" t="s">
        <v>14</v>
      </c>
      <c r="G26" s="11" t="s">
        <v>14</v>
      </c>
      <c r="H26" s="11" t="s">
        <v>14</v>
      </c>
      <c r="I26" s="11" t="s">
        <v>14</v>
      </c>
      <c r="K26" s="25"/>
      <c r="L26" s="25"/>
      <c r="N26" s="43">
        <v>42217229.159999996</v>
      </c>
      <c r="O26" t="s">
        <v>49</v>
      </c>
    </row>
    <row r="27" spans="1:19">
      <c r="B27" s="3" t="s">
        <v>22</v>
      </c>
      <c r="C27"/>
      <c r="D27" s="26">
        <f>SUM(D20:D26)</f>
        <v>77019059.149999991</v>
      </c>
      <c r="E27" s="16"/>
      <c r="F27" s="26">
        <f>SUM(F20:F26)</f>
        <v>2529420.7641726462</v>
      </c>
      <c r="G27" s="26">
        <f>SUM(G20:G26)</f>
        <v>12377848.49156395</v>
      </c>
      <c r="H27" s="26">
        <f>SUM(H20:H26)</f>
        <v>0</v>
      </c>
      <c r="I27" s="26">
        <f>SUM(I20:I26)</f>
        <v>62111789.894263402</v>
      </c>
      <c r="K27" s="25"/>
      <c r="L27" s="25"/>
      <c r="N27" s="26">
        <f>SUM(N24:N26)</f>
        <v>76897305.959999993</v>
      </c>
      <c r="O27"/>
    </row>
    <row r="28" spans="1:19" ht="12.75">
      <c r="D28" s="1"/>
      <c r="E28" s="16"/>
      <c r="F28" s="1"/>
      <c r="G28" s="1"/>
      <c r="H28" s="6"/>
      <c r="I28" s="6"/>
      <c r="K28" s="25"/>
      <c r="L28" s="25"/>
      <c r="N28" s="34"/>
      <c r="O28" s="32"/>
    </row>
    <row r="29" spans="1:19" hidden="1">
      <c r="B29"/>
      <c r="C29" s="3" t="s">
        <v>41</v>
      </c>
      <c r="D29" s="26">
        <v>0</v>
      </c>
      <c r="E29" s="16"/>
      <c r="F29" s="26"/>
      <c r="G29" s="26">
        <f>D29</f>
        <v>0</v>
      </c>
      <c r="H29" s="6"/>
      <c r="I29" s="6"/>
      <c r="K29" s="25"/>
      <c r="L29" s="25"/>
      <c r="N29" s="26">
        <v>0</v>
      </c>
      <c r="O29" t="s">
        <v>54</v>
      </c>
    </row>
    <row r="30" spans="1:19" hidden="1">
      <c r="B30"/>
      <c r="C30" s="3" t="s">
        <v>23</v>
      </c>
      <c r="D30" s="26">
        <v>0</v>
      </c>
      <c r="E30" s="16"/>
      <c r="F30" s="26"/>
      <c r="G30" s="26">
        <f>D30</f>
        <v>0</v>
      </c>
      <c r="H30" s="6"/>
      <c r="I30" s="6"/>
      <c r="K30" s="25"/>
      <c r="L30" s="25"/>
      <c r="M30" s="21"/>
      <c r="N30" s="26">
        <v>0</v>
      </c>
      <c r="O30" t="s">
        <v>51</v>
      </c>
    </row>
    <row r="31" spans="1:19" hidden="1">
      <c r="B31"/>
      <c r="C31" s="3" t="s">
        <v>24</v>
      </c>
      <c r="D31" s="26">
        <f>N32</f>
        <v>0</v>
      </c>
      <c r="E31" s="16"/>
      <c r="F31" s="31">
        <f>(N30+N29*O21)*K31</f>
        <v>0</v>
      </c>
      <c r="G31" s="31">
        <f>(N30+N29*O21)*L31</f>
        <v>0</v>
      </c>
      <c r="H31" s="6"/>
      <c r="I31" s="31">
        <f>(N31+N29*O22)</f>
        <v>0</v>
      </c>
      <c r="K31" s="25">
        <v>0.7</v>
      </c>
      <c r="L31" s="25">
        <f>1-K31</f>
        <v>0.30000000000000004</v>
      </c>
      <c r="N31" s="43">
        <v>0</v>
      </c>
      <c r="O31" t="s">
        <v>48</v>
      </c>
    </row>
    <row r="32" spans="1:19" hidden="1">
      <c r="B32"/>
      <c r="C32" s="3" t="s">
        <v>25</v>
      </c>
      <c r="D32" s="26">
        <v>0</v>
      </c>
      <c r="E32" s="16"/>
      <c r="F32" s="26">
        <f>D32</f>
        <v>0</v>
      </c>
      <c r="G32" s="26">
        <v>0</v>
      </c>
      <c r="H32" s="6"/>
      <c r="I32" s="6"/>
      <c r="N32" s="33">
        <f>SUM(N29:N31)</f>
        <v>0</v>
      </c>
      <c r="O32"/>
    </row>
    <row r="33" spans="2:18" hidden="1">
      <c r="B33"/>
      <c r="C33" s="3" t="s">
        <v>89</v>
      </c>
      <c r="D33" s="26">
        <v>0</v>
      </c>
      <c r="E33" s="16"/>
      <c r="F33" s="6"/>
      <c r="G33" s="26">
        <f>D33</f>
        <v>0</v>
      </c>
      <c r="H33" s="6"/>
      <c r="I33" s="6"/>
      <c r="N33" s="33"/>
      <c r="O33"/>
    </row>
    <row r="34" spans="2:18" hidden="1">
      <c r="B34"/>
      <c r="C34" s="3" t="s">
        <v>26</v>
      </c>
      <c r="D34" s="26">
        <v>0</v>
      </c>
      <c r="E34" s="16"/>
      <c r="F34" s="26">
        <v>0</v>
      </c>
      <c r="G34" s="26">
        <v>0</v>
      </c>
      <c r="H34" s="6"/>
      <c r="I34" s="6"/>
    </row>
    <row r="35" spans="2:18" hidden="1">
      <c r="B35" s="40" t="s">
        <v>65</v>
      </c>
      <c r="C35" s="14"/>
      <c r="D35" s="11" t="s">
        <v>14</v>
      </c>
      <c r="E35" s="14" t="s">
        <v>13</v>
      </c>
      <c r="F35" s="11" t="s">
        <v>14</v>
      </c>
      <c r="G35" s="11" t="s">
        <v>14</v>
      </c>
      <c r="H35" s="11" t="s">
        <v>14</v>
      </c>
      <c r="I35" s="11" t="s">
        <v>14</v>
      </c>
      <c r="R35" s="30"/>
    </row>
    <row r="36" spans="2:18" hidden="1">
      <c r="B36" s="3" t="s">
        <v>27</v>
      </c>
      <c r="C36"/>
      <c r="D36" s="26">
        <f>SUM(D29:D35)</f>
        <v>0</v>
      </c>
      <c r="E36" s="16"/>
      <c r="F36" s="26">
        <f>SUM(F29:F35)</f>
        <v>0</v>
      </c>
      <c r="G36" s="26">
        <f>SUM(G29:G35)</f>
        <v>0</v>
      </c>
      <c r="H36" s="26">
        <f>SUM(H29:H35)</f>
        <v>0</v>
      </c>
      <c r="I36" s="26">
        <f>SUM(I29:I35)</f>
        <v>0</v>
      </c>
    </row>
    <row r="37" spans="2:18">
      <c r="D37" s="16"/>
      <c r="E37" s="16"/>
      <c r="F37" s="6"/>
      <c r="G37" s="6"/>
      <c r="H37" s="6"/>
      <c r="I37" s="6"/>
      <c r="N37" s="3"/>
    </row>
    <row r="38" spans="2:18" hidden="1">
      <c r="B38"/>
      <c r="C38" s="3" t="s">
        <v>68</v>
      </c>
      <c r="D38" s="26">
        <v>0</v>
      </c>
      <c r="E38" s="16"/>
      <c r="F38" s="6"/>
      <c r="G38" s="6"/>
      <c r="H38" s="6"/>
      <c r="I38" s="26">
        <f t="shared" ref="I38:I65" si="0">IF(K38="Post Merger",D38,0)</f>
        <v>0</v>
      </c>
      <c r="K38" s="3" t="s">
        <v>10</v>
      </c>
    </row>
    <row r="39" spans="2:18" hidden="1">
      <c r="B39"/>
      <c r="C39" s="3" t="s">
        <v>55</v>
      </c>
      <c r="D39" s="26">
        <v>0</v>
      </c>
      <c r="E39" s="16"/>
      <c r="F39" s="6"/>
      <c r="G39" s="6"/>
      <c r="H39" s="6"/>
      <c r="I39" s="26">
        <f t="shared" si="0"/>
        <v>0</v>
      </c>
      <c r="K39" s="3" t="s">
        <v>10</v>
      </c>
    </row>
    <row r="40" spans="2:18" hidden="1">
      <c r="B40"/>
      <c r="C40" s="3" t="s">
        <v>69</v>
      </c>
      <c r="D40" s="26">
        <v>0</v>
      </c>
      <c r="E40" s="16"/>
      <c r="F40" s="6"/>
      <c r="G40" s="6"/>
      <c r="H40" s="6"/>
      <c r="I40" s="26">
        <f t="shared" si="0"/>
        <v>0</v>
      </c>
      <c r="K40" s="3" t="s">
        <v>10</v>
      </c>
    </row>
    <row r="41" spans="2:18" hidden="1">
      <c r="B41"/>
      <c r="C41" s="3" t="s">
        <v>88</v>
      </c>
      <c r="D41" s="26">
        <v>0</v>
      </c>
      <c r="E41" s="16"/>
      <c r="F41" s="6"/>
      <c r="G41" s="6"/>
      <c r="H41" s="6"/>
      <c r="I41" s="26">
        <f t="shared" si="0"/>
        <v>0</v>
      </c>
      <c r="K41" s="3" t="s">
        <v>10</v>
      </c>
    </row>
    <row r="42" spans="2:18" hidden="1">
      <c r="B42"/>
      <c r="C42" s="3" t="s">
        <v>70</v>
      </c>
      <c r="D42" s="26">
        <v>0</v>
      </c>
      <c r="E42" s="16"/>
      <c r="F42" s="6"/>
      <c r="G42" s="6"/>
      <c r="H42" s="6"/>
      <c r="I42" s="26">
        <f t="shared" si="0"/>
        <v>0</v>
      </c>
      <c r="K42" s="3" t="s">
        <v>10</v>
      </c>
    </row>
    <row r="43" spans="2:18">
      <c r="B43"/>
      <c r="C43" s="3" t="s">
        <v>71</v>
      </c>
      <c r="D43" s="26">
        <v>4575693.2</v>
      </c>
      <c r="E43" s="16"/>
      <c r="F43" s="6"/>
      <c r="G43" s="6"/>
      <c r="H43" s="6"/>
      <c r="I43" s="26">
        <f t="shared" si="0"/>
        <v>4575693.2</v>
      </c>
      <c r="K43" s="3" t="s">
        <v>10</v>
      </c>
    </row>
    <row r="44" spans="2:18" hidden="1">
      <c r="B44"/>
      <c r="C44" s="3" t="s">
        <v>72</v>
      </c>
      <c r="D44" s="26">
        <v>0</v>
      </c>
      <c r="E44" s="16"/>
      <c r="F44" s="6"/>
      <c r="G44" s="6"/>
      <c r="H44" s="6"/>
      <c r="I44" s="26">
        <f t="shared" si="0"/>
        <v>0</v>
      </c>
      <c r="K44" s="3" t="s">
        <v>10</v>
      </c>
    </row>
    <row r="45" spans="2:18">
      <c r="B45"/>
      <c r="C45" s="3" t="s">
        <v>46</v>
      </c>
      <c r="D45" s="26">
        <v>8005931.2199999997</v>
      </c>
      <c r="E45" s="16"/>
      <c r="F45" s="6"/>
      <c r="G45" s="6"/>
      <c r="H45" s="6"/>
      <c r="I45" s="26">
        <f t="shared" si="0"/>
        <v>8005931.2199999997</v>
      </c>
      <c r="K45" s="3" t="s">
        <v>10</v>
      </c>
    </row>
    <row r="46" spans="2:18">
      <c r="B46"/>
      <c r="C46" s="3" t="s">
        <v>73</v>
      </c>
      <c r="D46" s="26">
        <v>84216275.980000004</v>
      </c>
      <c r="E46" s="16"/>
      <c r="F46" s="6"/>
      <c r="G46" s="6"/>
      <c r="H46" s="6"/>
      <c r="I46" s="26">
        <f t="shared" si="0"/>
        <v>84216275.980000004</v>
      </c>
      <c r="K46" s="3" t="s">
        <v>10</v>
      </c>
    </row>
    <row r="47" spans="2:18" hidden="1">
      <c r="B47"/>
      <c r="C47" s="3" t="s">
        <v>74</v>
      </c>
      <c r="D47" s="26">
        <v>0</v>
      </c>
      <c r="E47" s="16"/>
      <c r="F47" s="6"/>
      <c r="G47" s="6"/>
      <c r="H47" s="6"/>
      <c r="I47" s="26">
        <f t="shared" si="0"/>
        <v>0</v>
      </c>
      <c r="K47" s="3" t="s">
        <v>10</v>
      </c>
    </row>
    <row r="48" spans="2:18" hidden="1">
      <c r="B48"/>
      <c r="C48" s="3" t="s">
        <v>75</v>
      </c>
      <c r="D48" s="26">
        <v>0</v>
      </c>
      <c r="E48" s="16"/>
      <c r="F48" s="6"/>
      <c r="G48" s="6"/>
      <c r="H48" s="6"/>
      <c r="I48" s="26">
        <f t="shared" si="0"/>
        <v>0</v>
      </c>
      <c r="K48" s="3" t="s">
        <v>10</v>
      </c>
    </row>
    <row r="49" spans="2:11" hidden="1">
      <c r="B49"/>
      <c r="C49" s="3" t="s">
        <v>45</v>
      </c>
      <c r="D49" s="26">
        <v>0</v>
      </c>
      <c r="E49" s="16"/>
      <c r="F49" s="6"/>
      <c r="G49" s="6"/>
      <c r="H49" s="6"/>
      <c r="I49" s="26">
        <f t="shared" si="0"/>
        <v>0</v>
      </c>
      <c r="K49" s="3" t="s">
        <v>10</v>
      </c>
    </row>
    <row r="50" spans="2:11" hidden="1">
      <c r="B50"/>
      <c r="C50" s="22" t="s">
        <v>76</v>
      </c>
      <c r="D50" s="26">
        <v>0</v>
      </c>
      <c r="E50" s="16"/>
      <c r="F50" s="6"/>
      <c r="G50" s="6"/>
      <c r="H50" s="6"/>
      <c r="I50" s="26">
        <f t="shared" si="0"/>
        <v>0</v>
      </c>
      <c r="K50" s="3" t="s">
        <v>10</v>
      </c>
    </row>
    <row r="51" spans="2:11" hidden="1">
      <c r="B51"/>
      <c r="C51" s="3" t="s">
        <v>77</v>
      </c>
      <c r="D51" s="26">
        <v>0</v>
      </c>
      <c r="E51" s="16"/>
      <c r="F51" s="6"/>
      <c r="G51" s="6"/>
      <c r="H51" s="6"/>
      <c r="I51" s="26">
        <f t="shared" si="0"/>
        <v>0</v>
      </c>
      <c r="K51" s="3" t="s">
        <v>10</v>
      </c>
    </row>
    <row r="52" spans="2:11" hidden="1">
      <c r="B52"/>
      <c r="C52" s="3" t="s">
        <v>78</v>
      </c>
      <c r="D52" s="26">
        <v>0</v>
      </c>
      <c r="E52" s="16"/>
      <c r="F52" s="6"/>
      <c r="G52" s="6"/>
      <c r="H52" s="6"/>
      <c r="I52" s="26">
        <f t="shared" si="0"/>
        <v>0</v>
      </c>
      <c r="K52" s="3" t="s">
        <v>10</v>
      </c>
    </row>
    <row r="53" spans="2:11" hidden="1">
      <c r="B53"/>
      <c r="C53" s="3" t="s">
        <v>79</v>
      </c>
      <c r="D53" s="26">
        <v>0</v>
      </c>
      <c r="E53" s="16"/>
      <c r="F53" s="6"/>
      <c r="G53" s="6"/>
      <c r="H53" s="6"/>
      <c r="I53" s="26">
        <f t="shared" si="0"/>
        <v>0</v>
      </c>
      <c r="K53" s="3" t="s">
        <v>10</v>
      </c>
    </row>
    <row r="54" spans="2:11" hidden="1">
      <c r="B54"/>
      <c r="C54" s="3" t="s">
        <v>80</v>
      </c>
      <c r="D54" s="26">
        <v>0</v>
      </c>
      <c r="E54" s="16"/>
      <c r="F54" s="6"/>
      <c r="G54" s="6"/>
      <c r="H54" s="6"/>
      <c r="I54" s="26">
        <f t="shared" si="0"/>
        <v>0</v>
      </c>
      <c r="K54" s="3" t="s">
        <v>10</v>
      </c>
    </row>
    <row r="55" spans="2:11" hidden="1">
      <c r="B55"/>
      <c r="C55" s="3" t="s">
        <v>81</v>
      </c>
      <c r="D55" s="26">
        <v>0</v>
      </c>
      <c r="E55" s="16"/>
      <c r="F55" s="6"/>
      <c r="G55" s="6"/>
      <c r="H55" s="6"/>
      <c r="I55" s="26">
        <f t="shared" si="0"/>
        <v>0</v>
      </c>
      <c r="K55" s="3" t="s">
        <v>10</v>
      </c>
    </row>
    <row r="56" spans="2:11" hidden="1">
      <c r="B56"/>
      <c r="C56" s="3" t="s">
        <v>82</v>
      </c>
      <c r="D56" s="26">
        <v>0</v>
      </c>
      <c r="E56" s="16"/>
      <c r="F56" s="6"/>
      <c r="G56" s="6"/>
      <c r="H56" s="6"/>
      <c r="I56" s="26">
        <f t="shared" si="0"/>
        <v>0</v>
      </c>
      <c r="K56" s="3" t="s">
        <v>10</v>
      </c>
    </row>
    <row r="57" spans="2:11" hidden="1">
      <c r="B57"/>
      <c r="C57" s="27" t="s">
        <v>83</v>
      </c>
      <c r="D57" s="26">
        <v>0</v>
      </c>
      <c r="E57" s="16"/>
      <c r="F57" s="6"/>
      <c r="G57" s="6"/>
      <c r="H57" s="6"/>
      <c r="I57" s="26">
        <f t="shared" si="0"/>
        <v>0</v>
      </c>
      <c r="K57" s="3" t="s">
        <v>10</v>
      </c>
    </row>
    <row r="58" spans="2:11" hidden="1">
      <c r="B58"/>
      <c r="C58" s="27" t="s">
        <v>92</v>
      </c>
      <c r="D58" s="26">
        <v>0</v>
      </c>
      <c r="E58" s="16"/>
      <c r="F58" s="6"/>
      <c r="G58" s="6"/>
      <c r="H58" s="6"/>
      <c r="I58" s="26">
        <f t="shared" si="0"/>
        <v>0</v>
      </c>
      <c r="K58" s="3" t="s">
        <v>10</v>
      </c>
    </row>
    <row r="59" spans="2:11" hidden="1">
      <c r="B59"/>
      <c r="C59" s="3" t="s">
        <v>84</v>
      </c>
      <c r="D59" s="26">
        <v>0</v>
      </c>
      <c r="E59" s="16"/>
      <c r="F59" s="6"/>
      <c r="G59" s="6"/>
      <c r="H59" s="6"/>
      <c r="I59" s="26">
        <f t="shared" si="0"/>
        <v>0</v>
      </c>
      <c r="K59" s="3" t="s">
        <v>10</v>
      </c>
    </row>
    <row r="60" spans="2:11" hidden="1">
      <c r="B60"/>
      <c r="C60" s="3" t="s">
        <v>95</v>
      </c>
      <c r="D60" s="26">
        <v>0</v>
      </c>
      <c r="E60" s="16"/>
      <c r="F60" s="6"/>
      <c r="G60" s="6"/>
      <c r="H60" s="6"/>
      <c r="I60" s="26">
        <f t="shared" si="0"/>
        <v>0</v>
      </c>
      <c r="K60" s="3" t="s">
        <v>10</v>
      </c>
    </row>
    <row r="61" spans="2:11" hidden="1">
      <c r="B61"/>
      <c r="C61" s="3" t="s">
        <v>85</v>
      </c>
      <c r="D61" s="26">
        <v>0</v>
      </c>
      <c r="E61" s="16"/>
      <c r="F61" s="6"/>
      <c r="G61" s="6"/>
      <c r="H61" s="6"/>
      <c r="I61" s="26">
        <f t="shared" si="0"/>
        <v>0</v>
      </c>
      <c r="K61" s="3" t="s">
        <v>10</v>
      </c>
    </row>
    <row r="62" spans="2:11" hidden="1">
      <c r="B62"/>
      <c r="C62" s="3" t="s">
        <v>86</v>
      </c>
      <c r="D62" s="26">
        <v>0</v>
      </c>
      <c r="E62" s="16"/>
      <c r="F62" s="6"/>
      <c r="G62" s="6"/>
      <c r="H62" s="6"/>
      <c r="I62" s="26">
        <f t="shared" si="0"/>
        <v>0</v>
      </c>
      <c r="K62" s="3" t="s">
        <v>10</v>
      </c>
    </row>
    <row r="63" spans="2:11" hidden="1">
      <c r="B63"/>
      <c r="C63" s="3" t="s">
        <v>94</v>
      </c>
      <c r="D63" s="26">
        <v>0</v>
      </c>
      <c r="E63" s="16"/>
      <c r="F63" s="6"/>
      <c r="G63" s="6"/>
      <c r="H63" s="6"/>
      <c r="I63" s="26">
        <f t="shared" si="0"/>
        <v>0</v>
      </c>
      <c r="K63" s="3" t="s">
        <v>10</v>
      </c>
    </row>
    <row r="64" spans="2:11" hidden="1">
      <c r="B64"/>
      <c r="C64" s="27" t="s">
        <v>87</v>
      </c>
      <c r="D64" s="26">
        <v>0</v>
      </c>
      <c r="E64" s="16"/>
      <c r="F64" s="6"/>
      <c r="G64" s="6"/>
      <c r="H64" s="6"/>
      <c r="I64" s="26">
        <f t="shared" si="0"/>
        <v>0</v>
      </c>
      <c r="K64" s="3" t="s">
        <v>10</v>
      </c>
    </row>
    <row r="65" spans="1:16" hidden="1">
      <c r="B65"/>
      <c r="C65" s="3" t="s">
        <v>93</v>
      </c>
      <c r="D65" s="26">
        <v>0</v>
      </c>
      <c r="E65" s="16"/>
      <c r="F65" s="6"/>
      <c r="G65" s="6"/>
      <c r="H65" s="6"/>
      <c r="I65" s="26">
        <f t="shared" si="0"/>
        <v>0</v>
      </c>
      <c r="K65" s="3" t="s">
        <v>10</v>
      </c>
    </row>
    <row r="66" spans="1:16" ht="11.25" thickBot="1">
      <c r="B66"/>
      <c r="C66" s="27"/>
      <c r="D66" s="26"/>
      <c r="E66" s="16"/>
      <c r="F66" s="6"/>
      <c r="G66" s="6"/>
      <c r="H66" s="6"/>
      <c r="I66" s="26"/>
    </row>
    <row r="67" spans="1:16" hidden="1">
      <c r="B67" s="22" t="s">
        <v>64</v>
      </c>
      <c r="C67" s="27"/>
      <c r="D67" s="26"/>
      <c r="E67" s="16"/>
      <c r="F67" s="6"/>
      <c r="G67" s="6"/>
      <c r="H67" s="6"/>
      <c r="I67" s="26"/>
    </row>
    <row r="68" spans="1:16" ht="11.25" hidden="1" thickBot="1">
      <c r="B68"/>
      <c r="C68" s="3" t="s">
        <v>96</v>
      </c>
      <c r="D68" s="26">
        <v>0</v>
      </c>
      <c r="E68" s="16"/>
      <c r="F68" s="6"/>
      <c r="G68" s="6"/>
      <c r="H68" s="6"/>
      <c r="I68" s="26">
        <f>IF(K68="Post Merger",D68,0)</f>
        <v>0</v>
      </c>
      <c r="K68" s="3" t="s">
        <v>10</v>
      </c>
    </row>
    <row r="69" spans="1:16" ht="11.25" thickBot="1">
      <c r="B69"/>
      <c r="D69" s="16"/>
      <c r="E69" s="16"/>
      <c r="F69" s="6"/>
      <c r="G69" s="6"/>
      <c r="H69" s="6"/>
      <c r="I69" s="6"/>
      <c r="K69" s="36">
        <v>0</v>
      </c>
      <c r="L69" s="24" t="s">
        <v>40</v>
      </c>
      <c r="M69" s="37">
        <v>0</v>
      </c>
    </row>
    <row r="70" spans="1:16">
      <c r="B70"/>
      <c r="C70" t="s">
        <v>115</v>
      </c>
      <c r="D70" s="26">
        <v>68340652.799999997</v>
      </c>
      <c r="E70" s="16"/>
      <c r="F70" s="6"/>
      <c r="G70" s="6"/>
      <c r="H70" s="6"/>
      <c r="I70" s="26">
        <f>D70</f>
        <v>68340652.799999997</v>
      </c>
    </row>
    <row r="71" spans="1:16" ht="11.25" thickBot="1">
      <c r="B71" s="40" t="s">
        <v>65</v>
      </c>
      <c r="C71" s="14"/>
      <c r="D71" s="11" t="s">
        <v>14</v>
      </c>
      <c r="E71" s="14" t="s">
        <v>13</v>
      </c>
      <c r="F71" s="11" t="s">
        <v>14</v>
      </c>
      <c r="G71" s="11" t="s">
        <v>14</v>
      </c>
      <c r="H71" s="11" t="s">
        <v>14</v>
      </c>
      <c r="I71" s="11" t="s">
        <v>14</v>
      </c>
    </row>
    <row r="72" spans="1:16" ht="11.25" thickBot="1">
      <c r="B72" s="3" t="s">
        <v>28</v>
      </c>
      <c r="C72"/>
      <c r="D72" s="26">
        <f>SUM(D38:D70)</f>
        <v>165138553.19999999</v>
      </c>
      <c r="E72" s="16"/>
      <c r="F72" s="26">
        <f>SUM(F38:F70)</f>
        <v>0</v>
      </c>
      <c r="G72" s="26">
        <f>SUM(G38:G70)</f>
        <v>0</v>
      </c>
      <c r="H72" s="26">
        <f>SUM(H38:H70)</f>
        <v>0</v>
      </c>
      <c r="I72" s="26">
        <f>SUM(I38:I70)</f>
        <v>165138553.19999999</v>
      </c>
      <c r="K72" s="36"/>
      <c r="L72" s="24" t="s">
        <v>40</v>
      </c>
      <c r="M72" s="37">
        <f>D72-SUM(F72:I72)</f>
        <v>0</v>
      </c>
    </row>
    <row r="73" spans="1:16">
      <c r="B73" s="3" t="s">
        <v>116</v>
      </c>
      <c r="D73" s="26">
        <v>663166.31000000006</v>
      </c>
      <c r="E73" s="16"/>
      <c r="F73" s="14"/>
      <c r="H73" s="26"/>
      <c r="I73" s="26">
        <f>D73</f>
        <v>663166.31000000006</v>
      </c>
      <c r="J73"/>
      <c r="K73"/>
      <c r="L73"/>
      <c r="M73"/>
    </row>
    <row r="74" spans="1:16">
      <c r="B74" s="3" t="s">
        <v>29</v>
      </c>
      <c r="C74"/>
      <c r="D74" s="26">
        <v>0</v>
      </c>
      <c r="E74" s="16"/>
      <c r="F74" s="26"/>
      <c r="G74" s="26"/>
      <c r="H74" s="26">
        <f>D74</f>
        <v>0</v>
      </c>
      <c r="I74" s="6"/>
    </row>
    <row r="75" spans="1:16" ht="11.25" thickBot="1">
      <c r="D75" s="11" t="s">
        <v>14</v>
      </c>
      <c r="E75" s="14" t="s">
        <v>13</v>
      </c>
      <c r="F75" s="11" t="s">
        <v>14</v>
      </c>
      <c r="G75" s="11" t="s">
        <v>14</v>
      </c>
      <c r="H75" s="11" t="s">
        <v>14</v>
      </c>
      <c r="I75" s="11" t="s">
        <v>14</v>
      </c>
    </row>
    <row r="76" spans="1:16" ht="11.25" thickBot="1">
      <c r="A76" s="3" t="s">
        <v>30</v>
      </c>
      <c r="D76" s="26">
        <f>D72+D73+D74+D36+D27</f>
        <v>242820778.65999997</v>
      </c>
      <c r="E76" s="16"/>
      <c r="F76" s="26">
        <f>F72+F73+F74+F36+F27</f>
        <v>2529420.7641726462</v>
      </c>
      <c r="G76" s="26">
        <f>G72+G73+G74+G36+G27</f>
        <v>12377848.49156395</v>
      </c>
      <c r="H76" s="26">
        <f>H72+H73+H74+H36+H27</f>
        <v>0</v>
      </c>
      <c r="I76" s="26">
        <f>I72+I73+I74+I36+I27</f>
        <v>227913509.40426338</v>
      </c>
      <c r="K76" s="36">
        <v>0</v>
      </c>
      <c r="L76" s="24" t="s">
        <v>40</v>
      </c>
      <c r="M76" s="37">
        <f>D76-SUM(F76:I76)</f>
        <v>0</v>
      </c>
    </row>
    <row r="77" spans="1:16">
      <c r="D77" s="16"/>
      <c r="E77" s="16"/>
      <c r="F77" s="16"/>
      <c r="G77" s="16"/>
      <c r="H77" s="16"/>
      <c r="I77" s="16"/>
    </row>
    <row r="78" spans="1:16">
      <c r="D78" s="16"/>
      <c r="E78" s="16"/>
      <c r="F78" s="16"/>
      <c r="G78" s="16"/>
      <c r="H78" s="16"/>
      <c r="I78" s="16"/>
    </row>
    <row r="79" spans="1:16" ht="11.25">
      <c r="A79" s="3" t="s">
        <v>31</v>
      </c>
      <c r="F79" s="6"/>
      <c r="G79" s="6"/>
      <c r="H79" s="6"/>
      <c r="I79" s="6"/>
      <c r="N79" s="29" t="s">
        <v>60</v>
      </c>
      <c r="O79" s="32">
        <v>24999835.973468848</v>
      </c>
      <c r="P79" s="26"/>
    </row>
    <row r="80" spans="1:16" ht="11.25">
      <c r="F80" s="6"/>
      <c r="G80" s="6"/>
      <c r="H80" s="6"/>
      <c r="I80" s="6"/>
      <c r="N80" s="29" t="s">
        <v>61</v>
      </c>
      <c r="O80" s="32">
        <v>0</v>
      </c>
      <c r="P80" s="26"/>
    </row>
    <row r="81" spans="1:16" customFormat="1" ht="11.25">
      <c r="A81" s="3"/>
      <c r="B81" s="3" t="s">
        <v>32</v>
      </c>
      <c r="D81" s="26">
        <f>SUM(F81:I81)</f>
        <v>24999835.973468848</v>
      </c>
      <c r="E81" s="16"/>
      <c r="F81" s="26">
        <f>O79</f>
        <v>24999835.973468848</v>
      </c>
      <c r="G81" s="6"/>
      <c r="H81" s="6"/>
      <c r="I81" s="6"/>
      <c r="J81" s="3"/>
      <c r="K81" s="18"/>
      <c r="L81" s="3"/>
      <c r="M81" s="3"/>
      <c r="N81" s="29" t="s">
        <v>62</v>
      </c>
      <c r="O81" s="32">
        <v>83304574.000558719</v>
      </c>
      <c r="P81" s="38"/>
    </row>
    <row r="82" spans="1:16" ht="11.25" hidden="1">
      <c r="A82"/>
      <c r="B82"/>
      <c r="C82"/>
      <c r="D82"/>
      <c r="E82"/>
      <c r="F82"/>
      <c r="G82"/>
      <c r="H82"/>
      <c r="I82"/>
      <c r="J82"/>
      <c r="K82" s="23"/>
      <c r="L82"/>
      <c r="M82"/>
      <c r="N82" s="29" t="s">
        <v>91</v>
      </c>
      <c r="O82" s="32">
        <v>0</v>
      </c>
      <c r="P82" s="26"/>
    </row>
    <row r="83" spans="1:16" ht="12" thickBot="1">
      <c r="B83" s="3" t="s">
        <v>33</v>
      </c>
      <c r="C83"/>
      <c r="D83" s="26">
        <f>SUM(F83:I83)</f>
        <v>0</v>
      </c>
      <c r="E83" s="16"/>
      <c r="F83" s="26">
        <f>O80</f>
        <v>0</v>
      </c>
      <c r="G83" s="6"/>
      <c r="H83" s="6"/>
      <c r="I83" s="6"/>
      <c r="N83" s="29" t="s">
        <v>63</v>
      </c>
      <c r="O83" s="32">
        <v>1038267.1499999999</v>
      </c>
      <c r="P83" s="26"/>
    </row>
    <row r="84" spans="1:16" ht="11.25" hidden="1" thickBot="1">
      <c r="C84"/>
      <c r="D84" s="16"/>
      <c r="E84" s="16"/>
      <c r="F84" s="6"/>
      <c r="G84" s="6"/>
      <c r="H84" s="6"/>
      <c r="I84" s="6"/>
      <c r="O84" s="32">
        <f>SUM(O79:O83)</f>
        <v>109342677.12402758</v>
      </c>
      <c r="P84" s="26"/>
    </row>
    <row r="85" spans="1:16" ht="11.25" thickBot="1">
      <c r="B85" s="3" t="s">
        <v>10</v>
      </c>
      <c r="C85"/>
      <c r="D85" s="26">
        <f>D90-(D81+D83+D87)</f>
        <v>84342841.02653116</v>
      </c>
      <c r="E85" s="16"/>
      <c r="F85" s="17"/>
      <c r="G85" s="6"/>
      <c r="H85" s="6"/>
      <c r="I85" s="26">
        <f>D85</f>
        <v>84342841.02653116</v>
      </c>
      <c r="N85" s="47" t="s">
        <v>40</v>
      </c>
      <c r="O85" s="37">
        <v>0</v>
      </c>
      <c r="P85" s="46"/>
    </row>
    <row r="86" spans="1:16" hidden="1">
      <c r="F86" s="6"/>
      <c r="G86" s="6"/>
      <c r="H86" s="6"/>
      <c r="I86" s="6"/>
    </row>
    <row r="87" spans="1:16" customFormat="1">
      <c r="A87" s="3"/>
      <c r="B87" t="s">
        <v>34</v>
      </c>
      <c r="C87" s="3"/>
      <c r="D87" s="26">
        <v>0</v>
      </c>
      <c r="E87" s="16"/>
      <c r="F87" s="6"/>
      <c r="H87" s="26">
        <f>D87</f>
        <v>0</v>
      </c>
      <c r="I87" s="6"/>
      <c r="J87" s="3"/>
      <c r="K87" s="3"/>
      <c r="L87" s="3"/>
      <c r="M87" s="3"/>
      <c r="N87" s="27"/>
    </row>
    <row r="88" spans="1:16">
      <c r="A88"/>
      <c r="B88"/>
      <c r="C88"/>
      <c r="D88"/>
      <c r="E88"/>
      <c r="F88"/>
      <c r="G88"/>
      <c r="H88"/>
      <c r="I88"/>
      <c r="J88"/>
      <c r="K88"/>
      <c r="L88"/>
      <c r="M88"/>
    </row>
    <row r="89" spans="1:16" ht="11.25" thickBot="1">
      <c r="D89" s="11" t="s">
        <v>14</v>
      </c>
      <c r="E89" s="14" t="s">
        <v>13</v>
      </c>
      <c r="F89" s="11" t="s">
        <v>14</v>
      </c>
      <c r="G89" s="11" t="s">
        <v>14</v>
      </c>
      <c r="H89" s="11" t="s">
        <v>14</v>
      </c>
      <c r="I89" s="11" t="s">
        <v>14</v>
      </c>
    </row>
    <row r="90" spans="1:16" customFormat="1" ht="11.25" thickBot="1">
      <c r="A90" s="3" t="s">
        <v>35</v>
      </c>
      <c r="B90" s="3"/>
      <c r="C90" s="3"/>
      <c r="D90" s="26">
        <v>109342677</v>
      </c>
      <c r="E90" s="16"/>
      <c r="F90" s="26">
        <f>SUM(F81:F87)</f>
        <v>24999835.973468848</v>
      </c>
      <c r="G90" s="26">
        <f>SUM(G81:G87)</f>
        <v>0</v>
      </c>
      <c r="H90" s="26">
        <f>SUM(H81:H87)</f>
        <v>0</v>
      </c>
      <c r="I90" s="26">
        <f>SUM(I81:I87)</f>
        <v>84342841.02653116</v>
      </c>
      <c r="J90" s="3"/>
      <c r="K90" s="36">
        <f>D90-(D81+D83+D85+D87)</f>
        <v>0</v>
      </c>
      <c r="L90" s="24" t="s">
        <v>40</v>
      </c>
      <c r="M90" s="37">
        <f>D90-SUM(F90:I90)</f>
        <v>0</v>
      </c>
      <c r="N90" s="27"/>
    </row>
    <row r="91" spans="1:16" customFormat="1">
      <c r="A91" s="3"/>
      <c r="B91" s="3"/>
      <c r="C91" s="3"/>
      <c r="D91" s="3"/>
      <c r="E91" s="3"/>
      <c r="G91" s="3"/>
      <c r="H91" s="3"/>
      <c r="I91" s="3"/>
      <c r="N91" s="27"/>
    </row>
    <row r="92" spans="1:16" customFormat="1">
      <c r="A92" s="3" t="s">
        <v>36</v>
      </c>
      <c r="B92" s="3"/>
      <c r="C92" s="3"/>
      <c r="D92" s="3"/>
      <c r="E92" s="3"/>
      <c r="G92" s="3"/>
      <c r="H92" s="3"/>
      <c r="I92" s="3"/>
      <c r="N92" s="27"/>
    </row>
    <row r="93" spans="1:16" customFormat="1" hidden="1">
      <c r="A93" s="3"/>
      <c r="B93" s="16" t="s">
        <v>98</v>
      </c>
      <c r="C93" s="3"/>
      <c r="D93" s="26">
        <v>0</v>
      </c>
      <c r="E93" s="16"/>
      <c r="G93" s="3"/>
      <c r="H93" s="26">
        <f t="shared" ref="H93:H107" si="1">D93</f>
        <v>0</v>
      </c>
      <c r="I93" s="2"/>
      <c r="N93" s="27"/>
    </row>
    <row r="94" spans="1:16" customFormat="1" hidden="1">
      <c r="A94" s="3"/>
      <c r="B94" s="16" t="s">
        <v>99</v>
      </c>
      <c r="C94" s="3"/>
      <c r="D94" s="26">
        <v>0</v>
      </c>
      <c r="E94" s="16"/>
      <c r="G94" s="3"/>
      <c r="H94" s="26">
        <f t="shared" si="1"/>
        <v>0</v>
      </c>
      <c r="I94" s="2"/>
      <c r="N94" s="27"/>
    </row>
    <row r="95" spans="1:16" customFormat="1">
      <c r="A95" s="3"/>
      <c r="B95" s="16" t="s">
        <v>100</v>
      </c>
      <c r="C95" s="3"/>
      <c r="D95" s="26">
        <v>8052491.1100000003</v>
      </c>
      <c r="E95" s="16"/>
      <c r="G95" s="3"/>
      <c r="H95" s="26">
        <f t="shared" si="1"/>
        <v>8052491.1100000003</v>
      </c>
      <c r="I95" s="2"/>
      <c r="N95" s="27"/>
    </row>
    <row r="96" spans="1:16" customFormat="1" hidden="1">
      <c r="A96" s="3"/>
      <c r="B96" s="16" t="s">
        <v>101</v>
      </c>
      <c r="C96" s="3"/>
      <c r="D96" s="26">
        <v>0</v>
      </c>
      <c r="E96" s="16"/>
      <c r="G96" s="3"/>
      <c r="H96" s="26">
        <f t="shared" si="1"/>
        <v>0</v>
      </c>
      <c r="I96" s="2"/>
      <c r="N96" s="27"/>
    </row>
    <row r="97" spans="1:14" customFormat="1">
      <c r="A97" s="3"/>
      <c r="B97" s="16" t="s">
        <v>66</v>
      </c>
      <c r="C97" s="3"/>
      <c r="D97" s="26">
        <v>50972141.549999997</v>
      </c>
      <c r="E97" s="16"/>
      <c r="G97" s="3"/>
      <c r="H97" s="26">
        <f t="shared" si="1"/>
        <v>50972141.549999997</v>
      </c>
      <c r="I97" s="2"/>
      <c r="N97" s="27"/>
    </row>
    <row r="98" spans="1:14" customFormat="1" hidden="1">
      <c r="A98" s="3"/>
      <c r="B98" s="16" t="s">
        <v>47</v>
      </c>
      <c r="C98" s="3"/>
      <c r="D98" s="26">
        <v>0</v>
      </c>
      <c r="E98" s="16"/>
      <c r="G98" s="3"/>
      <c r="H98" s="26">
        <f t="shared" si="1"/>
        <v>0</v>
      </c>
      <c r="I98" s="2"/>
      <c r="N98" s="27"/>
    </row>
    <row r="99" spans="1:14" customFormat="1" hidden="1">
      <c r="A99" s="3"/>
      <c r="B99" s="16" t="s">
        <v>102</v>
      </c>
      <c r="C99" s="3"/>
      <c r="D99" s="26">
        <v>0</v>
      </c>
      <c r="E99" s="16"/>
      <c r="G99" s="3"/>
      <c r="H99" s="26">
        <f t="shared" si="1"/>
        <v>0</v>
      </c>
      <c r="I99" s="2"/>
      <c r="N99" s="27"/>
    </row>
    <row r="100" spans="1:14" customFormat="1" hidden="1">
      <c r="A100" s="3"/>
      <c r="B100" s="16" t="s">
        <v>103</v>
      </c>
      <c r="C100" s="3"/>
      <c r="D100" s="26">
        <v>0</v>
      </c>
      <c r="E100" s="16"/>
      <c r="G100" s="3"/>
      <c r="H100" s="26">
        <f t="shared" si="1"/>
        <v>0</v>
      </c>
      <c r="I100" s="2"/>
      <c r="N100" s="27"/>
    </row>
    <row r="101" spans="1:14" customFormat="1" hidden="1">
      <c r="A101" s="3"/>
      <c r="B101" s="16" t="s">
        <v>104</v>
      </c>
      <c r="C101" s="3"/>
      <c r="D101" s="26">
        <v>0</v>
      </c>
      <c r="E101" s="16"/>
      <c r="G101" s="3"/>
      <c r="H101" s="26">
        <f t="shared" si="1"/>
        <v>0</v>
      </c>
      <c r="I101" s="2"/>
      <c r="N101" s="27"/>
    </row>
    <row r="102" spans="1:14" customFormat="1" hidden="1">
      <c r="A102" s="3"/>
      <c r="B102" s="16" t="s">
        <v>105</v>
      </c>
      <c r="C102" s="3"/>
      <c r="D102" s="26">
        <v>0</v>
      </c>
      <c r="E102" s="16"/>
      <c r="F102" s="14"/>
      <c r="G102" s="3"/>
      <c r="H102" s="26">
        <f t="shared" si="1"/>
        <v>0</v>
      </c>
      <c r="I102" s="2"/>
      <c r="N102" s="27"/>
    </row>
    <row r="103" spans="1:14" customFormat="1">
      <c r="A103" s="3"/>
      <c r="B103" s="16" t="s">
        <v>106</v>
      </c>
      <c r="C103" s="3"/>
      <c r="D103" s="26">
        <v>46065470.079999998</v>
      </c>
      <c r="E103" s="16"/>
      <c r="F103" s="14"/>
      <c r="G103" s="3"/>
      <c r="H103" s="26">
        <f t="shared" si="1"/>
        <v>46065470.079999998</v>
      </c>
      <c r="I103" s="2"/>
      <c r="N103" s="27"/>
    </row>
    <row r="104" spans="1:14" customFormat="1" hidden="1">
      <c r="A104" s="3"/>
      <c r="B104" s="16" t="s">
        <v>107</v>
      </c>
      <c r="C104" s="3"/>
      <c r="D104" s="26">
        <v>0</v>
      </c>
      <c r="E104" s="16"/>
      <c r="F104" s="14"/>
      <c r="G104" s="3"/>
      <c r="H104" s="26">
        <f t="shared" si="1"/>
        <v>0</v>
      </c>
      <c r="I104" s="2"/>
      <c r="N104" s="27"/>
    </row>
    <row r="105" spans="1:14" customFormat="1" hidden="1">
      <c r="A105" s="3"/>
      <c r="B105" s="16" t="s">
        <v>108</v>
      </c>
      <c r="C105" s="3"/>
      <c r="D105" s="26">
        <v>0</v>
      </c>
      <c r="E105" s="16"/>
      <c r="F105" s="14"/>
      <c r="G105" s="3"/>
      <c r="H105" s="26">
        <f t="shared" si="1"/>
        <v>0</v>
      </c>
      <c r="I105" s="2"/>
      <c r="N105" s="27"/>
    </row>
    <row r="106" spans="1:14" customFormat="1">
      <c r="A106" s="3"/>
      <c r="B106" s="16" t="s">
        <v>109</v>
      </c>
      <c r="C106" s="3"/>
      <c r="D106" s="26">
        <v>198117554.66999999</v>
      </c>
      <c r="E106" s="16"/>
      <c r="F106" s="14"/>
      <c r="G106" s="3"/>
      <c r="H106" s="26">
        <f t="shared" si="1"/>
        <v>198117554.66999999</v>
      </c>
      <c r="I106" s="2"/>
      <c r="N106" s="27"/>
    </row>
    <row r="107" spans="1:14" customFormat="1" hidden="1">
      <c r="A107" s="3"/>
      <c r="B107" s="16" t="s">
        <v>110</v>
      </c>
      <c r="C107" s="3"/>
      <c r="D107" s="26">
        <v>0</v>
      </c>
      <c r="E107" s="16"/>
      <c r="F107" s="14"/>
      <c r="G107" s="3"/>
      <c r="H107" s="26">
        <f t="shared" si="1"/>
        <v>0</v>
      </c>
      <c r="I107" s="2"/>
      <c r="N107" s="27"/>
    </row>
    <row r="108" spans="1:14" customFormat="1" hidden="1">
      <c r="A108" s="3"/>
      <c r="B108" s="16"/>
      <c r="C108" s="3"/>
      <c r="D108" s="26"/>
      <c r="E108" s="16"/>
      <c r="F108" s="14"/>
      <c r="G108" s="3"/>
      <c r="H108" s="26"/>
      <c r="I108" s="2"/>
      <c r="N108" s="27"/>
    </row>
    <row r="109" spans="1:14" customFormat="1" hidden="1">
      <c r="A109" s="3"/>
      <c r="B109" s="16" t="s">
        <v>111</v>
      </c>
      <c r="C109" s="3"/>
      <c r="D109" s="26">
        <v>0</v>
      </c>
      <c r="E109" s="16"/>
      <c r="F109" s="14"/>
      <c r="G109" s="3"/>
      <c r="H109" s="26">
        <f>D109</f>
        <v>0</v>
      </c>
      <c r="I109" s="2"/>
      <c r="N109" s="27"/>
    </row>
    <row r="110" spans="1:14" customFormat="1" hidden="1">
      <c r="A110" s="3"/>
      <c r="B110" s="16" t="s">
        <v>112</v>
      </c>
      <c r="C110" s="3"/>
      <c r="D110" s="26">
        <v>0</v>
      </c>
      <c r="E110" s="16"/>
      <c r="F110" s="14"/>
      <c r="G110" s="3"/>
      <c r="H110" s="26">
        <f>D110</f>
        <v>0</v>
      </c>
      <c r="I110" s="2"/>
      <c r="N110" s="27"/>
    </row>
    <row r="111" spans="1:14" customFormat="1" hidden="1">
      <c r="A111" s="3"/>
      <c r="B111" s="16" t="s">
        <v>113</v>
      </c>
      <c r="C111" s="3"/>
      <c r="D111" s="26">
        <v>0</v>
      </c>
      <c r="E111" s="16"/>
      <c r="F111" s="14"/>
      <c r="G111" s="3"/>
      <c r="H111" s="26">
        <f>D111</f>
        <v>0</v>
      </c>
      <c r="I111" s="2"/>
      <c r="N111" s="27"/>
    </row>
    <row r="112" spans="1:14" customFormat="1" hidden="1">
      <c r="A112" s="3"/>
      <c r="B112" s="16"/>
      <c r="C112" s="3"/>
      <c r="D112" s="26"/>
      <c r="E112" s="16"/>
      <c r="F112" s="14"/>
      <c r="G112" s="3"/>
      <c r="H112" s="26"/>
      <c r="I112" s="2"/>
      <c r="N112" s="27"/>
    </row>
    <row r="113" spans="1:14" customFormat="1" hidden="1">
      <c r="A113" s="3"/>
      <c r="B113" s="16" t="s">
        <v>114</v>
      </c>
      <c r="C113" s="3"/>
      <c r="D113" s="26">
        <v>0</v>
      </c>
      <c r="E113" s="16"/>
      <c r="F113" s="14"/>
      <c r="G113" s="3"/>
      <c r="H113" s="26">
        <f>D113</f>
        <v>0</v>
      </c>
      <c r="I113" s="2"/>
      <c r="N113" s="27"/>
    </row>
    <row r="114" spans="1:14" customFormat="1" ht="11.25" thickBot="1">
      <c r="A114" s="3"/>
      <c r="B114" s="3"/>
      <c r="C114" s="3"/>
      <c r="D114" s="11" t="s">
        <v>14</v>
      </c>
      <c r="E114" s="14" t="s">
        <v>13</v>
      </c>
      <c r="F114" s="11" t="s">
        <v>14</v>
      </c>
      <c r="G114" s="11" t="s">
        <v>14</v>
      </c>
      <c r="H114" s="11" t="s">
        <v>14</v>
      </c>
      <c r="I114" s="11" t="s">
        <v>14</v>
      </c>
      <c r="N114" s="27"/>
    </row>
    <row r="115" spans="1:14" customFormat="1" ht="11.25" thickBot="1">
      <c r="A115" s="3" t="s">
        <v>37</v>
      </c>
      <c r="B115" s="3"/>
      <c r="C115" s="3"/>
      <c r="D115" s="26">
        <f>SUM(D93:D113)</f>
        <v>303207657.40999997</v>
      </c>
      <c r="E115" s="16"/>
      <c r="F115" s="26">
        <f>SUM(F92:F113)</f>
        <v>0</v>
      </c>
      <c r="G115" s="26">
        <f>SUM(G92:G113)</f>
        <v>0</v>
      </c>
      <c r="H115" s="26">
        <f>SUM(H92:H113)</f>
        <v>303207657.40999997</v>
      </c>
      <c r="I115" s="26">
        <f>SUM(I92:I105)</f>
        <v>0</v>
      </c>
      <c r="K115" s="36">
        <v>0</v>
      </c>
      <c r="L115" s="24" t="s">
        <v>40</v>
      </c>
      <c r="M115" s="37">
        <f>D115-SUM(F115:I115)</f>
        <v>0</v>
      </c>
      <c r="N115" s="27"/>
    </row>
    <row r="116" spans="1:14" customFormat="1">
      <c r="A116" s="3"/>
      <c r="B116" s="3"/>
      <c r="C116" s="3"/>
      <c r="D116" s="7"/>
      <c r="E116" s="16"/>
      <c r="F116" s="16"/>
      <c r="G116" s="16"/>
      <c r="H116" s="16"/>
      <c r="I116" s="16"/>
      <c r="N116" s="27"/>
    </row>
    <row r="117" spans="1:14" customFormat="1">
      <c r="A117" s="3" t="s">
        <v>43</v>
      </c>
      <c r="B117" s="3"/>
      <c r="C117" s="3"/>
      <c r="D117" s="7"/>
      <c r="E117" s="16"/>
      <c r="F117" s="16"/>
      <c r="G117" s="16"/>
      <c r="H117" s="16"/>
      <c r="I117" s="16"/>
      <c r="N117" s="27"/>
    </row>
    <row r="118" spans="1:14" customFormat="1">
      <c r="A118" s="3"/>
      <c r="B118" s="16" t="s">
        <v>97</v>
      </c>
      <c r="C118" s="3"/>
      <c r="D118" s="26">
        <v>0</v>
      </c>
      <c r="E118" s="16"/>
      <c r="F118" s="14"/>
      <c r="G118" s="3"/>
      <c r="H118" s="26">
        <f>D118</f>
        <v>0</v>
      </c>
      <c r="I118" s="2"/>
      <c r="N118" s="27"/>
    </row>
    <row r="119" spans="1:14">
      <c r="D119" s="11" t="s">
        <v>14</v>
      </c>
      <c r="E119" s="14" t="s">
        <v>13</v>
      </c>
      <c r="F119" s="11" t="s">
        <v>14</v>
      </c>
      <c r="G119" s="11" t="s">
        <v>14</v>
      </c>
      <c r="H119" s="11" t="s">
        <v>14</v>
      </c>
      <c r="I119" s="11" t="s">
        <v>14</v>
      </c>
    </row>
    <row r="120" spans="1:14">
      <c r="A120" s="3" t="s">
        <v>44</v>
      </c>
      <c r="D120" s="26">
        <v>0</v>
      </c>
      <c r="E120" s="16"/>
      <c r="F120" s="26">
        <f>SUM(F118:F118)</f>
        <v>0</v>
      </c>
      <c r="G120" s="26">
        <f>SUM(G118:G118)</f>
        <v>0</v>
      </c>
      <c r="H120" s="26">
        <f>SUM(H118:H118)</f>
        <v>0</v>
      </c>
      <c r="I120" s="26">
        <f>SUM(I118:I118)</f>
        <v>0</v>
      </c>
    </row>
    <row r="121" spans="1:14" ht="11.25" thickBot="1">
      <c r="D121" s="19" t="s">
        <v>38</v>
      </c>
      <c r="E121" s="14" t="s">
        <v>13</v>
      </c>
      <c r="F121" s="19" t="s">
        <v>38</v>
      </c>
      <c r="G121" s="19" t="s">
        <v>38</v>
      </c>
      <c r="H121" s="19" t="s">
        <v>38</v>
      </c>
      <c r="I121" s="19" t="s">
        <v>38</v>
      </c>
    </row>
    <row r="122" spans="1:14" ht="11.25" thickBot="1">
      <c r="A122" s="3" t="s">
        <v>39</v>
      </c>
      <c r="D122" s="26">
        <f>D115+D90+D76+D120-D16</f>
        <v>581688607.81999993</v>
      </c>
      <c r="E122" s="16" t="s">
        <v>13</v>
      </c>
      <c r="F122" s="26">
        <f>F115+F90+F76+F120-F16</f>
        <v>14564456.737641495</v>
      </c>
      <c r="G122" s="26">
        <f>G115+G90+G76+G120-G16</f>
        <v>12377848.49156395</v>
      </c>
      <c r="H122" s="26">
        <f>H115+H90+H76+H120-H16</f>
        <v>303207657.40999997</v>
      </c>
      <c r="I122" s="26">
        <f>I115+I90+I76+I120-I16</f>
        <v>251538645.18079454</v>
      </c>
      <c r="K122" s="36">
        <v>0</v>
      </c>
      <c r="L122" s="24" t="s">
        <v>40</v>
      </c>
      <c r="M122" s="37">
        <f>D122-SUM(F122:I122)</f>
        <v>0</v>
      </c>
    </row>
    <row r="123" spans="1:14">
      <c r="D123" s="19" t="s">
        <v>38</v>
      </c>
      <c r="E123" s="14" t="s">
        <v>13</v>
      </c>
      <c r="F123" s="19" t="s">
        <v>38</v>
      </c>
      <c r="G123" s="19" t="s">
        <v>38</v>
      </c>
      <c r="H123" s="19" t="s">
        <v>38</v>
      </c>
      <c r="I123" s="19" t="s">
        <v>38</v>
      </c>
    </row>
  </sheetData>
  <mergeCells count="1">
    <mergeCell ref="A4:C4"/>
  </mergeCells>
  <pageMargins left="0.65" right="0.72" top="1" bottom="1" header="0.5" footer="0.5"/>
  <pageSetup scale="67" orientation="portrait" r:id="rId1"/>
  <headerFooter alignWithMargins="0">
    <oddHeader>&amp;L&amp;"Arial,Regular"&amp;10WA UE-130043
Bench Request 9&amp;R&amp;"Arial,Bold"&amp;10Attachment Bench Request 9</oddHeader>
    <oddFooter>&amp;L&amp;"Arial,Regular"&amp;10&amp;F&amp;C&amp;A</oddFooter>
  </headerFooter>
  <rowBreaks count="1" manualBreakCount="1">
    <brk id="69" max="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CM52"/>
  <sheetViews>
    <sheetView view="pageBreakPreview" zoomScale="85" zoomScaleNormal="100" zoomScaleSheetLayoutView="85" workbookViewId="0">
      <pane xSplit="4" ySplit="12" topLeftCell="BQ13" activePane="bottomRight" state="frozen"/>
      <selection activeCell="T91" sqref="T91"/>
      <selection pane="topRight" activeCell="T91" sqref="T91"/>
      <selection pane="bottomLeft" activeCell="T91" sqref="T91"/>
      <selection pane="bottomRight" activeCell="T91" sqref="T91"/>
    </sheetView>
  </sheetViews>
  <sheetFormatPr defaultRowHeight="12.75"/>
  <cols>
    <col min="1" max="1" width="44" style="54" customWidth="1"/>
    <col min="2" max="2" width="11.5" style="53" customWidth="1"/>
    <col min="3" max="3" width="10.6640625" style="53" customWidth="1"/>
    <col min="4" max="4" width="11" style="53" customWidth="1"/>
    <col min="5" max="6" width="19.6640625" style="53" customWidth="1"/>
    <col min="7" max="7" width="4.6640625" style="53" customWidth="1"/>
    <col min="8" max="8" width="19.6640625" style="53" customWidth="1"/>
    <col min="9" max="9" width="19.5" style="54" customWidth="1"/>
    <col min="10" max="10" width="4.33203125" style="53" customWidth="1"/>
    <col min="11" max="12" width="19.6640625" style="53" customWidth="1"/>
    <col min="13" max="13" width="4.6640625" style="53" customWidth="1"/>
    <col min="14" max="14" width="19.6640625" style="53" customWidth="1"/>
    <col min="15" max="15" width="19.5" style="54" customWidth="1"/>
    <col min="16" max="16" width="4.6640625" style="54" customWidth="1"/>
    <col min="17" max="17" width="19.6640625" style="53" customWidth="1"/>
    <col min="18" max="18" width="19.5" style="54" customWidth="1"/>
    <col min="19" max="19" width="4.6640625" style="54" customWidth="1"/>
    <col min="20" max="20" width="19.6640625" style="53" customWidth="1"/>
    <col min="21" max="21" width="19.5" style="54" customWidth="1"/>
    <col min="22" max="22" width="4.6640625" style="54" customWidth="1"/>
    <col min="23" max="23" width="19.6640625" style="53" customWidth="1"/>
    <col min="24" max="24" width="19.5" style="54" customWidth="1"/>
    <col min="25" max="25" width="4.6640625" style="54" customWidth="1"/>
    <col min="26" max="26" width="19.6640625" style="53" customWidth="1"/>
    <col min="27" max="27" width="19.5" style="54" customWidth="1"/>
    <col min="28" max="28" width="4.6640625" style="54" customWidth="1"/>
    <col min="29" max="29" width="19.6640625" style="55" customWidth="1"/>
    <col min="30" max="30" width="19.5" style="53" customWidth="1"/>
    <col min="31" max="31" width="4.6640625" style="53" customWidth="1"/>
    <col min="32" max="32" width="19.6640625" style="55" customWidth="1"/>
    <col min="33" max="33" width="19.5" style="53" customWidth="1"/>
    <col min="34" max="34" width="4.6640625" style="53" customWidth="1"/>
    <col min="35" max="35" width="19.6640625" style="55" customWidth="1"/>
    <col min="36" max="36" width="19.5" style="53" customWidth="1"/>
    <col min="37" max="37" width="4.6640625" style="53" customWidth="1"/>
    <col min="38" max="38" width="19.6640625" style="55" customWidth="1"/>
    <col min="39" max="39" width="19.5" style="53" customWidth="1"/>
    <col min="40" max="40" width="4.6640625" style="53" customWidth="1"/>
    <col min="41" max="41" width="19.6640625" style="55" customWidth="1"/>
    <col min="42" max="42" width="19.5" style="53" customWidth="1"/>
    <col min="43" max="43" width="4.6640625" style="53" customWidth="1"/>
    <col min="44" max="44" width="19.6640625" style="55" customWidth="1"/>
    <col min="45" max="45" width="19.5" style="53" customWidth="1"/>
    <col min="46" max="46" width="4.6640625" style="53" customWidth="1"/>
    <col min="47" max="47" width="19.6640625" style="55" customWidth="1"/>
    <col min="48" max="48" width="19.5" style="53" customWidth="1"/>
    <col min="49" max="49" width="4.6640625" style="53" customWidth="1"/>
    <col min="50" max="50" width="19.6640625" style="55" customWidth="1"/>
    <col min="51" max="51" width="19.5" style="53" customWidth="1"/>
    <col min="52" max="52" width="4.6640625" style="53" customWidth="1"/>
    <col min="53" max="53" width="19.6640625" style="55" customWidth="1"/>
    <col min="54" max="54" width="19.5" style="53" customWidth="1"/>
    <col min="55" max="55" width="4.6640625" style="53" customWidth="1"/>
    <col min="56" max="56" width="19.6640625" style="55" customWidth="1"/>
    <col min="57" max="57" width="19.5" style="53" customWidth="1"/>
    <col min="58" max="58" width="4.6640625" style="53" customWidth="1"/>
    <col min="59" max="59" width="19.6640625" style="55" customWidth="1"/>
    <col min="60" max="60" width="19.5" style="53" customWidth="1"/>
    <col min="61" max="61" width="4.6640625" style="53" customWidth="1"/>
    <col min="62" max="62" width="19.6640625" style="55" customWidth="1"/>
    <col min="63" max="63" width="19.5" style="53" customWidth="1"/>
    <col min="64" max="64" width="4.6640625" style="53" customWidth="1"/>
    <col min="65" max="65" width="19.6640625" style="55" customWidth="1"/>
    <col min="66" max="66" width="19.5" style="53" customWidth="1"/>
    <col min="67" max="67" width="4.6640625" style="53" customWidth="1"/>
    <col min="68" max="68" width="19.6640625" style="55" customWidth="1"/>
    <col min="69" max="69" width="19.5" style="53" customWidth="1"/>
    <col min="70" max="70" width="4.6640625" style="53" customWidth="1"/>
    <col min="71" max="71" width="19.6640625" style="55" customWidth="1"/>
    <col min="72" max="72" width="19.5" style="53" customWidth="1"/>
    <col min="73" max="73" width="4.6640625" style="53" customWidth="1"/>
    <col min="74" max="74" width="19.6640625" style="55" customWidth="1"/>
    <col min="75" max="75" width="19.5" style="53" customWidth="1"/>
    <col min="76" max="76" width="4.6640625" style="53" customWidth="1"/>
    <col min="77" max="77" width="19.6640625" style="55" customWidth="1"/>
    <col min="78" max="78" width="19.5" style="53" customWidth="1"/>
    <col min="79" max="79" width="4.6640625" style="53" customWidth="1"/>
    <col min="80" max="80" width="19.6640625" style="55" customWidth="1"/>
    <col min="81" max="81" width="19.5" style="53" customWidth="1"/>
    <col min="82" max="82" width="4.6640625" style="53" customWidth="1"/>
    <col min="83" max="83" width="19.6640625" style="55" customWidth="1"/>
    <col min="84" max="84" width="19.5" style="53" customWidth="1"/>
    <col min="85" max="85" width="4.6640625" style="53" customWidth="1"/>
    <col min="86" max="86" width="19.6640625" style="53" customWidth="1"/>
    <col min="87" max="87" width="19.5" style="53" customWidth="1"/>
    <col min="88" max="88" width="4.6640625" style="53" customWidth="1"/>
    <col min="89" max="89" width="9.33203125" style="54"/>
    <col min="90" max="90" width="14.33203125" style="54" bestFit="1" customWidth="1"/>
    <col min="91" max="91" width="13.1640625" style="54" bestFit="1" customWidth="1"/>
    <col min="92" max="16384" width="9.33203125" style="54"/>
  </cols>
  <sheetData>
    <row r="1" spans="1:88">
      <c r="A1" s="52" t="s">
        <v>118</v>
      </c>
      <c r="AD1" s="56"/>
      <c r="AG1" s="56"/>
      <c r="AJ1" s="56"/>
      <c r="AM1" s="56"/>
      <c r="AP1" s="56"/>
      <c r="AS1" s="56"/>
      <c r="AV1" s="56"/>
      <c r="AY1" s="56"/>
      <c r="BB1" s="56"/>
      <c r="BE1" s="56"/>
      <c r="BH1" s="56"/>
      <c r="BK1" s="56"/>
      <c r="BN1" s="56"/>
      <c r="BQ1" s="56"/>
      <c r="BT1" s="56"/>
      <c r="BW1" s="56"/>
      <c r="BZ1" s="56"/>
      <c r="CC1" s="56"/>
      <c r="CF1" s="56"/>
    </row>
    <row r="2" spans="1:88">
      <c r="A2" s="57" t="s">
        <v>343</v>
      </c>
    </row>
    <row r="3" spans="1:88">
      <c r="A3" s="52" t="s">
        <v>303</v>
      </c>
    </row>
    <row r="4" spans="1:88" s="59" customFormat="1">
      <c r="A4" s="58"/>
      <c r="I4" s="60"/>
      <c r="O4" s="60"/>
      <c r="P4" s="60"/>
      <c r="R4" s="60"/>
      <c r="S4" s="60"/>
      <c r="U4" s="60"/>
      <c r="V4" s="60"/>
      <c r="X4" s="60"/>
      <c r="Y4" s="60"/>
      <c r="AA4" s="60"/>
      <c r="AB4" s="60"/>
      <c r="AC4" s="61"/>
      <c r="AF4" s="61"/>
      <c r="AI4" s="61"/>
      <c r="AL4" s="61"/>
      <c r="AO4" s="61"/>
      <c r="AR4" s="61"/>
      <c r="AU4" s="61"/>
      <c r="AX4" s="61"/>
      <c r="BA4" s="61"/>
      <c r="BD4" s="61"/>
      <c r="BG4" s="61"/>
      <c r="BJ4" s="61"/>
      <c r="BM4" s="61"/>
      <c r="BP4" s="61"/>
      <c r="BS4" s="61"/>
      <c r="BV4" s="61"/>
      <c r="BY4" s="61"/>
      <c r="CB4" s="61"/>
      <c r="CE4" s="61"/>
    </row>
    <row r="5" spans="1:88" s="59" customFormat="1">
      <c r="A5" s="58"/>
      <c r="B5" s="221">
        <v>1</v>
      </c>
      <c r="C5" s="221">
        <f>MAX($B$5:B5)+1</f>
        <v>2</v>
      </c>
      <c r="D5" s="221">
        <f>MAX($B$5:C5)+1</f>
        <v>3</v>
      </c>
      <c r="E5" s="221">
        <f>MAX($B$5:D5)+1</f>
        <v>4</v>
      </c>
      <c r="F5" s="221">
        <f>MAX($B$5:E5)+1</f>
        <v>5</v>
      </c>
      <c r="H5" s="221">
        <f>MAX($B$5:G5)+1</f>
        <v>6</v>
      </c>
      <c r="I5" s="221">
        <f>MAX($B$5:H5)+1</f>
        <v>7</v>
      </c>
      <c r="K5" s="221">
        <f>MAX($B$5:J5)+1</f>
        <v>8</v>
      </c>
      <c r="L5" s="221">
        <f>MAX($B$5:K5)+1</f>
        <v>9</v>
      </c>
      <c r="N5" s="221">
        <f>MAX($B$5:M5)+1</f>
        <v>10</v>
      </c>
      <c r="O5" s="221">
        <f>MAX($B$5:N5)+1</f>
        <v>11</v>
      </c>
      <c r="P5" s="62"/>
      <c r="Q5" s="221">
        <f>MAX($B$5:P5)+1</f>
        <v>12</v>
      </c>
      <c r="R5" s="221">
        <f>MAX($B$5:Q5)+1</f>
        <v>13</v>
      </c>
      <c r="S5" s="310"/>
      <c r="T5" s="221">
        <f>MAX($B$5:S5)+1</f>
        <v>14</v>
      </c>
      <c r="U5" s="221">
        <f>MAX($B$5:T5)+1</f>
        <v>15</v>
      </c>
      <c r="V5" s="310"/>
      <c r="W5" s="221">
        <f>MAX($B$5:V5)+1</f>
        <v>16</v>
      </c>
      <c r="X5" s="221">
        <f>MAX($B$5:W5)+1</f>
        <v>17</v>
      </c>
      <c r="Y5" s="310"/>
      <c r="Z5" s="221">
        <f>MAX($B$5:Y5)+1</f>
        <v>18</v>
      </c>
      <c r="AA5" s="221">
        <f>MAX($B$5:Z5)+1</f>
        <v>19</v>
      </c>
      <c r="AB5" s="310"/>
      <c r="AC5" s="221">
        <f>MAX($B$5:AB5)+1</f>
        <v>20</v>
      </c>
      <c r="AD5" s="221">
        <f>MAX($B$5:AC5)+1</f>
        <v>21</v>
      </c>
      <c r="AF5" s="221">
        <f>MAX($B$5:AE5)+1</f>
        <v>22</v>
      </c>
      <c r="AG5" s="221">
        <f>MAX($B$5:AF5)+1</f>
        <v>23</v>
      </c>
      <c r="AI5" s="221">
        <f>MAX($B$5:AH5)+1</f>
        <v>24</v>
      </c>
      <c r="AJ5" s="221">
        <f>MAX($B$5:AI5)+1</f>
        <v>25</v>
      </c>
      <c r="AL5" s="221">
        <f>MAX($B$5:AK5)+1</f>
        <v>26</v>
      </c>
      <c r="AM5" s="221">
        <f>MAX($B$5:AL5)+1</f>
        <v>27</v>
      </c>
      <c r="AO5" s="221">
        <f>MAX($B$5:AN5)+1</f>
        <v>28</v>
      </c>
      <c r="AP5" s="221">
        <f>MAX($B$5:AO5)+1</f>
        <v>29</v>
      </c>
      <c r="AR5" s="221">
        <f>MAX($B$5:AQ5)+1</f>
        <v>30</v>
      </c>
      <c r="AS5" s="221">
        <f>MAX($B$5:AR5)+1</f>
        <v>31</v>
      </c>
      <c r="AU5" s="221">
        <f>MAX($B$5:AT5)+1</f>
        <v>32</v>
      </c>
      <c r="AV5" s="221">
        <f>MAX($B$5:AU5)+1</f>
        <v>33</v>
      </c>
      <c r="AX5" s="221">
        <f>MAX($B$5:AW5)+1</f>
        <v>34</v>
      </c>
      <c r="AY5" s="221">
        <f>MAX($B$5:AX5)+1</f>
        <v>35</v>
      </c>
      <c r="BA5" s="221">
        <f>MAX($B$5:AZ5)+1</f>
        <v>36</v>
      </c>
      <c r="BB5" s="221">
        <f>MAX($B$5:BA5)+1</f>
        <v>37</v>
      </c>
      <c r="BD5" s="221">
        <f>MAX($B$5:BC5)+1</f>
        <v>38</v>
      </c>
      <c r="BE5" s="221">
        <f>MAX($B$5:BD5)+1</f>
        <v>39</v>
      </c>
      <c r="BG5" s="221">
        <f>MAX($B$5:BF5)+1</f>
        <v>40</v>
      </c>
      <c r="BH5" s="221">
        <f>MAX($B$5:BG5)+1</f>
        <v>41</v>
      </c>
      <c r="BJ5" s="221">
        <f>MAX($B$5:BI5)+1</f>
        <v>42</v>
      </c>
      <c r="BK5" s="221">
        <f>MAX($B$5:BJ5)+1</f>
        <v>43</v>
      </c>
      <c r="BM5" s="221">
        <f>MAX($B$5:BL5)+1</f>
        <v>44</v>
      </c>
      <c r="BN5" s="221">
        <f>MAX($B$5:BM5)+1</f>
        <v>45</v>
      </c>
      <c r="BP5" s="221">
        <f>MAX($B$5:BO5)+1</f>
        <v>46</v>
      </c>
      <c r="BQ5" s="221">
        <f>MAX($B$5:BP5)+1</f>
        <v>47</v>
      </c>
      <c r="BS5" s="221">
        <f>MAX($B$5:BR5)+1</f>
        <v>48</v>
      </c>
      <c r="BT5" s="221">
        <f>MAX($B$5:BS5)+1</f>
        <v>49</v>
      </c>
      <c r="BV5" s="221">
        <f>MAX($B$5:BU5)+1</f>
        <v>50</v>
      </c>
      <c r="BW5" s="221">
        <f>MAX($B$5:BV5)+1</f>
        <v>51</v>
      </c>
      <c r="BY5" s="221">
        <f>MAX($B$5:BX5)+1</f>
        <v>52</v>
      </c>
      <c r="BZ5" s="221">
        <f>MAX($B$5:BY5)+1</f>
        <v>53</v>
      </c>
      <c r="CB5" s="221">
        <f>MAX($B$5:CA5)+1</f>
        <v>54</v>
      </c>
      <c r="CC5" s="221">
        <f>MAX($B$5:CB5)+1</f>
        <v>55</v>
      </c>
      <c r="CE5" s="221">
        <f>MAX($B$5:CD5)+1</f>
        <v>56</v>
      </c>
      <c r="CF5" s="221">
        <f>MAX($B$5:CE5)+1</f>
        <v>57</v>
      </c>
      <c r="CH5" s="221">
        <f>MAX($B$5:CG5)+1</f>
        <v>58</v>
      </c>
      <c r="CI5" s="221">
        <f>MAX($B$5:CH5)+1</f>
        <v>59</v>
      </c>
    </row>
    <row r="6" spans="1:88" s="59" customFormat="1" ht="13.5" thickBot="1">
      <c r="A6" s="58"/>
      <c r="B6" s="62"/>
      <c r="C6" s="62"/>
      <c r="D6" s="62"/>
      <c r="F6" s="226">
        <f>E5</f>
        <v>4</v>
      </c>
      <c r="G6" s="223"/>
      <c r="H6" s="63" t="s">
        <v>287</v>
      </c>
      <c r="I6" s="226">
        <f>H5</f>
        <v>6</v>
      </c>
      <c r="L6" s="226">
        <f>K5</f>
        <v>8</v>
      </c>
      <c r="M6" s="223"/>
      <c r="N6" s="63" t="s">
        <v>288</v>
      </c>
      <c r="O6" s="226">
        <f>N5</f>
        <v>10</v>
      </c>
      <c r="P6" s="224"/>
      <c r="Q6" s="63"/>
      <c r="R6" s="226">
        <f>Q5</f>
        <v>12</v>
      </c>
      <c r="S6" s="224"/>
      <c r="T6" s="63" t="s">
        <v>288</v>
      </c>
      <c r="U6" s="226">
        <f>T5</f>
        <v>14</v>
      </c>
      <c r="V6" s="224"/>
      <c r="W6" s="63" t="s">
        <v>288</v>
      </c>
      <c r="X6" s="226">
        <f>W5</f>
        <v>16</v>
      </c>
      <c r="Y6" s="224"/>
      <c r="Z6" s="63" t="s">
        <v>288</v>
      </c>
      <c r="AA6" s="226">
        <f>Z5</f>
        <v>18</v>
      </c>
      <c r="AB6" s="224"/>
      <c r="AC6" s="225"/>
      <c r="AD6" s="226">
        <f>AC5</f>
        <v>20</v>
      </c>
      <c r="AE6" s="223"/>
      <c r="AF6" s="225"/>
      <c r="AG6" s="226">
        <f>AF5</f>
        <v>22</v>
      </c>
      <c r="AI6" s="226"/>
      <c r="AJ6" s="226">
        <f>AI5</f>
        <v>24</v>
      </c>
      <c r="AL6" s="61"/>
      <c r="AM6" s="226">
        <f>AL5</f>
        <v>26</v>
      </c>
      <c r="AO6" s="61"/>
      <c r="AP6" s="226">
        <f>AO5</f>
        <v>28</v>
      </c>
      <c r="AR6" s="61"/>
      <c r="AS6" s="226">
        <f>AR5</f>
        <v>30</v>
      </c>
      <c r="AU6" s="61"/>
      <c r="AV6" s="226">
        <f>AU5</f>
        <v>32</v>
      </c>
      <c r="AX6" s="61"/>
      <c r="AY6" s="226">
        <f>AX5</f>
        <v>34</v>
      </c>
      <c r="BA6" s="61"/>
      <c r="BB6" s="226">
        <f>BA5</f>
        <v>36</v>
      </c>
      <c r="BD6" s="61"/>
      <c r="BE6" s="226">
        <f>BD5</f>
        <v>38</v>
      </c>
      <c r="BG6" s="61"/>
      <c r="BH6" s="226">
        <f>BG5</f>
        <v>40</v>
      </c>
      <c r="BJ6" s="61"/>
      <c r="BK6" s="226">
        <f>BJ5</f>
        <v>42</v>
      </c>
      <c r="BM6" s="61"/>
      <c r="BN6" s="226">
        <f>BM5</f>
        <v>44</v>
      </c>
      <c r="BP6" s="61"/>
      <c r="BQ6" s="226">
        <f>BP5</f>
        <v>46</v>
      </c>
      <c r="BS6" s="61"/>
      <c r="BT6" s="226">
        <f>BS5</f>
        <v>48</v>
      </c>
      <c r="BV6" s="61"/>
      <c r="BW6" s="226">
        <f>BV5</f>
        <v>50</v>
      </c>
      <c r="BY6" s="61"/>
      <c r="BZ6" s="226">
        <f>BY5</f>
        <v>52</v>
      </c>
      <c r="CB6" s="61"/>
      <c r="CC6" s="226">
        <f>CB5</f>
        <v>54</v>
      </c>
      <c r="CE6" s="61"/>
      <c r="CF6" s="226">
        <f>CE5</f>
        <v>56</v>
      </c>
      <c r="CH6" s="61"/>
      <c r="CI6" s="226">
        <f>CH5</f>
        <v>58</v>
      </c>
      <c r="CJ6" s="223"/>
    </row>
    <row r="7" spans="1:88" s="59" customFormat="1">
      <c r="A7" s="58"/>
      <c r="B7" s="62"/>
      <c r="C7" s="62"/>
      <c r="D7" s="62"/>
      <c r="E7" s="64" t="s">
        <v>379</v>
      </c>
      <c r="F7" s="65"/>
      <c r="H7" s="339" t="s">
        <v>121</v>
      </c>
      <c r="I7" s="340"/>
      <c r="K7" s="64" t="s">
        <v>120</v>
      </c>
      <c r="L7" s="65"/>
      <c r="N7" s="339" t="s">
        <v>406</v>
      </c>
      <c r="O7" s="340"/>
      <c r="P7" s="294"/>
      <c r="Q7" s="339" t="s">
        <v>363</v>
      </c>
      <c r="R7" s="340"/>
      <c r="S7" s="294"/>
      <c r="T7" s="339" t="s">
        <v>364</v>
      </c>
      <c r="U7" s="340"/>
      <c r="V7" s="294"/>
      <c r="W7" s="339" t="s">
        <v>365</v>
      </c>
      <c r="X7" s="340"/>
      <c r="Y7" s="294"/>
      <c r="Z7" s="339" t="s">
        <v>403</v>
      </c>
      <c r="AA7" s="340"/>
      <c r="AB7" s="294"/>
      <c r="AC7" s="66" t="s">
        <v>366</v>
      </c>
      <c r="AD7" s="65"/>
      <c r="AF7" s="66" t="str">
        <f>'9.0 - Columnar Summary'!Q8</f>
        <v>Wind Reserve Correction</v>
      </c>
      <c r="AG7" s="65"/>
      <c r="AI7" s="66" t="str">
        <f>'9.0 - Columnar Summary'!R8</f>
        <v>Hydro Median Correction</v>
      </c>
      <c r="AJ7" s="65"/>
      <c r="AL7" s="66" t="str">
        <f>'9.0 - Columnar Summary'!S8</f>
        <v>Coal Heat Rate Correction</v>
      </c>
      <c r="AM7" s="65"/>
      <c r="AO7" s="66" t="str">
        <f>'9.0 - Columnar Summary'!T8</f>
        <v>BPA Exchange Correction</v>
      </c>
      <c r="AP7" s="65"/>
      <c r="AR7" s="66" t="str">
        <f>'9.0 - Columnar Summary'!U8</f>
        <v>Chehalis Lateral Update</v>
      </c>
      <c r="AS7" s="65"/>
      <c r="AU7" s="66" t="str">
        <f>'9.0 - Columnar Summary'!V8</f>
        <v>Stateline Losses Update</v>
      </c>
      <c r="AV7" s="65"/>
      <c r="AX7" s="66" t="str">
        <f>'9.0 - Columnar Summary'!W8</f>
        <v>PGE Cove Update</v>
      </c>
      <c r="AY7" s="65"/>
      <c r="BA7" s="66" t="str">
        <f>'9.0 - Columnar Summary'!X8</f>
        <v>Butter Creek Wind QF Termination</v>
      </c>
      <c r="BB7" s="65"/>
      <c r="BD7" s="66" t="str">
        <f>'9.0 - Columnar Summary'!Y8</f>
        <v>Small QF Update</v>
      </c>
      <c r="BE7" s="65"/>
      <c r="BG7" s="66" t="str">
        <f>'9.0 - Columnar Summary'!Z8</f>
        <v>BPA PTP Update</v>
      </c>
      <c r="BH7" s="65"/>
      <c r="BJ7" s="66" t="str">
        <f>'9.0 - Columnar Summary'!AA8</f>
        <v>ID Trans Rate Update</v>
      </c>
      <c r="BK7" s="65"/>
      <c r="BM7" s="66" t="str">
        <f>'9.0 - Columnar Summary'!AB8</f>
        <v>DPUD Pro Forma Update</v>
      </c>
      <c r="BN7" s="65"/>
      <c r="BP7" s="66" t="str">
        <f>'9.0 - Columnar Summary'!AC8</f>
        <v>OFPC Update</v>
      </c>
      <c r="BQ7" s="65"/>
      <c r="BS7" s="66" t="str">
        <f>'9.0 - Columnar Summary'!AD8</f>
        <v>BPA Final RoD Update</v>
      </c>
      <c r="BT7" s="65"/>
      <c r="BV7" s="66" t="str">
        <f>'9.0 - Columnar Summary'!AE8</f>
        <v>Coal Cost Update</v>
      </c>
      <c r="BW7" s="65"/>
      <c r="BY7" s="66" t="str">
        <f>'9.0 - Columnar Summary'!AF8</f>
        <v>P50 Wind Generation</v>
      </c>
      <c r="BZ7" s="65"/>
      <c r="CB7" s="66" t="str">
        <f>'9.0 - Columnar Summary'!AG8</f>
        <v>Interrelated Changes</v>
      </c>
      <c r="CC7" s="65"/>
      <c r="CE7" s="66" t="s">
        <v>271</v>
      </c>
      <c r="CF7" s="65"/>
      <c r="CH7" s="66" t="s">
        <v>122</v>
      </c>
      <c r="CI7" s="65"/>
    </row>
    <row r="8" spans="1:88" s="59" customFormat="1">
      <c r="A8" s="58"/>
      <c r="B8" s="62"/>
      <c r="C8" s="62"/>
      <c r="D8" s="62"/>
      <c r="E8" s="68" t="s">
        <v>123</v>
      </c>
      <c r="F8" s="67"/>
      <c r="H8" s="345" t="s">
        <v>123</v>
      </c>
      <c r="I8" s="346"/>
      <c r="K8" s="68" t="s">
        <v>123</v>
      </c>
      <c r="L8" s="67"/>
      <c r="N8" s="341"/>
      <c r="O8" s="342"/>
      <c r="P8" s="294"/>
      <c r="Q8" s="341" t="s">
        <v>124</v>
      </c>
      <c r="R8" s="342"/>
      <c r="S8" s="294"/>
      <c r="T8" s="341"/>
      <c r="U8" s="342"/>
      <c r="V8" s="294"/>
      <c r="W8" s="341"/>
      <c r="X8" s="342"/>
      <c r="Y8" s="294"/>
      <c r="Z8" s="341"/>
      <c r="AA8" s="342"/>
      <c r="AB8" s="294"/>
      <c r="AC8" s="68"/>
      <c r="AD8" s="67"/>
      <c r="AF8" s="68"/>
      <c r="AG8" s="67"/>
      <c r="AI8" s="68"/>
      <c r="AJ8" s="67"/>
      <c r="AL8" s="68"/>
      <c r="AM8" s="67"/>
      <c r="AO8" s="68"/>
      <c r="AP8" s="67"/>
      <c r="AR8" s="68"/>
      <c r="AS8" s="67"/>
      <c r="AU8" s="68"/>
      <c r="AV8" s="67"/>
      <c r="AX8" s="68"/>
      <c r="AY8" s="67"/>
      <c r="BA8" s="68"/>
      <c r="BB8" s="67"/>
      <c r="BD8" s="68"/>
      <c r="BE8" s="67"/>
      <c r="BG8" s="68"/>
      <c r="BH8" s="67"/>
      <c r="BJ8" s="68"/>
      <c r="BK8" s="67"/>
      <c r="BM8" s="68"/>
      <c r="BN8" s="67"/>
      <c r="BP8" s="68"/>
      <c r="BQ8" s="67"/>
      <c r="BS8" s="68"/>
      <c r="BT8" s="67"/>
      <c r="BV8" s="68"/>
      <c r="BW8" s="67"/>
      <c r="BY8" s="68"/>
      <c r="BZ8" s="67"/>
      <c r="CB8" s="68"/>
      <c r="CC8" s="67"/>
      <c r="CE8" s="68"/>
      <c r="CF8" s="67"/>
      <c r="CH8" s="68" t="s">
        <v>124</v>
      </c>
      <c r="CI8" s="67"/>
    </row>
    <row r="9" spans="1:88" s="59" customFormat="1">
      <c r="A9" s="58"/>
      <c r="E9" s="68" t="s">
        <v>405</v>
      </c>
      <c r="F9" s="69"/>
      <c r="H9" s="343" t="s">
        <v>405</v>
      </c>
      <c r="I9" s="344"/>
      <c r="K9" s="68" t="s">
        <v>405</v>
      </c>
      <c r="L9" s="67"/>
      <c r="N9" s="343"/>
      <c r="O9" s="344"/>
      <c r="P9" s="60"/>
      <c r="Q9" s="343"/>
      <c r="R9" s="344"/>
      <c r="S9" s="60"/>
      <c r="T9" s="343"/>
      <c r="U9" s="344"/>
      <c r="V9" s="60"/>
      <c r="W9" s="343"/>
      <c r="X9" s="344"/>
      <c r="Y9" s="60"/>
      <c r="Z9" s="343"/>
      <c r="AA9" s="344"/>
      <c r="AB9" s="60"/>
      <c r="AC9" s="72"/>
      <c r="AD9" s="71"/>
      <c r="AF9" s="72"/>
      <c r="AG9" s="71"/>
      <c r="AI9" s="72"/>
      <c r="AJ9" s="71"/>
      <c r="AL9" s="72"/>
      <c r="AM9" s="71"/>
      <c r="AO9" s="72"/>
      <c r="AP9" s="71"/>
      <c r="AR9" s="72"/>
      <c r="AS9" s="71"/>
      <c r="AU9" s="72"/>
      <c r="AV9" s="71"/>
      <c r="AX9" s="72"/>
      <c r="AY9" s="71"/>
      <c r="BA9" s="72"/>
      <c r="BB9" s="71"/>
      <c r="BD9" s="72"/>
      <c r="BE9" s="71"/>
      <c r="BG9" s="72"/>
      <c r="BH9" s="71"/>
      <c r="BJ9" s="72"/>
      <c r="BK9" s="71"/>
      <c r="BM9" s="72"/>
      <c r="BN9" s="71"/>
      <c r="BP9" s="72"/>
      <c r="BQ9" s="71"/>
      <c r="BS9" s="72"/>
      <c r="BT9" s="71"/>
      <c r="BV9" s="72"/>
      <c r="BW9" s="71"/>
      <c r="BY9" s="72"/>
      <c r="BZ9" s="71"/>
      <c r="CB9" s="72"/>
      <c r="CC9" s="71"/>
      <c r="CE9" s="72"/>
      <c r="CF9" s="71"/>
      <c r="CH9" s="72"/>
      <c r="CI9" s="71"/>
    </row>
    <row r="10" spans="1:88" s="59" customFormat="1">
      <c r="C10" s="59" t="s">
        <v>125</v>
      </c>
      <c r="D10" s="59" t="s">
        <v>126</v>
      </c>
      <c r="E10" s="70"/>
      <c r="F10" s="71"/>
      <c r="H10" s="70"/>
      <c r="I10" s="71" t="s">
        <v>125</v>
      </c>
      <c r="K10" s="70"/>
      <c r="L10" s="71"/>
      <c r="N10" s="70"/>
      <c r="O10" s="71" t="s">
        <v>125</v>
      </c>
      <c r="Q10" s="70"/>
      <c r="R10" s="71" t="s">
        <v>125</v>
      </c>
      <c r="T10" s="70"/>
      <c r="U10" s="71" t="s">
        <v>125</v>
      </c>
      <c r="W10" s="70"/>
      <c r="X10" s="71" t="s">
        <v>125</v>
      </c>
      <c r="Z10" s="70"/>
      <c r="AA10" s="71" t="s">
        <v>125</v>
      </c>
      <c r="AC10" s="72"/>
      <c r="AD10" s="71"/>
      <c r="AF10" s="72"/>
      <c r="AG10" s="71"/>
      <c r="AI10" s="72"/>
      <c r="AJ10" s="71"/>
      <c r="AL10" s="72"/>
      <c r="AM10" s="71"/>
      <c r="AO10" s="72"/>
      <c r="AP10" s="71"/>
      <c r="AR10" s="72"/>
      <c r="AS10" s="71"/>
      <c r="AU10" s="72"/>
      <c r="AV10" s="71"/>
      <c r="AX10" s="72"/>
      <c r="AY10" s="71"/>
      <c r="BA10" s="72"/>
      <c r="BB10" s="71"/>
      <c r="BD10" s="72"/>
      <c r="BE10" s="71"/>
      <c r="BG10" s="72"/>
      <c r="BH10" s="71"/>
      <c r="BJ10" s="72"/>
      <c r="BK10" s="71"/>
      <c r="BM10" s="72"/>
      <c r="BN10" s="71"/>
      <c r="BP10" s="72"/>
      <c r="BQ10" s="71"/>
      <c r="BS10" s="72"/>
      <c r="BT10" s="71"/>
      <c r="BV10" s="72"/>
      <c r="BW10" s="71"/>
      <c r="BY10" s="72"/>
      <c r="BZ10" s="71"/>
      <c r="CB10" s="72"/>
      <c r="CC10" s="71"/>
      <c r="CE10" s="72"/>
      <c r="CF10" s="71"/>
      <c r="CH10" s="72"/>
      <c r="CI10" s="71"/>
    </row>
    <row r="11" spans="1:88" s="59" customFormat="1">
      <c r="B11" s="59" t="s">
        <v>127</v>
      </c>
      <c r="C11" s="59" t="s">
        <v>128</v>
      </c>
      <c r="D11" s="59" t="s">
        <v>128</v>
      </c>
      <c r="E11" s="70" t="s">
        <v>129</v>
      </c>
      <c r="F11" s="71" t="s">
        <v>130</v>
      </c>
      <c r="H11" s="70" t="s">
        <v>129</v>
      </c>
      <c r="I11" s="71" t="s">
        <v>130</v>
      </c>
      <c r="K11" s="70" t="s">
        <v>129</v>
      </c>
      <c r="L11" s="71" t="s">
        <v>130</v>
      </c>
      <c r="N11" s="70" t="s">
        <v>129</v>
      </c>
      <c r="O11" s="71" t="s">
        <v>130</v>
      </c>
      <c r="P11" s="73"/>
      <c r="Q11" s="70" t="s">
        <v>129</v>
      </c>
      <c r="R11" s="71" t="s">
        <v>130</v>
      </c>
      <c r="S11" s="73"/>
      <c r="T11" s="70" t="s">
        <v>129</v>
      </c>
      <c r="U11" s="71" t="s">
        <v>130</v>
      </c>
      <c r="V11" s="73"/>
      <c r="W11" s="70" t="s">
        <v>129</v>
      </c>
      <c r="X11" s="71" t="s">
        <v>130</v>
      </c>
      <c r="Y11" s="73"/>
      <c r="Z11" s="70" t="s">
        <v>129</v>
      </c>
      <c r="AA11" s="71" t="s">
        <v>130</v>
      </c>
      <c r="AB11" s="73"/>
      <c r="AC11" s="72" t="s">
        <v>129</v>
      </c>
      <c r="AD11" s="71" t="s">
        <v>130</v>
      </c>
      <c r="AF11" s="72" t="s">
        <v>129</v>
      </c>
      <c r="AG11" s="71" t="s">
        <v>130</v>
      </c>
      <c r="AI11" s="72" t="s">
        <v>129</v>
      </c>
      <c r="AJ11" s="71" t="s">
        <v>130</v>
      </c>
      <c r="AL11" s="72" t="s">
        <v>129</v>
      </c>
      <c r="AM11" s="71" t="s">
        <v>130</v>
      </c>
      <c r="AO11" s="72" t="s">
        <v>129</v>
      </c>
      <c r="AP11" s="71" t="s">
        <v>130</v>
      </c>
      <c r="AR11" s="72" t="s">
        <v>129</v>
      </c>
      <c r="AS11" s="71" t="s">
        <v>130</v>
      </c>
      <c r="AU11" s="72" t="s">
        <v>129</v>
      </c>
      <c r="AV11" s="71" t="s">
        <v>130</v>
      </c>
      <c r="AX11" s="72" t="s">
        <v>129</v>
      </c>
      <c r="AY11" s="71" t="s">
        <v>130</v>
      </c>
      <c r="BA11" s="72" t="s">
        <v>129</v>
      </c>
      <c r="BB11" s="71" t="s">
        <v>130</v>
      </c>
      <c r="BD11" s="72" t="s">
        <v>129</v>
      </c>
      <c r="BE11" s="71" t="s">
        <v>130</v>
      </c>
      <c r="BG11" s="72" t="s">
        <v>129</v>
      </c>
      <c r="BH11" s="71" t="s">
        <v>130</v>
      </c>
      <c r="BJ11" s="72" t="s">
        <v>129</v>
      </c>
      <c r="BK11" s="71" t="s">
        <v>130</v>
      </c>
      <c r="BM11" s="72" t="s">
        <v>129</v>
      </c>
      <c r="BN11" s="71" t="s">
        <v>130</v>
      </c>
      <c r="BP11" s="72" t="s">
        <v>129</v>
      </c>
      <c r="BQ11" s="71" t="s">
        <v>130</v>
      </c>
      <c r="BS11" s="72" t="s">
        <v>129</v>
      </c>
      <c r="BT11" s="71" t="s">
        <v>130</v>
      </c>
      <c r="BV11" s="72" t="s">
        <v>129</v>
      </c>
      <c r="BW11" s="71" t="s">
        <v>130</v>
      </c>
      <c r="BY11" s="72" t="s">
        <v>129</v>
      </c>
      <c r="BZ11" s="71" t="s">
        <v>130</v>
      </c>
      <c r="CB11" s="72" t="s">
        <v>129</v>
      </c>
      <c r="CC11" s="71" t="s">
        <v>130</v>
      </c>
      <c r="CE11" s="72" t="s">
        <v>129</v>
      </c>
      <c r="CF11" s="71" t="s">
        <v>130</v>
      </c>
      <c r="CH11" s="72" t="s">
        <v>129</v>
      </c>
      <c r="CI11" s="71" t="s">
        <v>130</v>
      </c>
    </row>
    <row r="12" spans="1:88" s="59" customFormat="1">
      <c r="A12" s="74" t="s">
        <v>131</v>
      </c>
      <c r="B12" s="74" t="s">
        <v>132</v>
      </c>
      <c r="C12" s="74" t="s">
        <v>133</v>
      </c>
      <c r="D12" s="74" t="s">
        <v>134</v>
      </c>
      <c r="E12" s="75" t="s">
        <v>135</v>
      </c>
      <c r="F12" s="76" t="s">
        <v>136</v>
      </c>
      <c r="G12" s="77"/>
      <c r="H12" s="75" t="s">
        <v>135</v>
      </c>
      <c r="I12" s="76" t="s">
        <v>136</v>
      </c>
      <c r="J12" s="73"/>
      <c r="K12" s="75" t="s">
        <v>135</v>
      </c>
      <c r="L12" s="76" t="s">
        <v>136</v>
      </c>
      <c r="M12" s="77"/>
      <c r="N12" s="75" t="s">
        <v>135</v>
      </c>
      <c r="O12" s="76" t="s">
        <v>136</v>
      </c>
      <c r="P12" s="74"/>
      <c r="Q12" s="75" t="s">
        <v>135</v>
      </c>
      <c r="R12" s="76" t="s">
        <v>136</v>
      </c>
      <c r="S12" s="74"/>
      <c r="T12" s="75" t="s">
        <v>135</v>
      </c>
      <c r="U12" s="76" t="s">
        <v>136</v>
      </c>
      <c r="V12" s="74"/>
      <c r="W12" s="75" t="s">
        <v>135</v>
      </c>
      <c r="X12" s="76" t="s">
        <v>136</v>
      </c>
      <c r="Y12" s="74"/>
      <c r="Z12" s="75" t="s">
        <v>135</v>
      </c>
      <c r="AA12" s="76" t="s">
        <v>136</v>
      </c>
      <c r="AB12" s="74"/>
      <c r="AC12" s="78" t="s">
        <v>135</v>
      </c>
      <c r="AD12" s="76" t="s">
        <v>136</v>
      </c>
      <c r="AE12" s="74"/>
      <c r="AF12" s="78" t="s">
        <v>135</v>
      </c>
      <c r="AG12" s="76" t="s">
        <v>136</v>
      </c>
      <c r="AH12" s="74"/>
      <c r="AI12" s="78" t="s">
        <v>135</v>
      </c>
      <c r="AJ12" s="76" t="s">
        <v>136</v>
      </c>
      <c r="AK12" s="74"/>
      <c r="AL12" s="78" t="s">
        <v>135</v>
      </c>
      <c r="AM12" s="76" t="s">
        <v>136</v>
      </c>
      <c r="AN12" s="74"/>
      <c r="AO12" s="78" t="s">
        <v>135</v>
      </c>
      <c r="AP12" s="76" t="s">
        <v>136</v>
      </c>
      <c r="AQ12" s="74"/>
      <c r="AR12" s="78" t="s">
        <v>135</v>
      </c>
      <c r="AS12" s="76" t="s">
        <v>136</v>
      </c>
      <c r="AT12" s="74"/>
      <c r="AU12" s="78" t="s">
        <v>135</v>
      </c>
      <c r="AV12" s="76" t="s">
        <v>136</v>
      </c>
      <c r="AW12" s="74"/>
      <c r="AX12" s="78" t="s">
        <v>135</v>
      </c>
      <c r="AY12" s="76" t="s">
        <v>136</v>
      </c>
      <c r="AZ12" s="74"/>
      <c r="BA12" s="78" t="s">
        <v>135</v>
      </c>
      <c r="BB12" s="76" t="s">
        <v>136</v>
      </c>
      <c r="BC12" s="74"/>
      <c r="BD12" s="78" t="s">
        <v>135</v>
      </c>
      <c r="BE12" s="76" t="s">
        <v>136</v>
      </c>
      <c r="BF12" s="74"/>
      <c r="BG12" s="78" t="s">
        <v>135</v>
      </c>
      <c r="BH12" s="76" t="s">
        <v>136</v>
      </c>
      <c r="BI12" s="74"/>
      <c r="BJ12" s="78" t="s">
        <v>135</v>
      </c>
      <c r="BK12" s="76" t="s">
        <v>136</v>
      </c>
      <c r="BL12" s="74"/>
      <c r="BM12" s="78" t="s">
        <v>135</v>
      </c>
      <c r="BN12" s="76" t="s">
        <v>136</v>
      </c>
      <c r="BO12" s="74"/>
      <c r="BP12" s="78" t="s">
        <v>135</v>
      </c>
      <c r="BQ12" s="76" t="s">
        <v>136</v>
      </c>
      <c r="BR12" s="74"/>
      <c r="BS12" s="78" t="s">
        <v>135</v>
      </c>
      <c r="BT12" s="76" t="s">
        <v>136</v>
      </c>
      <c r="BU12" s="74"/>
      <c r="BV12" s="78" t="s">
        <v>135</v>
      </c>
      <c r="BW12" s="76" t="s">
        <v>136</v>
      </c>
      <c r="BX12" s="74"/>
      <c r="BY12" s="78" t="s">
        <v>135</v>
      </c>
      <c r="BZ12" s="76" t="s">
        <v>136</v>
      </c>
      <c r="CA12" s="74"/>
      <c r="CB12" s="78" t="s">
        <v>135</v>
      </c>
      <c r="CC12" s="76" t="s">
        <v>136</v>
      </c>
      <c r="CD12" s="74"/>
      <c r="CE12" s="78" t="s">
        <v>135</v>
      </c>
      <c r="CF12" s="76" t="s">
        <v>136</v>
      </c>
      <c r="CG12" s="74"/>
      <c r="CH12" s="78" t="s">
        <v>135</v>
      </c>
      <c r="CI12" s="76" t="s">
        <v>136</v>
      </c>
      <c r="CJ12" s="74"/>
    </row>
    <row r="13" spans="1:88">
      <c r="E13" s="79"/>
      <c r="F13" s="80"/>
      <c r="H13" s="79"/>
      <c r="I13" s="82"/>
      <c r="J13" s="81"/>
      <c r="K13" s="79"/>
      <c r="L13" s="80"/>
      <c r="N13" s="79"/>
      <c r="O13" s="82"/>
      <c r="Q13" s="79"/>
      <c r="R13" s="82"/>
      <c r="T13" s="79"/>
      <c r="U13" s="82"/>
      <c r="W13" s="79"/>
      <c r="X13" s="82"/>
      <c r="Z13" s="79"/>
      <c r="AA13" s="82"/>
      <c r="AC13" s="83"/>
      <c r="AD13" s="80"/>
      <c r="AE13" s="54"/>
      <c r="AF13" s="83"/>
      <c r="AG13" s="80"/>
      <c r="AH13" s="54"/>
      <c r="AI13" s="83"/>
      <c r="AJ13" s="80"/>
      <c r="AK13" s="54"/>
      <c r="AL13" s="83"/>
      <c r="AM13" s="80"/>
      <c r="AN13" s="54"/>
      <c r="AO13" s="83"/>
      <c r="AP13" s="80"/>
      <c r="AQ13" s="54"/>
      <c r="AR13" s="83"/>
      <c r="AS13" s="80"/>
      <c r="AT13" s="54"/>
      <c r="AU13" s="83"/>
      <c r="AV13" s="80"/>
      <c r="AW13" s="54"/>
      <c r="AX13" s="83"/>
      <c r="AY13" s="80"/>
      <c r="AZ13" s="54"/>
      <c r="BA13" s="83"/>
      <c r="BB13" s="80"/>
      <c r="BC13" s="54"/>
      <c r="BD13" s="83"/>
      <c r="BE13" s="80"/>
      <c r="BF13" s="54"/>
      <c r="BG13" s="83"/>
      <c r="BH13" s="80"/>
      <c r="BI13" s="54"/>
      <c r="BJ13" s="83"/>
      <c r="BK13" s="80"/>
      <c r="BL13" s="54"/>
      <c r="BM13" s="83"/>
      <c r="BN13" s="80"/>
      <c r="BO13" s="54"/>
      <c r="BP13" s="83"/>
      <c r="BQ13" s="80"/>
      <c r="BR13" s="54"/>
      <c r="BS13" s="83"/>
      <c r="BT13" s="80"/>
      <c r="BU13" s="54"/>
      <c r="BV13" s="83"/>
      <c r="BW13" s="80"/>
      <c r="BX13" s="54"/>
      <c r="BY13" s="83"/>
      <c r="BZ13" s="80"/>
      <c r="CA13" s="54"/>
      <c r="CB13" s="83"/>
      <c r="CC13" s="80"/>
      <c r="CD13" s="54"/>
      <c r="CE13" s="83"/>
      <c r="CF13" s="80"/>
      <c r="CG13" s="54"/>
      <c r="CH13" s="83"/>
      <c r="CI13" s="80"/>
      <c r="CJ13" s="54"/>
    </row>
    <row r="14" spans="1:88">
      <c r="A14" s="54" t="s">
        <v>137</v>
      </c>
      <c r="D14" s="84"/>
      <c r="E14" s="85"/>
      <c r="F14" s="80"/>
      <c r="H14" s="79"/>
      <c r="I14" s="82"/>
      <c r="J14" s="81"/>
      <c r="K14" s="79"/>
      <c r="L14" s="80"/>
      <c r="N14" s="79"/>
      <c r="O14" s="82"/>
      <c r="Q14" s="79"/>
      <c r="R14" s="82"/>
      <c r="T14" s="79"/>
      <c r="U14" s="82"/>
      <c r="W14" s="79"/>
      <c r="X14" s="82"/>
      <c r="Z14" s="79"/>
      <c r="AA14" s="82"/>
      <c r="AC14" s="83"/>
      <c r="AD14" s="80"/>
      <c r="AE14" s="54"/>
      <c r="AF14" s="83"/>
      <c r="AG14" s="80"/>
      <c r="AH14" s="54"/>
      <c r="AI14" s="83"/>
      <c r="AJ14" s="80"/>
      <c r="AK14" s="54"/>
      <c r="AL14" s="83"/>
      <c r="AM14" s="80"/>
      <c r="AN14" s="54"/>
      <c r="AO14" s="83"/>
      <c r="AP14" s="80"/>
      <c r="AQ14" s="54"/>
      <c r="AR14" s="83"/>
      <c r="AS14" s="80"/>
      <c r="AT14" s="54"/>
      <c r="AU14" s="83"/>
      <c r="AV14" s="80"/>
      <c r="AW14" s="54"/>
      <c r="AX14" s="83"/>
      <c r="AY14" s="80"/>
      <c r="AZ14" s="54"/>
      <c r="BA14" s="83"/>
      <c r="BB14" s="80"/>
      <c r="BC14" s="54"/>
      <c r="BD14" s="83"/>
      <c r="BE14" s="80"/>
      <c r="BF14" s="54"/>
      <c r="BG14" s="83"/>
      <c r="BH14" s="80"/>
      <c r="BI14" s="54"/>
      <c r="BJ14" s="83"/>
      <c r="BK14" s="80"/>
      <c r="BL14" s="54"/>
      <c r="BM14" s="83"/>
      <c r="BN14" s="80"/>
      <c r="BO14" s="54"/>
      <c r="BP14" s="83"/>
      <c r="BQ14" s="80"/>
      <c r="BR14" s="54"/>
      <c r="BS14" s="83"/>
      <c r="BT14" s="80"/>
      <c r="BU14" s="54"/>
      <c r="BV14" s="83"/>
      <c r="BW14" s="80"/>
      <c r="BX14" s="54"/>
      <c r="BY14" s="83"/>
      <c r="BZ14" s="80"/>
      <c r="CA14" s="54"/>
      <c r="CB14" s="83"/>
      <c r="CC14" s="80"/>
      <c r="CD14" s="54"/>
      <c r="CE14" s="83"/>
      <c r="CF14" s="80"/>
      <c r="CG14" s="54"/>
      <c r="CH14" s="83"/>
      <c r="CI14" s="80"/>
      <c r="CJ14" s="54"/>
    </row>
    <row r="15" spans="1:88">
      <c r="A15" s="86" t="s">
        <v>138</v>
      </c>
      <c r="B15" s="87" t="s">
        <v>139</v>
      </c>
      <c r="C15" s="53" t="s">
        <v>140</v>
      </c>
      <c r="D15" s="284">
        <v>0.2262649010137</v>
      </c>
      <c r="E15" s="88">
        <f>'9.2.1 - Per Books'!F8</f>
        <v>8952900.0700000003</v>
      </c>
      <c r="F15" s="89">
        <f>E15*D15</f>
        <v>2025727.048124098</v>
      </c>
      <c r="G15" s="87"/>
      <c r="H15" s="88">
        <f t="shared" ref="H15:H17" si="0">+K15-E15</f>
        <v>4011899.9299999997</v>
      </c>
      <c r="I15" s="92">
        <f>H15*$D15</f>
        <v>907752.14053831995</v>
      </c>
      <c r="J15" s="90"/>
      <c r="K15" s="88">
        <f>'9.3.2 - Restating'!F16</f>
        <v>12964800</v>
      </c>
      <c r="L15" s="91">
        <f>+D15*K15</f>
        <v>2933479.1886624177</v>
      </c>
      <c r="M15" s="87"/>
      <c r="N15" s="88">
        <f>+Q15-K15</f>
        <v>0</v>
      </c>
      <c r="O15" s="92">
        <f>N15*$D15</f>
        <v>0</v>
      </c>
      <c r="P15" s="93"/>
      <c r="Q15" s="88">
        <f>AC15-SUM(T15,W15,Z15)</f>
        <v>12964800</v>
      </c>
      <c r="R15" s="92">
        <f>Q15*$D15</f>
        <v>2933479.1886624177</v>
      </c>
      <c r="S15" s="93"/>
      <c r="T15" s="88">
        <f>AC15-'9.5.1 - QFs'!F16</f>
        <v>0</v>
      </c>
      <c r="U15" s="92">
        <f>T15*$D15</f>
        <v>0</v>
      </c>
      <c r="V15" s="93"/>
      <c r="W15" s="88">
        <f>AC15-'9.6.1 - ECA Sale'!F16</f>
        <v>0</v>
      </c>
      <c r="X15" s="92">
        <f>W15*$D15</f>
        <v>0</v>
      </c>
      <c r="Y15" s="93"/>
      <c r="Z15" s="88">
        <f>AC15-'9.6.1 - ID P2P'!F16</f>
        <v>0</v>
      </c>
      <c r="AA15" s="92">
        <f>Z15*$D15</f>
        <v>0</v>
      </c>
      <c r="AB15" s="93"/>
      <c r="AC15" s="94">
        <f>'9.8.1 Pro Forma Direct'!$F$16</f>
        <v>12964800</v>
      </c>
      <c r="AD15" s="95">
        <f>D15*AC15</f>
        <v>2933479.1886624177</v>
      </c>
      <c r="AE15" s="96"/>
      <c r="AF15" s="228">
        <f>'9.9.1 - Wind Reserve'!$F$16-$AC15</f>
        <v>0</v>
      </c>
      <c r="AG15" s="229">
        <f>AF15*$D15</f>
        <v>0</v>
      </c>
      <c r="AH15" s="230"/>
      <c r="AI15" s="228">
        <f>'9.10.1 - Hydro Median'!$F$16-$AC15</f>
        <v>0</v>
      </c>
      <c r="AJ15" s="229">
        <f>AI15*$D15</f>
        <v>0</v>
      </c>
      <c r="AK15" s="230"/>
      <c r="AL15" s="228">
        <f>'9.11.1 - Coal Heat Rate'!$F$16-$AC15</f>
        <v>0</v>
      </c>
      <c r="AM15" s="229">
        <f>AL15*$D15</f>
        <v>0</v>
      </c>
      <c r="AN15" s="230"/>
      <c r="AO15" s="228">
        <f>'9.12.1 - BPA Exchange'!$F$16-$AC15</f>
        <v>0</v>
      </c>
      <c r="AP15" s="229">
        <f>AO15*$D15</f>
        <v>0</v>
      </c>
      <c r="AQ15" s="230"/>
      <c r="AR15" s="228">
        <f>'9.13.1 - Chehalis Lateral'!$F$16-$AC15</f>
        <v>0</v>
      </c>
      <c r="AS15" s="229">
        <f>AR15*$D15</f>
        <v>0</v>
      </c>
      <c r="AT15" s="230"/>
      <c r="AU15" s="228">
        <f>'9.14.1 - Stateline Losses'!$F$16-$AC15</f>
        <v>0</v>
      </c>
      <c r="AV15" s="229">
        <f>AU15*$D15</f>
        <v>0</v>
      </c>
      <c r="AW15" s="230"/>
      <c r="AX15" s="228">
        <f>'9.15.1 - PGE Cove'!$F$16-$AC15</f>
        <v>0</v>
      </c>
      <c r="AY15" s="229">
        <f>AX15*$D15</f>
        <v>0</v>
      </c>
      <c r="AZ15" s="230"/>
      <c r="BA15" s="228">
        <f>'9.16.1 - Butter Creek'!$F$16-$AC15</f>
        <v>0</v>
      </c>
      <c r="BB15" s="229">
        <f>BA15*$D15</f>
        <v>0</v>
      </c>
      <c r="BC15" s="230"/>
      <c r="BD15" s="228">
        <f>'9.17.1 - Small QF'!$F$16-$AC15</f>
        <v>0</v>
      </c>
      <c r="BE15" s="229">
        <f>BD15*$D15</f>
        <v>0</v>
      </c>
      <c r="BF15" s="230"/>
      <c r="BG15" s="228">
        <f>'9.18.1 - BPA PTP'!$F$16-$AC15</f>
        <v>0</v>
      </c>
      <c r="BH15" s="229">
        <f>BG15*$D15</f>
        <v>0</v>
      </c>
      <c r="BI15" s="230"/>
      <c r="BJ15" s="228">
        <f>'9.19.1 - ID Trans Rate'!$F$16-$AC15</f>
        <v>0</v>
      </c>
      <c r="BK15" s="229">
        <f>BJ15*$D15</f>
        <v>0</v>
      </c>
      <c r="BL15" s="230"/>
      <c r="BM15" s="228">
        <f>'9.20.1 - DPUD'!$F$16-$AC15</f>
        <v>0</v>
      </c>
      <c r="BN15" s="229">
        <f>BM15*$D15</f>
        <v>0</v>
      </c>
      <c r="BO15" s="230"/>
      <c r="BP15" s="228">
        <f>'9.21.1 - OFPC'!$F$16-$AC15</f>
        <v>0</v>
      </c>
      <c r="BQ15" s="229">
        <f>BP15*$D15</f>
        <v>0</v>
      </c>
      <c r="BR15" s="230"/>
      <c r="BS15" s="228">
        <f>'9.22.1 - BPA RoD'!$F$16-$AC15</f>
        <v>0</v>
      </c>
      <c r="BT15" s="229">
        <f>BS15*$D15</f>
        <v>0</v>
      </c>
      <c r="BU15" s="230"/>
      <c r="BV15" s="228">
        <f>'9.23.1 - Coal Cost'!$F$16-$AC15</f>
        <v>0</v>
      </c>
      <c r="BW15" s="229">
        <f>BV15*$D15</f>
        <v>0</v>
      </c>
      <c r="BX15" s="96"/>
      <c r="BY15" s="94">
        <f>'9.24.1 - P50 Wind'!$F$16-$AC15</f>
        <v>0</v>
      </c>
      <c r="BZ15" s="95">
        <f>BY15*$D15</f>
        <v>0</v>
      </c>
      <c r="CA15" s="96"/>
      <c r="CB15" s="94">
        <f>CH15-SUM(BY15,BV15,BS15,BP15,BM15,BJ15,BG15,BD15,BA15,AX15,AU15,AR15,AO15,AL15,AI15,AF15,AC15)</f>
        <v>0</v>
      </c>
      <c r="CC15" s="95">
        <f>CB15*$D15</f>
        <v>0</v>
      </c>
      <c r="CD15" s="96"/>
      <c r="CE15" s="94">
        <f>SUM(BY15,CB15,BV15,BS15,BP15,BM15,BJ15,BG15,BD15,BA15,AX15,AU15,AR15,AO15,AL15,AI15,AF15)</f>
        <v>0</v>
      </c>
      <c r="CF15" s="95">
        <f>CE15*$D15</f>
        <v>0</v>
      </c>
      <c r="CG15" s="96"/>
      <c r="CH15" s="94">
        <f>'9.26.1 - Pro Forma Rebuttal'!F16</f>
        <v>12964800</v>
      </c>
      <c r="CI15" s="95">
        <f>D15*CH15</f>
        <v>2933479.1886624177</v>
      </c>
      <c r="CJ15" s="96"/>
    </row>
    <row r="16" spans="1:88">
      <c r="A16" s="86" t="s">
        <v>141</v>
      </c>
      <c r="B16" s="87" t="s">
        <v>139</v>
      </c>
      <c r="C16" s="53" t="s">
        <v>140</v>
      </c>
      <c r="D16" s="284">
        <v>0.2262649010137</v>
      </c>
      <c r="E16" s="88">
        <f>'9.2.1 - Per Books'!I10</f>
        <v>80695779.329999998</v>
      </c>
      <c r="F16" s="91">
        <f t="shared" ref="F16:F17" si="1">E16*D16</f>
        <v>18258622.522325829</v>
      </c>
      <c r="G16" s="87"/>
      <c r="H16" s="88">
        <f t="shared" si="0"/>
        <v>125254957.55999999</v>
      </c>
      <c r="I16" s="92">
        <f t="shared" ref="I16:I17" si="2">H16*$D16</f>
        <v>28340800.573788591</v>
      </c>
      <c r="J16" s="90"/>
      <c r="K16" s="88">
        <f>'9.3.2 - Restating'!I16</f>
        <v>205950736.88999999</v>
      </c>
      <c r="L16" s="91">
        <f t="shared" ref="L16:L17" si="3">+D16*K16</f>
        <v>46599423.096114419</v>
      </c>
      <c r="M16" s="87"/>
      <c r="N16" s="88">
        <f t="shared" ref="N16:N17" si="4">+Q16-K16</f>
        <v>-101735020.57999998</v>
      </c>
      <c r="O16" s="92">
        <f t="shared" ref="O16:O17" si="5">N16*$D16</f>
        <v>-23019064.361160427</v>
      </c>
      <c r="P16" s="93"/>
      <c r="Q16" s="88">
        <f t="shared" ref="Q16:Q17" si="6">AC16-SUM(T16,W16,Z16)</f>
        <v>104215716.31</v>
      </c>
      <c r="R16" s="92">
        <f t="shared" ref="R16:R17" si="7">Q16*$D16</f>
        <v>23580358.734953992</v>
      </c>
      <c r="S16" s="93"/>
      <c r="T16" s="88">
        <f>AC16-'9.5.1 - QFs'!I16</f>
        <v>1986520.8500000015</v>
      </c>
      <c r="U16" s="92">
        <f t="shared" ref="U16:U17" si="8">T16*$D16</f>
        <v>449479.94348690152</v>
      </c>
      <c r="V16" s="93"/>
      <c r="W16" s="88">
        <f>AC16-'9.6.1 - ECA Sale'!I16</f>
        <v>-45978162.129999995</v>
      </c>
      <c r="X16" s="92">
        <f t="shared" ref="X16:X17" si="9">W16*$D16</f>
        <v>-10403244.303136298</v>
      </c>
      <c r="Y16" s="93"/>
      <c r="Z16" s="88">
        <f>AC16-'9.6.1 - ID P2P'!I16</f>
        <v>639731.71999999881</v>
      </c>
      <c r="AA16" s="92">
        <f t="shared" ref="AA16:AA17" si="10">Z16*$D16</f>
        <v>144748.83430112377</v>
      </c>
      <c r="AB16" s="93"/>
      <c r="AC16" s="94">
        <f>'9.8.1 Pro Forma Direct'!$I$10</f>
        <v>60863806.75</v>
      </c>
      <c r="AD16" s="91">
        <f>D16*AC16</f>
        <v>13771343.209605716</v>
      </c>
      <c r="AE16" s="96"/>
      <c r="AF16" s="228">
        <f>'9.9.1 - Wind Reserve'!$I$10-$AC16</f>
        <v>307001.03999999911</v>
      </c>
      <c r="AG16" s="229">
        <f t="shared" ref="AG16:AG17" si="11">AF16*$D16</f>
        <v>69463.559926702757</v>
      </c>
      <c r="AH16" s="230"/>
      <c r="AI16" s="228">
        <f>'9.10.1 - Hydro Median'!$I$10-$AC16</f>
        <v>-146101.5</v>
      </c>
      <c r="AJ16" s="231">
        <f t="shared" ref="AJ16:AJ17" si="12">AI16*$D16</f>
        <v>-33057.641435453093</v>
      </c>
      <c r="AK16" s="230"/>
      <c r="AL16" s="228">
        <f>'9.11.1 - Coal Heat Rate'!$I$10-$AC16</f>
        <v>15814.160000003874</v>
      </c>
      <c r="AM16" s="231">
        <f t="shared" ref="AM16:AM17" si="13">AL16*$D16</f>
        <v>3578.1893470156906</v>
      </c>
      <c r="AN16" s="230"/>
      <c r="AO16" s="228">
        <f>'9.12.1 - BPA Exchange'!$I$10-$AC16</f>
        <v>-147029.28000000119</v>
      </c>
      <c r="AP16" s="231">
        <f t="shared" ref="AP16:AP17" si="14">AO16*$D16</f>
        <v>-33267.565485315848</v>
      </c>
      <c r="AQ16" s="230"/>
      <c r="AR16" s="228">
        <f>'9.13.1 - Chehalis Lateral'!$I$10-$AC16</f>
        <v>0</v>
      </c>
      <c r="AS16" s="231">
        <f t="shared" ref="AS16:AS17" si="15">AR16*$D16</f>
        <v>0</v>
      </c>
      <c r="AT16" s="230"/>
      <c r="AU16" s="228">
        <f>'9.14.1 - Stateline Losses'!$I$10-$AC16</f>
        <v>-31657.259999997914</v>
      </c>
      <c r="AV16" s="231">
        <f t="shared" ref="AV16:AV17" si="16">AU16*$D16</f>
        <v>-7162.9268002644922</v>
      </c>
      <c r="AW16" s="230"/>
      <c r="AX16" s="228">
        <f>'9.15.1 - PGE Cove'!$I$10-$AC16</f>
        <v>0</v>
      </c>
      <c r="AY16" s="231">
        <f t="shared" ref="AY16:AY17" si="17">AX16*$D16</f>
        <v>0</v>
      </c>
      <c r="AZ16" s="230"/>
      <c r="BA16" s="228">
        <f>'9.16.1 - Butter Creek'!$I$10-$AC16</f>
        <v>-154555.29999999702</v>
      </c>
      <c r="BB16" s="231">
        <f t="shared" ref="BB16:BB17" si="18">BA16*$D16</f>
        <v>-34970.439655642032</v>
      </c>
      <c r="BC16" s="230"/>
      <c r="BD16" s="228">
        <f>'9.17.1 - Small QF'!$I$10-$AC16</f>
        <v>19274.439999997616</v>
      </c>
      <c r="BE16" s="231">
        <f t="shared" ref="BE16:BE17" si="19">BD16*$D16</f>
        <v>4361.1292586939608</v>
      </c>
      <c r="BF16" s="230"/>
      <c r="BG16" s="228">
        <f>'9.18.1 - BPA PTP'!$I$10-$AC16</f>
        <v>0</v>
      </c>
      <c r="BH16" s="231">
        <f t="shared" ref="BH16:BH17" si="20">BG16*$D16</f>
        <v>0</v>
      </c>
      <c r="BI16" s="230"/>
      <c r="BJ16" s="228">
        <f>'9.19.1 - ID Trans Rate'!$I$10-$AC16</f>
        <v>0</v>
      </c>
      <c r="BK16" s="231">
        <f t="shared" ref="BK16:BK17" si="21">BJ16*$D16</f>
        <v>0</v>
      </c>
      <c r="BL16" s="230"/>
      <c r="BM16" s="228">
        <f>'9.20.1 - DPUD'!$I$10-$AC16</f>
        <v>0</v>
      </c>
      <c r="BN16" s="231">
        <f t="shared" ref="BN16:BN17" si="22">BM16*$D16</f>
        <v>0</v>
      </c>
      <c r="BO16" s="230"/>
      <c r="BP16" s="228">
        <f>'9.21.1 - OFPC'!$I$10-$AC16</f>
        <v>-6104103.650000006</v>
      </c>
      <c r="BQ16" s="231">
        <f t="shared" ref="BQ16:BQ17" si="23">BP16*$D16</f>
        <v>-1381144.4081446163</v>
      </c>
      <c r="BR16" s="230"/>
      <c r="BS16" s="228">
        <f>'9.22.1 - BPA RoD'!$I$10-$AC16</f>
        <v>0</v>
      </c>
      <c r="BT16" s="231">
        <f t="shared" ref="BT16:BT17" si="24">BS16*$D16</f>
        <v>0</v>
      </c>
      <c r="BU16" s="230"/>
      <c r="BV16" s="228">
        <f>'9.23.1 - Coal Cost'!$I$10-$AC16</f>
        <v>0</v>
      </c>
      <c r="BW16" s="231">
        <f t="shared" ref="BW16:BW17" si="25">BV16*$D16</f>
        <v>0</v>
      </c>
      <c r="BX16" s="96"/>
      <c r="BY16" s="94">
        <f>'9.24.1 - P50 Wind'!$I$10-$AC16</f>
        <v>1350586.6200000048</v>
      </c>
      <c r="BZ16" s="91">
        <f t="shared" ref="BZ16:BZ17" si="26">BY16*$D16</f>
        <v>305590.34788472875</v>
      </c>
      <c r="CA16" s="96"/>
      <c r="CB16" s="94">
        <f t="shared" ref="CB16:CB17" si="27">CH16-SUM(BY16,BV16,BS16,BP16,BM16,BJ16,BG16,BD16,BA16,AX16,AU16,AR16,AO16,AL16,AI16,AF16,AC16)</f>
        <v>588481.10999999195</v>
      </c>
      <c r="CC16" s="91">
        <f t="shared" ref="CC16:CC17" si="28">CB16*$D16</f>
        <v>133152.62010258049</v>
      </c>
      <c r="CD16" s="96"/>
      <c r="CE16" s="94">
        <f t="shared" ref="CE16:CE17" si="29">SUM(BY16,CB16,BV16,BS16,BP16,BM16,BJ16,BG16,BD16,BA16,AX16,AU16,AR16,AO16,AL16,AI16,AF16)</f>
        <v>-4302289.6200000048</v>
      </c>
      <c r="CF16" s="91">
        <f t="shared" ref="CF16:CF17" si="30">CE16*$D16</f>
        <v>-973457.1350015701</v>
      </c>
      <c r="CG16" s="96"/>
      <c r="CH16" s="94">
        <f>'9.26.1 - Pro Forma Rebuttal'!I10</f>
        <v>56561517.129999995</v>
      </c>
      <c r="CI16" s="91">
        <f>D16*CH16</f>
        <v>12797886.074604146</v>
      </c>
      <c r="CJ16" s="96"/>
    </row>
    <row r="17" spans="1:88">
      <c r="A17" s="86" t="s">
        <v>142</v>
      </c>
      <c r="B17" s="87" t="s">
        <v>139</v>
      </c>
      <c r="C17" s="53" t="s">
        <v>143</v>
      </c>
      <c r="D17" s="284">
        <v>0.22648067236840891</v>
      </c>
      <c r="E17" s="88">
        <v>0</v>
      </c>
      <c r="F17" s="91">
        <f t="shared" si="1"/>
        <v>0</v>
      </c>
      <c r="G17" s="87"/>
      <c r="H17" s="88">
        <f t="shared" si="0"/>
        <v>0</v>
      </c>
      <c r="I17" s="92">
        <f t="shared" si="2"/>
        <v>0</v>
      </c>
      <c r="J17" s="90"/>
      <c r="K17" s="88">
        <v>0</v>
      </c>
      <c r="L17" s="91">
        <f t="shared" si="3"/>
        <v>0</v>
      </c>
      <c r="M17" s="87"/>
      <c r="N17" s="88">
        <f t="shared" si="4"/>
        <v>0</v>
      </c>
      <c r="O17" s="92">
        <f t="shared" si="5"/>
        <v>0</v>
      </c>
      <c r="P17" s="97"/>
      <c r="Q17" s="88">
        <f t="shared" si="6"/>
        <v>0</v>
      </c>
      <c r="R17" s="92">
        <f t="shared" si="7"/>
        <v>0</v>
      </c>
      <c r="S17" s="97"/>
      <c r="T17" s="88">
        <f>AC17-0</f>
        <v>0</v>
      </c>
      <c r="U17" s="92">
        <f t="shared" si="8"/>
        <v>0</v>
      </c>
      <c r="V17" s="97"/>
      <c r="W17" s="88">
        <f>AC17-0</f>
        <v>0</v>
      </c>
      <c r="X17" s="92">
        <f t="shared" si="9"/>
        <v>0</v>
      </c>
      <c r="Y17" s="97"/>
      <c r="Z17" s="88">
        <f>AC17-0</f>
        <v>0</v>
      </c>
      <c r="AA17" s="92">
        <f t="shared" si="10"/>
        <v>0</v>
      </c>
      <c r="AB17" s="97"/>
      <c r="AC17" s="94">
        <v>0</v>
      </c>
      <c r="AD17" s="91">
        <f>D17*AC17</f>
        <v>0</v>
      </c>
      <c r="AE17" s="96"/>
      <c r="AF17" s="228">
        <v>0</v>
      </c>
      <c r="AG17" s="229">
        <f t="shared" si="11"/>
        <v>0</v>
      </c>
      <c r="AH17" s="230"/>
      <c r="AI17" s="228">
        <v>0</v>
      </c>
      <c r="AJ17" s="231">
        <f t="shared" si="12"/>
        <v>0</v>
      </c>
      <c r="AK17" s="230"/>
      <c r="AL17" s="228">
        <v>0</v>
      </c>
      <c r="AM17" s="231">
        <f t="shared" si="13"/>
        <v>0</v>
      </c>
      <c r="AN17" s="230"/>
      <c r="AO17" s="228">
        <v>0</v>
      </c>
      <c r="AP17" s="231">
        <f t="shared" si="14"/>
        <v>0</v>
      </c>
      <c r="AQ17" s="230"/>
      <c r="AR17" s="228">
        <v>0</v>
      </c>
      <c r="AS17" s="231">
        <f t="shared" si="15"/>
        <v>0</v>
      </c>
      <c r="AT17" s="230"/>
      <c r="AU17" s="228">
        <v>0</v>
      </c>
      <c r="AV17" s="231">
        <f t="shared" si="16"/>
        <v>0</v>
      </c>
      <c r="AW17" s="230"/>
      <c r="AX17" s="228">
        <v>0</v>
      </c>
      <c r="AY17" s="231">
        <f t="shared" si="17"/>
        <v>0</v>
      </c>
      <c r="AZ17" s="230"/>
      <c r="BA17" s="228">
        <v>0</v>
      </c>
      <c r="BB17" s="231">
        <f t="shared" si="18"/>
        <v>0</v>
      </c>
      <c r="BC17" s="230"/>
      <c r="BD17" s="228">
        <v>0</v>
      </c>
      <c r="BE17" s="231">
        <f t="shared" si="19"/>
        <v>0</v>
      </c>
      <c r="BF17" s="230"/>
      <c r="BG17" s="228">
        <v>0</v>
      </c>
      <c r="BH17" s="231">
        <f t="shared" si="20"/>
        <v>0</v>
      </c>
      <c r="BI17" s="230"/>
      <c r="BJ17" s="228">
        <v>0</v>
      </c>
      <c r="BK17" s="231">
        <f t="shared" si="21"/>
        <v>0</v>
      </c>
      <c r="BL17" s="230"/>
      <c r="BM17" s="228">
        <v>0</v>
      </c>
      <c r="BN17" s="231">
        <f t="shared" si="22"/>
        <v>0</v>
      </c>
      <c r="BO17" s="230"/>
      <c r="BP17" s="228">
        <v>0</v>
      </c>
      <c r="BQ17" s="231">
        <f t="shared" si="23"/>
        <v>0</v>
      </c>
      <c r="BR17" s="230"/>
      <c r="BS17" s="228">
        <v>0</v>
      </c>
      <c r="BT17" s="231">
        <f t="shared" si="24"/>
        <v>0</v>
      </c>
      <c r="BU17" s="230"/>
      <c r="BV17" s="228">
        <v>0</v>
      </c>
      <c r="BW17" s="231">
        <f t="shared" si="25"/>
        <v>0</v>
      </c>
      <c r="BX17" s="96"/>
      <c r="BY17" s="94">
        <v>0</v>
      </c>
      <c r="BZ17" s="91">
        <f t="shared" si="26"/>
        <v>0</v>
      </c>
      <c r="CA17" s="96"/>
      <c r="CB17" s="94">
        <f t="shared" si="27"/>
        <v>0</v>
      </c>
      <c r="CC17" s="91">
        <f t="shared" si="28"/>
        <v>0</v>
      </c>
      <c r="CD17" s="96"/>
      <c r="CE17" s="94">
        <f t="shared" si="29"/>
        <v>0</v>
      </c>
      <c r="CF17" s="91">
        <f t="shared" si="30"/>
        <v>0</v>
      </c>
      <c r="CG17" s="96"/>
      <c r="CH17" s="94">
        <f>AC17</f>
        <v>0</v>
      </c>
      <c r="CI17" s="91">
        <f>D17*CH17</f>
        <v>0</v>
      </c>
      <c r="CJ17" s="96"/>
    </row>
    <row r="18" spans="1:88">
      <c r="A18" s="54" t="s">
        <v>144</v>
      </c>
      <c r="D18" s="293"/>
      <c r="E18" s="98">
        <f>SUM(E15:E17)</f>
        <v>89648679.400000006</v>
      </c>
      <c r="F18" s="99">
        <f>SUM(F15:F17)</f>
        <v>20284349.570449926</v>
      </c>
      <c r="G18" s="100"/>
      <c r="H18" s="98">
        <f>SUM(H15:H17)</f>
        <v>129266857.48999998</v>
      </c>
      <c r="I18" s="99">
        <f>SUM(I15:I17)</f>
        <v>29248552.714326911</v>
      </c>
      <c r="J18" s="100"/>
      <c r="K18" s="98">
        <f>SUM(K15:K17)</f>
        <v>218915536.88999999</v>
      </c>
      <c r="L18" s="99">
        <f>SUM(L15:L17)</f>
        <v>49532902.284776837</v>
      </c>
      <c r="M18" s="100"/>
      <c r="N18" s="98">
        <f>SUM(N15:N17)</f>
        <v>-101735020.57999998</v>
      </c>
      <c r="O18" s="99">
        <f>SUM(O15:O17)</f>
        <v>-23019064.361160427</v>
      </c>
      <c r="P18" s="101"/>
      <c r="Q18" s="98">
        <f>SUM(Q15:Q17)</f>
        <v>117180516.31</v>
      </c>
      <c r="R18" s="99">
        <f>SUM(R15:R17)</f>
        <v>26513837.923616409</v>
      </c>
      <c r="S18" s="101"/>
      <c r="T18" s="98">
        <f>SUM(T15:T17)</f>
        <v>1986520.8500000015</v>
      </c>
      <c r="U18" s="99">
        <f>SUM(U15:U17)</f>
        <v>449479.94348690152</v>
      </c>
      <c r="V18" s="101"/>
      <c r="W18" s="98">
        <f>SUM(W15:W17)</f>
        <v>-45978162.129999995</v>
      </c>
      <c r="X18" s="99">
        <f>SUM(X15:X17)</f>
        <v>-10403244.303136298</v>
      </c>
      <c r="Y18" s="101"/>
      <c r="Z18" s="98">
        <f>SUM(Z15:Z17)</f>
        <v>639731.71999999881</v>
      </c>
      <c r="AA18" s="99">
        <f>SUM(AA15:AA17)</f>
        <v>144748.83430112377</v>
      </c>
      <c r="AB18" s="101"/>
      <c r="AC18" s="102">
        <f>SUM(AC15:AC17)</f>
        <v>73828606.75</v>
      </c>
      <c r="AD18" s="99">
        <f>SUM(AD15:AD17)</f>
        <v>16704822.398268133</v>
      </c>
      <c r="AE18" s="100"/>
      <c r="AF18" s="232">
        <f>SUM(AF15:AF17)</f>
        <v>307001.03999999911</v>
      </c>
      <c r="AG18" s="233">
        <f>SUM(AG15:AG17)</f>
        <v>69463.559926702757</v>
      </c>
      <c r="AH18" s="234"/>
      <c r="AI18" s="232">
        <f>SUM(AI15:AI17)</f>
        <v>-146101.5</v>
      </c>
      <c r="AJ18" s="233">
        <f>SUM(AJ15:AJ17)</f>
        <v>-33057.641435453093</v>
      </c>
      <c r="AK18" s="234"/>
      <c r="AL18" s="232">
        <f>SUM(AL15:AL17)</f>
        <v>15814.160000003874</v>
      </c>
      <c r="AM18" s="233">
        <f>SUM(AM15:AM17)</f>
        <v>3578.1893470156906</v>
      </c>
      <c r="AN18" s="234"/>
      <c r="AO18" s="232">
        <f>SUM(AO15:AO17)</f>
        <v>-147029.28000000119</v>
      </c>
      <c r="AP18" s="233">
        <f>SUM(AP15:AP17)</f>
        <v>-33267.565485315848</v>
      </c>
      <c r="AQ18" s="234"/>
      <c r="AR18" s="232">
        <f>SUM(AR15:AR17)</f>
        <v>0</v>
      </c>
      <c r="AS18" s="233">
        <f>SUM(AS15:AS17)</f>
        <v>0</v>
      </c>
      <c r="AT18" s="234"/>
      <c r="AU18" s="232">
        <f>SUM(AU15:AU17)</f>
        <v>-31657.259999997914</v>
      </c>
      <c r="AV18" s="233">
        <f>SUM(AV15:AV17)</f>
        <v>-7162.9268002644922</v>
      </c>
      <c r="AW18" s="234"/>
      <c r="AX18" s="232">
        <f>SUM(AX15:AX17)</f>
        <v>0</v>
      </c>
      <c r="AY18" s="233">
        <f>SUM(AY15:AY17)</f>
        <v>0</v>
      </c>
      <c r="AZ18" s="234"/>
      <c r="BA18" s="232">
        <f>SUM(BA15:BA17)</f>
        <v>-154555.29999999702</v>
      </c>
      <c r="BB18" s="233">
        <f>SUM(BB15:BB17)</f>
        <v>-34970.439655642032</v>
      </c>
      <c r="BC18" s="234"/>
      <c r="BD18" s="232">
        <f>SUM(BD15:BD17)</f>
        <v>19274.439999997616</v>
      </c>
      <c r="BE18" s="233">
        <f>SUM(BE15:BE17)</f>
        <v>4361.1292586939608</v>
      </c>
      <c r="BF18" s="234"/>
      <c r="BG18" s="232">
        <f>SUM(BG15:BG17)</f>
        <v>0</v>
      </c>
      <c r="BH18" s="233">
        <f>SUM(BH15:BH17)</f>
        <v>0</v>
      </c>
      <c r="BI18" s="234"/>
      <c r="BJ18" s="232">
        <f>SUM(BJ15:BJ17)</f>
        <v>0</v>
      </c>
      <c r="BK18" s="233">
        <f>SUM(BK15:BK17)</f>
        <v>0</v>
      </c>
      <c r="BL18" s="234"/>
      <c r="BM18" s="232">
        <f>SUM(BM15:BM17)</f>
        <v>0</v>
      </c>
      <c r="BN18" s="233">
        <f>SUM(BN15:BN17)</f>
        <v>0</v>
      </c>
      <c r="BO18" s="234"/>
      <c r="BP18" s="232">
        <f>SUM(BP15:BP17)</f>
        <v>-6104103.650000006</v>
      </c>
      <c r="BQ18" s="233">
        <f>SUM(BQ15:BQ17)</f>
        <v>-1381144.4081446163</v>
      </c>
      <c r="BR18" s="234"/>
      <c r="BS18" s="232">
        <f>SUM(BS15:BS17)</f>
        <v>0</v>
      </c>
      <c r="BT18" s="233">
        <f>SUM(BT15:BT17)</f>
        <v>0</v>
      </c>
      <c r="BU18" s="234"/>
      <c r="BV18" s="232">
        <f>SUM(BV15:BV17)</f>
        <v>0</v>
      </c>
      <c r="BW18" s="233">
        <f>SUM(BW15:BW17)</f>
        <v>0</v>
      </c>
      <c r="BX18" s="100"/>
      <c r="BY18" s="102">
        <f>SUM(BY15:BY17)</f>
        <v>1350586.6200000048</v>
      </c>
      <c r="BZ18" s="99">
        <f>SUM(BZ15:BZ17)</f>
        <v>305590.34788472875</v>
      </c>
      <c r="CA18" s="100"/>
      <c r="CB18" s="102">
        <f>SUM(CB15:CB17)</f>
        <v>588481.10999999195</v>
      </c>
      <c r="CC18" s="99">
        <f>SUM(CC15:CC17)</f>
        <v>133152.62010258049</v>
      </c>
      <c r="CD18" s="100"/>
      <c r="CE18" s="102">
        <f>SUM(CE15:CE17)</f>
        <v>-4302289.6200000048</v>
      </c>
      <c r="CF18" s="99">
        <f>SUM(CF15:CF17)</f>
        <v>-973457.1350015701</v>
      </c>
      <c r="CG18" s="100"/>
      <c r="CH18" s="102">
        <f>SUM(CH15:CH17)</f>
        <v>69526317.129999995</v>
      </c>
      <c r="CI18" s="99">
        <f>SUM(CI15:CI17)</f>
        <v>15731365.263266563</v>
      </c>
      <c r="CJ18" s="100"/>
    </row>
    <row r="19" spans="1:88">
      <c r="D19" s="293"/>
      <c r="E19" s="79"/>
      <c r="F19" s="80"/>
      <c r="H19" s="79"/>
      <c r="I19" s="103"/>
      <c r="J19" s="81"/>
      <c r="K19" s="79"/>
      <c r="L19" s="80"/>
      <c r="N19" s="79"/>
      <c r="O19" s="103"/>
      <c r="P19" s="93"/>
      <c r="Q19" s="79"/>
      <c r="R19" s="103"/>
      <c r="S19" s="93"/>
      <c r="T19" s="79"/>
      <c r="U19" s="103"/>
      <c r="V19" s="93"/>
      <c r="W19" s="79"/>
      <c r="X19" s="103"/>
      <c r="Y19" s="93"/>
      <c r="Z19" s="79"/>
      <c r="AA19" s="103"/>
      <c r="AB19" s="93"/>
      <c r="AC19" s="83"/>
      <c r="AD19" s="80"/>
      <c r="AE19" s="96"/>
      <c r="AF19" s="235"/>
      <c r="AG19" s="236"/>
      <c r="AH19" s="230"/>
      <c r="AI19" s="235"/>
      <c r="AJ19" s="236"/>
      <c r="AK19" s="230"/>
      <c r="AL19" s="235"/>
      <c r="AM19" s="236"/>
      <c r="AN19" s="230"/>
      <c r="AO19" s="235"/>
      <c r="AP19" s="236"/>
      <c r="AQ19" s="230"/>
      <c r="AR19" s="235"/>
      <c r="AS19" s="236"/>
      <c r="AT19" s="230"/>
      <c r="AU19" s="235"/>
      <c r="AV19" s="236"/>
      <c r="AW19" s="230"/>
      <c r="AX19" s="235"/>
      <c r="AY19" s="236"/>
      <c r="AZ19" s="230"/>
      <c r="BA19" s="235"/>
      <c r="BB19" s="236"/>
      <c r="BC19" s="230"/>
      <c r="BD19" s="235"/>
      <c r="BE19" s="236"/>
      <c r="BF19" s="230"/>
      <c r="BG19" s="235"/>
      <c r="BH19" s="236"/>
      <c r="BI19" s="230"/>
      <c r="BJ19" s="235"/>
      <c r="BK19" s="236"/>
      <c r="BL19" s="230"/>
      <c r="BM19" s="235"/>
      <c r="BN19" s="236"/>
      <c r="BO19" s="230"/>
      <c r="BP19" s="235"/>
      <c r="BQ19" s="236"/>
      <c r="BR19" s="230"/>
      <c r="BS19" s="235"/>
      <c r="BT19" s="236"/>
      <c r="BU19" s="230"/>
      <c r="BV19" s="235"/>
      <c r="BW19" s="236"/>
      <c r="BX19" s="96"/>
      <c r="BY19" s="83"/>
      <c r="BZ19" s="80"/>
      <c r="CA19" s="96"/>
      <c r="CB19" s="83"/>
      <c r="CC19" s="80"/>
      <c r="CD19" s="96"/>
      <c r="CE19" s="83"/>
      <c r="CF19" s="80"/>
      <c r="CG19" s="96"/>
      <c r="CH19" s="83"/>
      <c r="CI19" s="80"/>
      <c r="CJ19" s="96"/>
    </row>
    <row r="20" spans="1:88">
      <c r="A20" s="54" t="s">
        <v>145</v>
      </c>
      <c r="D20" s="293"/>
      <c r="E20" s="79"/>
      <c r="F20" s="80"/>
      <c r="H20" s="79"/>
      <c r="I20" s="103"/>
      <c r="J20" s="81"/>
      <c r="K20" s="79"/>
      <c r="L20" s="80"/>
      <c r="N20" s="79"/>
      <c r="O20" s="103"/>
      <c r="P20" s="93"/>
      <c r="Q20" s="79"/>
      <c r="R20" s="103"/>
      <c r="S20" s="93"/>
      <c r="T20" s="79"/>
      <c r="U20" s="103"/>
      <c r="V20" s="93"/>
      <c r="W20" s="79"/>
      <c r="X20" s="103"/>
      <c r="Y20" s="93"/>
      <c r="Z20" s="79"/>
      <c r="AA20" s="103"/>
      <c r="AB20" s="93"/>
      <c r="AC20" s="83"/>
      <c r="AD20" s="80"/>
      <c r="AE20" s="96"/>
      <c r="AF20" s="235"/>
      <c r="AG20" s="236"/>
      <c r="AH20" s="230"/>
      <c r="AI20" s="235"/>
      <c r="AJ20" s="236"/>
      <c r="AK20" s="230"/>
      <c r="AL20" s="235"/>
      <c r="AM20" s="236"/>
      <c r="AN20" s="230"/>
      <c r="AO20" s="235"/>
      <c r="AP20" s="236"/>
      <c r="AQ20" s="230"/>
      <c r="AR20" s="235"/>
      <c r="AS20" s="236"/>
      <c r="AT20" s="230"/>
      <c r="AU20" s="235"/>
      <c r="AV20" s="236"/>
      <c r="AW20" s="230"/>
      <c r="AX20" s="235"/>
      <c r="AY20" s="236"/>
      <c r="AZ20" s="230"/>
      <c r="BA20" s="235"/>
      <c r="BB20" s="236"/>
      <c r="BC20" s="230"/>
      <c r="BD20" s="235"/>
      <c r="BE20" s="236"/>
      <c r="BF20" s="230"/>
      <c r="BG20" s="235"/>
      <c r="BH20" s="236"/>
      <c r="BI20" s="230"/>
      <c r="BJ20" s="235"/>
      <c r="BK20" s="236"/>
      <c r="BL20" s="230"/>
      <c r="BM20" s="235"/>
      <c r="BN20" s="236"/>
      <c r="BO20" s="230"/>
      <c r="BP20" s="235"/>
      <c r="BQ20" s="236"/>
      <c r="BR20" s="230"/>
      <c r="BS20" s="235"/>
      <c r="BT20" s="236"/>
      <c r="BU20" s="230"/>
      <c r="BV20" s="235"/>
      <c r="BW20" s="236"/>
      <c r="BX20" s="96"/>
      <c r="BY20" s="83"/>
      <c r="BZ20" s="80"/>
      <c r="CA20" s="96"/>
      <c r="CB20" s="83"/>
      <c r="CC20" s="80"/>
      <c r="CD20" s="96"/>
      <c r="CE20" s="83"/>
      <c r="CF20" s="80"/>
      <c r="CG20" s="96"/>
      <c r="CH20" s="83"/>
      <c r="CI20" s="80"/>
      <c r="CJ20" s="96"/>
    </row>
    <row r="21" spans="1:88">
      <c r="A21" s="86" t="s">
        <v>146</v>
      </c>
      <c r="B21" s="87" t="s">
        <v>147</v>
      </c>
      <c r="C21" s="53" t="s">
        <v>140</v>
      </c>
      <c r="D21" s="284">
        <v>0.2262649010137</v>
      </c>
      <c r="E21" s="88">
        <f>'9.2.1 - Per Books'!F27</f>
        <v>12043097.264185959</v>
      </c>
      <c r="F21" s="91">
        <f t="shared" ref="F21:F25" si="31">E21*D21</f>
        <v>2724930.2103793975</v>
      </c>
      <c r="G21" s="87"/>
      <c r="H21" s="88">
        <f t="shared" ref="H21:H25" si="32">+K21-E21</f>
        <v>3025959.9532312695</v>
      </c>
      <c r="I21" s="92">
        <f t="shared" ref="I21:I25" si="33">H21*$D21</f>
        <v>684668.52928929345</v>
      </c>
      <c r="J21" s="90"/>
      <c r="K21" s="88">
        <f>'9.3.2 - Restating'!F26</f>
        <v>15069057.217417229</v>
      </c>
      <c r="L21" s="91">
        <f t="shared" ref="L21:L25" si="34">+D21*K21</f>
        <v>3409598.7396686911</v>
      </c>
      <c r="M21" s="87"/>
      <c r="N21" s="88">
        <f t="shared" ref="N21:N25" si="35">+Q21-K21</f>
        <v>-15057543.304417228</v>
      </c>
      <c r="O21" s="92">
        <f t="shared" ref="O21:O25" si="36">N21*$D21</f>
        <v>-3406993.5452834656</v>
      </c>
      <c r="P21" s="93"/>
      <c r="Q21" s="88">
        <f t="shared" ref="Q21:Q25" si="37">AC21-SUM(T21,W21,Z21)</f>
        <v>11513.913000000175</v>
      </c>
      <c r="R21" s="92">
        <f t="shared" ref="R21:R25" si="38">Q21*$D21</f>
        <v>2605.1943852253935</v>
      </c>
      <c r="S21" s="93"/>
      <c r="T21" s="88">
        <f>AC21-'9.5.1 - QFs'!F27</f>
        <v>2517906.851172646</v>
      </c>
      <c r="U21" s="92">
        <f t="shared" ref="U21:U25" si="39">T21*$D21</f>
        <v>569713.94444229582</v>
      </c>
      <c r="V21" s="93"/>
      <c r="W21" s="88">
        <f>AC21-'9.6.1 - ECA Sale'!F76</f>
        <v>0</v>
      </c>
      <c r="X21" s="92">
        <f t="shared" ref="X21:X25" si="40">W21*$D21</f>
        <v>0</v>
      </c>
      <c r="Y21" s="93"/>
      <c r="Z21" s="88">
        <f>AC21-'9.6.1 - ID P2P'!F27</f>
        <v>0</v>
      </c>
      <c r="AA21" s="92">
        <f t="shared" ref="AA21:AA25" si="41">Z21*$D21</f>
        <v>0</v>
      </c>
      <c r="AB21" s="93"/>
      <c r="AC21" s="94">
        <f>'9.8.1 Pro Forma Direct'!$F$27</f>
        <v>2529420.7641726462</v>
      </c>
      <c r="AD21" s="91">
        <f>D21*AC21</f>
        <v>572319.13882752124</v>
      </c>
      <c r="AE21" s="96"/>
      <c r="AF21" s="228">
        <f>'9.9.1 - Wind Reserve'!$F$27-$AC21</f>
        <v>0</v>
      </c>
      <c r="AG21" s="229">
        <f t="shared" ref="AG21:AG25" si="42">AF21*$D21</f>
        <v>0</v>
      </c>
      <c r="AH21" s="230"/>
      <c r="AI21" s="228">
        <f>'9.10.1 - Hydro Median'!$F$27-$AC21</f>
        <v>0</v>
      </c>
      <c r="AJ21" s="231">
        <f t="shared" ref="AJ21:AJ25" si="43">AI21*$D21</f>
        <v>0</v>
      </c>
      <c r="AK21" s="230"/>
      <c r="AL21" s="228">
        <f>'9.11.1 - Coal Heat Rate'!$F$27-$AC21</f>
        <v>0</v>
      </c>
      <c r="AM21" s="231">
        <f t="shared" ref="AM21:AM25" si="44">AL21*$D21</f>
        <v>0</v>
      </c>
      <c r="AN21" s="230"/>
      <c r="AO21" s="228">
        <f>'9.12.1 - BPA Exchange'!$F$27-$AC21</f>
        <v>0</v>
      </c>
      <c r="AP21" s="231">
        <f t="shared" ref="AP21:AP25" si="45">AO21*$D21</f>
        <v>0</v>
      </c>
      <c r="AQ21" s="230"/>
      <c r="AR21" s="228">
        <f>'9.13.1 - Chehalis Lateral'!$F$27-$AC21</f>
        <v>0</v>
      </c>
      <c r="AS21" s="231">
        <f t="shared" ref="AS21:AS25" si="46">AR21*$D21</f>
        <v>0</v>
      </c>
      <c r="AT21" s="230"/>
      <c r="AU21" s="228">
        <f>'9.14.1 - Stateline Losses'!$F$27-$AC21</f>
        <v>0</v>
      </c>
      <c r="AV21" s="231">
        <f t="shared" ref="AV21:AV25" si="47">AU21*$D21</f>
        <v>0</v>
      </c>
      <c r="AW21" s="230"/>
      <c r="AX21" s="228">
        <f>'9.15.1 - PGE Cove'!$F$27-$AC21</f>
        <v>11014.755271983799</v>
      </c>
      <c r="AY21" s="231">
        <f t="shared" ref="AY21:AY25" si="48">AX21*$D21</f>
        <v>2492.2525113055444</v>
      </c>
      <c r="AZ21" s="230"/>
      <c r="BA21" s="228">
        <f>'9.16.1 - Butter Creek'!$F$27-$AC21</f>
        <v>0</v>
      </c>
      <c r="BB21" s="231">
        <f t="shared" ref="BB21:BB25" si="49">BA21*$D21</f>
        <v>0</v>
      </c>
      <c r="BC21" s="230"/>
      <c r="BD21" s="228">
        <f>'9.17.1 - Small QF'!$F$27-$AC21</f>
        <v>5.5748969316482544E-6</v>
      </c>
      <c r="BE21" s="231">
        <f t="shared" ref="BE21:BE25" si="50">BD21*$D21</f>
        <v>1.2614035024009722E-6</v>
      </c>
      <c r="BF21" s="230"/>
      <c r="BG21" s="228">
        <f>'9.18.1 - BPA PTP'!$F$27-$AC21</f>
        <v>0</v>
      </c>
      <c r="BH21" s="231">
        <f t="shared" ref="BH21:BH25" si="51">BG21*$D21</f>
        <v>0</v>
      </c>
      <c r="BI21" s="230"/>
      <c r="BJ21" s="228">
        <f>'9.19.1 - ID Trans Rate'!$F$27-$AC21</f>
        <v>0</v>
      </c>
      <c r="BK21" s="231">
        <f t="shared" ref="BK21:BK25" si="52">BJ21*$D21</f>
        <v>0</v>
      </c>
      <c r="BL21" s="230"/>
      <c r="BM21" s="228">
        <f>'9.20.1 - DPUD'!$F$27-$AC21</f>
        <v>-31655.151000000071</v>
      </c>
      <c r="BN21" s="231">
        <f t="shared" ref="BN21:BN25" si="53">BM21*$D21</f>
        <v>-7162.4496075887428</v>
      </c>
      <c r="BO21" s="230"/>
      <c r="BP21" s="228">
        <f>'9.21.1 - OFPC'!$F$27-$AC21</f>
        <v>516964.61099958606</v>
      </c>
      <c r="BQ21" s="231">
        <f t="shared" ref="BQ21:BQ25" si="54">BP21*$D21</f>
        <v>116970.94653540727</v>
      </c>
      <c r="BR21" s="230"/>
      <c r="BS21" s="228">
        <f>'9.22.1 - BPA RoD'!$F$27-$AC21</f>
        <v>0</v>
      </c>
      <c r="BT21" s="231">
        <f t="shared" ref="BT21:BT25" si="55">BS21*$D21</f>
        <v>0</v>
      </c>
      <c r="BU21" s="230"/>
      <c r="BV21" s="228">
        <f>'9.23.1 - Coal Cost'!$F$27-$AC21</f>
        <v>0</v>
      </c>
      <c r="BW21" s="231">
        <f t="shared" ref="BW21:BW25" si="56">BV21*$D21</f>
        <v>0</v>
      </c>
      <c r="BX21" s="96"/>
      <c r="BY21" s="94">
        <f>'9.24.1 - P50 Wind'!$F$27-$AC21</f>
        <v>0</v>
      </c>
      <c r="BZ21" s="91">
        <f t="shared" ref="BZ21:BZ25" si="57">BY21*$D21</f>
        <v>0</v>
      </c>
      <c r="CA21" s="96"/>
      <c r="CB21" s="94">
        <f t="shared" ref="CB21:CB25" si="58">CH21-SUM(BY21,BV21,BS21,BP21,BM21,BJ21,BG21,BD21,BA21,AX21,AU21,AR21,AO21,AL21,AI21,AF21,AC21)</f>
        <v>3394.6050000069663</v>
      </c>
      <c r="CC21" s="91">
        <f t="shared" ref="CC21:CC25" si="59">CB21*$D21</f>
        <v>768.07996430718731</v>
      </c>
      <c r="CD21" s="96"/>
      <c r="CE21" s="94">
        <f t="shared" ref="CE21:CE25" si="60">SUM(BY21,CB21,BV21,BS21,BP21,BM21,BJ21,BG21,BD21,BA21,AX21,AU21,AR21,AO21,AL21,AI21,AF21)</f>
        <v>499718.82027715165</v>
      </c>
      <c r="CF21" s="91">
        <f t="shared" ref="CF21:CF25" si="61">CE21*$D21</f>
        <v>113068.82940469266</v>
      </c>
      <c r="CG21" s="96"/>
      <c r="CH21" s="94">
        <f>'9.26.1 - Pro Forma Rebuttal'!F27</f>
        <v>3029139.5844497979</v>
      </c>
      <c r="CI21" s="91">
        <f>D21*CH21</f>
        <v>685387.96823221387</v>
      </c>
      <c r="CJ21" s="96"/>
    </row>
    <row r="22" spans="1:88">
      <c r="A22" s="86" t="s">
        <v>148</v>
      </c>
      <c r="B22" s="87" t="s">
        <v>147</v>
      </c>
      <c r="C22" s="53" t="s">
        <v>143</v>
      </c>
      <c r="D22" s="284">
        <v>0.22648067236840891</v>
      </c>
      <c r="E22" s="88">
        <f>'9.2.1 - Per Books'!G76</f>
        <v>7773178.6158140404</v>
      </c>
      <c r="F22" s="91">
        <f t="shared" si="31"/>
        <v>1760474.7193493019</v>
      </c>
      <c r="G22" s="87"/>
      <c r="H22" s="88">
        <f t="shared" si="32"/>
        <v>14742917.98676873</v>
      </c>
      <c r="I22" s="92">
        <f t="shared" si="33"/>
        <v>3338985.9783156915</v>
      </c>
      <c r="J22" s="90"/>
      <c r="K22" s="88">
        <f>'9.3.2 - Restating'!G86</f>
        <v>22516096.602582771</v>
      </c>
      <c r="L22" s="91">
        <f t="shared" si="34"/>
        <v>5099460.6976649938</v>
      </c>
      <c r="M22" s="87"/>
      <c r="N22" s="88">
        <f t="shared" si="35"/>
        <v>-22405857.325582772</v>
      </c>
      <c r="O22" s="92">
        <f t="shared" si="36"/>
        <v>-5074493.6320886267</v>
      </c>
      <c r="P22" s="93"/>
      <c r="Q22" s="88">
        <f t="shared" si="37"/>
        <v>110239.2770000007</v>
      </c>
      <c r="R22" s="92">
        <f t="shared" si="38"/>
        <v>24967.065576367433</v>
      </c>
      <c r="S22" s="93"/>
      <c r="T22" s="88">
        <f>AC22-'9.5.1 - QFs'!G76</f>
        <v>12267609.214563949</v>
      </c>
      <c r="U22" s="92">
        <f t="shared" si="39"/>
        <v>2778376.3832673319</v>
      </c>
      <c r="V22" s="93"/>
      <c r="W22" s="88">
        <f>AC22-'9.6.1 - ECA Sale'!G76</f>
        <v>0</v>
      </c>
      <c r="X22" s="92">
        <f t="shared" si="40"/>
        <v>0</v>
      </c>
      <c r="Y22" s="93"/>
      <c r="Z22" s="88">
        <f>AC22-'9.6.1 - ID P2P'!G27</f>
        <v>0</v>
      </c>
      <c r="AA22" s="92">
        <f t="shared" si="41"/>
        <v>0</v>
      </c>
      <c r="AB22" s="93"/>
      <c r="AC22" s="94">
        <f>'9.8.1 Pro Forma Direct'!$G$76</f>
        <v>12377848.49156395</v>
      </c>
      <c r="AD22" s="91">
        <f>D22*AC22</f>
        <v>2803343.4488436994</v>
      </c>
      <c r="AE22" s="96"/>
      <c r="AF22" s="228">
        <f>'9.9.1 - Wind Reserve'!$G$76-$AC22</f>
        <v>0</v>
      </c>
      <c r="AG22" s="229">
        <f t="shared" si="42"/>
        <v>0</v>
      </c>
      <c r="AH22" s="230"/>
      <c r="AI22" s="228">
        <f>'9.10.1 - Hydro Median'!$G$76-$AC22</f>
        <v>0</v>
      </c>
      <c r="AJ22" s="231">
        <f t="shared" si="43"/>
        <v>0</v>
      </c>
      <c r="AK22" s="230"/>
      <c r="AL22" s="228">
        <f>'9.11.1 - Coal Heat Rate'!$G$76-$AC22</f>
        <v>0</v>
      </c>
      <c r="AM22" s="231">
        <f t="shared" si="44"/>
        <v>0</v>
      </c>
      <c r="AN22" s="230"/>
      <c r="AO22" s="228">
        <f>'9.12.1 - BPA Exchange'!$G$76-$AC22</f>
        <v>0</v>
      </c>
      <c r="AP22" s="231">
        <f t="shared" si="45"/>
        <v>0</v>
      </c>
      <c r="AQ22" s="230"/>
      <c r="AR22" s="228">
        <f>'9.13.1 - Chehalis Lateral'!$G$76-$AC22</f>
        <v>0</v>
      </c>
      <c r="AS22" s="231">
        <f t="shared" si="46"/>
        <v>0</v>
      </c>
      <c r="AT22" s="230"/>
      <c r="AU22" s="228">
        <f>'9.14.1 - Stateline Losses'!$G$76-$AC22</f>
        <v>0</v>
      </c>
      <c r="AV22" s="231">
        <f t="shared" si="47"/>
        <v>0</v>
      </c>
      <c r="AW22" s="230"/>
      <c r="AX22" s="228">
        <f>'9.15.1 - PGE Cove'!$G$76-$AC22</f>
        <v>42103.524728015065</v>
      </c>
      <c r="AY22" s="231">
        <f t="shared" si="48"/>
        <v>9535.6345894807819</v>
      </c>
      <c r="AZ22" s="230"/>
      <c r="BA22" s="228">
        <f>'9.16.1 - Butter Creek'!$G$76-$AC22</f>
        <v>0</v>
      </c>
      <c r="BB22" s="231">
        <f t="shared" si="49"/>
        <v>0</v>
      </c>
      <c r="BC22" s="230"/>
      <c r="BD22" s="228">
        <f>'9.17.1 - Small QF'!$G$76-$AC22</f>
        <v>2.7162954211235046E-5</v>
      </c>
      <c r="BE22" s="231">
        <f t="shared" si="50"/>
        <v>6.1518841332728177E-6</v>
      </c>
      <c r="BF22" s="230"/>
      <c r="BG22" s="228">
        <f>'9.18.1 - BPA PTP'!$G$76-$AC22</f>
        <v>0</v>
      </c>
      <c r="BH22" s="231">
        <f t="shared" si="51"/>
        <v>0</v>
      </c>
      <c r="BI22" s="230"/>
      <c r="BJ22" s="228">
        <f>'9.19.1 - ID Trans Rate'!$G$76-$AC22</f>
        <v>0</v>
      </c>
      <c r="BK22" s="231">
        <f t="shared" si="52"/>
        <v>0</v>
      </c>
      <c r="BL22" s="230"/>
      <c r="BM22" s="228">
        <f>'9.20.1 - DPUD'!$G$76-$AC22</f>
        <v>-73862.019000001252</v>
      </c>
      <c r="BN22" s="231">
        <f t="shared" si="53"/>
        <v>-16728.319725608479</v>
      </c>
      <c r="BO22" s="230"/>
      <c r="BP22" s="228">
        <f>'9.21.1 - OFPC'!$G$76-$AC22</f>
        <v>1206250.7589979842</v>
      </c>
      <c r="BQ22" s="231">
        <f t="shared" si="54"/>
        <v>273192.48294276703</v>
      </c>
      <c r="BR22" s="230"/>
      <c r="BS22" s="228">
        <f>'9.22.1 - BPA RoD'!$G$76-$AC22</f>
        <v>0</v>
      </c>
      <c r="BT22" s="231">
        <f t="shared" si="55"/>
        <v>0</v>
      </c>
      <c r="BU22" s="230"/>
      <c r="BV22" s="228">
        <f>'9.23.1 - Coal Cost'!$G$76-$AC22</f>
        <v>0</v>
      </c>
      <c r="BW22" s="231">
        <f t="shared" si="56"/>
        <v>0</v>
      </c>
      <c r="BX22" s="96"/>
      <c r="BY22" s="94">
        <f>'9.24.1 - P50 Wind'!$G$68-$AC22</f>
        <v>0</v>
      </c>
      <c r="BZ22" s="91">
        <f t="shared" si="57"/>
        <v>0</v>
      </c>
      <c r="CA22" s="96"/>
      <c r="CB22" s="94">
        <f t="shared" si="58"/>
        <v>7920.745000032708</v>
      </c>
      <c r="CC22" s="91">
        <f t="shared" si="59"/>
        <v>1793.8956532661207</v>
      </c>
      <c r="CD22" s="96"/>
      <c r="CE22" s="94">
        <f t="shared" si="60"/>
        <v>1182413.0097531937</v>
      </c>
      <c r="CF22" s="91">
        <f t="shared" si="61"/>
        <v>267793.69346605736</v>
      </c>
      <c r="CG22" s="96"/>
      <c r="CH22" s="94">
        <f>'9.26.1 - Pro Forma Rebuttal'!G27</f>
        <v>13560261.501317143</v>
      </c>
      <c r="CI22" s="91">
        <f>D22*CH22</f>
        <v>3071137.1423097565</v>
      </c>
      <c r="CJ22" s="96"/>
    </row>
    <row r="23" spans="1:88">
      <c r="A23" s="86" t="s">
        <v>149</v>
      </c>
      <c r="B23" s="87" t="s">
        <v>147</v>
      </c>
      <c r="C23" s="53" t="s">
        <v>140</v>
      </c>
      <c r="D23" s="284">
        <v>0.2262649010137</v>
      </c>
      <c r="E23" s="88">
        <f>'9.2.1 - Per Books'!I24</f>
        <v>61888677.790000007</v>
      </c>
      <c r="F23" s="91">
        <f t="shared" si="31"/>
        <v>14003235.554023126</v>
      </c>
      <c r="G23" s="87"/>
      <c r="H23" s="88">
        <f t="shared" si="32"/>
        <v>-17768877.760000005</v>
      </c>
      <c r="I23" s="92">
        <f t="shared" si="33"/>
        <v>-4020473.3674909365</v>
      </c>
      <c r="J23" s="90"/>
      <c r="K23" s="88">
        <f>'9.3.2 - Restating'!I24</f>
        <v>44119800.030000001</v>
      </c>
      <c r="L23" s="91">
        <f t="shared" si="34"/>
        <v>9982762.1865321882</v>
      </c>
      <c r="M23" s="87"/>
      <c r="N23" s="88">
        <f t="shared" si="35"/>
        <v>-44119800.030000001</v>
      </c>
      <c r="O23" s="92">
        <f t="shared" si="36"/>
        <v>-9982762.1865321882</v>
      </c>
      <c r="P23" s="93"/>
      <c r="Q23" s="88">
        <f t="shared" si="37"/>
        <v>0</v>
      </c>
      <c r="R23" s="92">
        <f t="shared" si="38"/>
        <v>0</v>
      </c>
      <c r="S23" s="93"/>
      <c r="T23" s="88">
        <f>AC23-'9.5.1 - QFs'!I24</f>
        <v>62111789.894263402</v>
      </c>
      <c r="U23" s="92">
        <f t="shared" si="39"/>
        <v>14053717.992209241</v>
      </c>
      <c r="V23" s="93"/>
      <c r="W23" s="88">
        <f>AC23-'9.6.1 - ECA Sale'!I24</f>
        <v>0</v>
      </c>
      <c r="X23" s="92">
        <f t="shared" si="40"/>
        <v>0</v>
      </c>
      <c r="Y23" s="93"/>
      <c r="Z23" s="88">
        <f>AC23-'9.6.1 - ID P2P'!I24</f>
        <v>0</v>
      </c>
      <c r="AA23" s="92">
        <f t="shared" si="41"/>
        <v>0</v>
      </c>
      <c r="AB23" s="93"/>
      <c r="AC23" s="94">
        <f>'9.8.1 Pro Forma Direct'!$I$24</f>
        <v>62111789.894263402</v>
      </c>
      <c r="AD23" s="91">
        <f>D23*AC23</f>
        <v>14053717.992209241</v>
      </c>
      <c r="AE23" s="96"/>
      <c r="AF23" s="228">
        <f>'9.9.1 - Wind Reserve'!$I$24-$AC23</f>
        <v>0</v>
      </c>
      <c r="AG23" s="229">
        <f t="shared" si="42"/>
        <v>0</v>
      </c>
      <c r="AH23" s="230"/>
      <c r="AI23" s="228">
        <f>'9.10.1 - Hydro Median'!$I$24-$AC23</f>
        <v>0</v>
      </c>
      <c r="AJ23" s="231">
        <f t="shared" si="43"/>
        <v>0</v>
      </c>
      <c r="AK23" s="230"/>
      <c r="AL23" s="228">
        <f>'9.11.1 - Coal Heat Rate'!$I$24-$AC23</f>
        <v>0</v>
      </c>
      <c r="AM23" s="231">
        <f t="shared" si="44"/>
        <v>0</v>
      </c>
      <c r="AN23" s="230"/>
      <c r="AO23" s="228">
        <f>'9.12.1 - BPA Exchange'!$I$24-$AC23</f>
        <v>0</v>
      </c>
      <c r="AP23" s="231">
        <f t="shared" si="45"/>
        <v>0</v>
      </c>
      <c r="AQ23" s="230"/>
      <c r="AR23" s="228">
        <f>'9.13.1 - Chehalis Lateral'!$I$24-$AC23</f>
        <v>0</v>
      </c>
      <c r="AS23" s="231">
        <f t="shared" si="46"/>
        <v>0</v>
      </c>
      <c r="AT23" s="230"/>
      <c r="AU23" s="228">
        <f>'9.14.1 - Stateline Losses'!$I$24-$AC23</f>
        <v>0</v>
      </c>
      <c r="AV23" s="231">
        <f t="shared" si="47"/>
        <v>0</v>
      </c>
      <c r="AW23" s="230"/>
      <c r="AX23" s="228">
        <f>'9.15.1 - PGE Cove'!$I$24-$AC23</f>
        <v>0</v>
      </c>
      <c r="AY23" s="231">
        <f t="shared" si="48"/>
        <v>0</v>
      </c>
      <c r="AZ23" s="230"/>
      <c r="BA23" s="228">
        <f>'9.16.1 - Butter Creek'!$I$24-$AC23</f>
        <v>-7352652.150000006</v>
      </c>
      <c r="BB23" s="231">
        <f t="shared" si="49"/>
        <v>-1663647.1109079199</v>
      </c>
      <c r="BC23" s="230"/>
      <c r="BD23" s="228">
        <f>'9.17.1 - Small QF'!$I$24-$AC23</f>
        <v>268349.71996726096</v>
      </c>
      <c r="BE23" s="231">
        <f t="shared" si="50"/>
        <v>60718.122825446415</v>
      </c>
      <c r="BF23" s="230"/>
      <c r="BG23" s="228">
        <f>'9.18.1 - BPA PTP'!$I$24-$AC23</f>
        <v>0</v>
      </c>
      <c r="BH23" s="231">
        <f t="shared" si="51"/>
        <v>0</v>
      </c>
      <c r="BI23" s="230"/>
      <c r="BJ23" s="228">
        <f>'9.19.1 - ID Trans Rate'!$I$24-$AC23</f>
        <v>0</v>
      </c>
      <c r="BK23" s="231">
        <f t="shared" si="52"/>
        <v>0</v>
      </c>
      <c r="BL23" s="230"/>
      <c r="BM23" s="228">
        <f>'9.20.1 - DPUD'!$I$24-$AC23</f>
        <v>0</v>
      </c>
      <c r="BN23" s="231">
        <f t="shared" si="53"/>
        <v>0</v>
      </c>
      <c r="BO23" s="230"/>
      <c r="BP23" s="228">
        <f>'9.21.1 - OFPC'!$I$24-$AC23</f>
        <v>-23135.869997560978</v>
      </c>
      <c r="BQ23" s="231">
        <f t="shared" si="54"/>
        <v>-5234.8353348639666</v>
      </c>
      <c r="BR23" s="230"/>
      <c r="BS23" s="228">
        <f>'9.22.1 - BPA RoD'!$I$24-$AC23</f>
        <v>0</v>
      </c>
      <c r="BT23" s="231">
        <f t="shared" si="55"/>
        <v>0</v>
      </c>
      <c r="BU23" s="230"/>
      <c r="BV23" s="228">
        <f>'9.23.1 - Coal Cost'!$I$24-$AC23</f>
        <v>0</v>
      </c>
      <c r="BW23" s="231">
        <f t="shared" si="56"/>
        <v>0</v>
      </c>
      <c r="BX23" s="96"/>
      <c r="BY23" s="94">
        <f>'9.24.1 - P50 Wind'!$I$24-$AC23</f>
        <v>692225.07999999821</v>
      </c>
      <c r="BZ23" s="91">
        <f t="shared" si="57"/>
        <v>156626.23920540017</v>
      </c>
      <c r="CA23" s="96"/>
      <c r="CB23" s="94">
        <f t="shared" si="58"/>
        <v>0</v>
      </c>
      <c r="CC23" s="91">
        <f t="shared" si="59"/>
        <v>0</v>
      </c>
      <c r="CD23" s="96"/>
      <c r="CE23" s="94">
        <f t="shared" si="60"/>
        <v>-6415213.2200303078</v>
      </c>
      <c r="CF23" s="91">
        <f t="shared" si="61"/>
        <v>-1451537.5842119372</v>
      </c>
      <c r="CG23" s="96"/>
      <c r="CH23" s="94">
        <f>'9.26.1 - Pro Forma Rebuttal'!I24</f>
        <v>55696576.674233064</v>
      </c>
      <c r="CI23" s="91">
        <f>D23*CH23</f>
        <v>12602180.407997297</v>
      </c>
      <c r="CJ23" s="96"/>
    </row>
    <row r="24" spans="1:88">
      <c r="A24" s="86" t="s">
        <v>150</v>
      </c>
      <c r="B24" s="87" t="s">
        <v>147</v>
      </c>
      <c r="C24" s="53" t="s">
        <v>140</v>
      </c>
      <c r="D24" s="284">
        <v>0.2262649010137</v>
      </c>
      <c r="E24" s="88">
        <f>'9.2.1 - Per Books'!I76-'9.2.1 - Per Books'!I24</f>
        <v>215715474.29999995</v>
      </c>
      <c r="F24" s="91">
        <f t="shared" si="31"/>
        <v>48808840.439612836</v>
      </c>
      <c r="G24" s="87"/>
      <c r="H24" s="88">
        <f t="shared" si="32"/>
        <v>105966368.21000004</v>
      </c>
      <c r="I24" s="92">
        <f t="shared" si="33"/>
        <v>23976469.813816946</v>
      </c>
      <c r="J24" s="90"/>
      <c r="K24" s="94">
        <f>'9.3.2 - Restating'!I86-'9.3.2 - Restating'!I24</f>
        <v>321681842.50999999</v>
      </c>
      <c r="L24" s="91">
        <f t="shared" si="34"/>
        <v>72785310.253429785</v>
      </c>
      <c r="M24" s="87"/>
      <c r="N24" s="88">
        <f t="shared" si="35"/>
        <v>-86986543.290000021</v>
      </c>
      <c r="O24" s="92">
        <f t="shared" si="36"/>
        <v>-19682001.607035786</v>
      </c>
      <c r="P24" s="93"/>
      <c r="Q24" s="88">
        <f t="shared" si="37"/>
        <v>234695299.21999997</v>
      </c>
      <c r="R24" s="92">
        <f t="shared" si="38"/>
        <v>53103308.646393999</v>
      </c>
      <c r="S24" s="93"/>
      <c r="T24" s="88">
        <f>AC24-('9.5.1 - QFs'!I76-'9.5.1 - QFs'!I24-'9.5.1 - QFs'!I73)</f>
        <v>-22417736.889999986</v>
      </c>
      <c r="U24" s="92">
        <f t="shared" si="39"/>
        <v>-5072347.0183670176</v>
      </c>
      <c r="V24" s="93"/>
      <c r="W24" s="88">
        <f>AC24-('9.6.1 - ECA Sale'!I76-'9.6.1 - ECA Sale'!I73-'9.6.1 - ECA Sale'!I24)</f>
        <v>-41099215.769999981</v>
      </c>
      <c r="X24" s="92">
        <f t="shared" si="40"/>
        <v>-9299309.9879397433</v>
      </c>
      <c r="Y24" s="93"/>
      <c r="Z24" s="88">
        <f>AC24-('9.6.1 - ID P2P'!I76-'9.6.1 - ID P2P'!I73-'9.6.1 - ID P2P'!I24)</f>
        <v>-6950914.6499999762</v>
      </c>
      <c r="AA24" s="92">
        <f t="shared" si="41"/>
        <v>-1572748.0152369218</v>
      </c>
      <c r="AB24" s="93"/>
      <c r="AC24" s="94">
        <f>'9.8.1 Pro Forma Direct'!$I$76-'9.8.1 Pro Forma Direct'!$I$73-'9.8.1 Pro Forma Direct'!$I$24</f>
        <v>164227431.91000003</v>
      </c>
      <c r="AD24" s="91">
        <f>D24*AC24</f>
        <v>37158903.62485031</v>
      </c>
      <c r="AE24" s="96"/>
      <c r="AF24" s="228">
        <f>('9.9.1 - Wind Reserve'!$I$76-'9.9.1 - Wind Reserve'!$I$73-'9.9.1 - Wind Reserve'!$I$24)-$AC24</f>
        <v>-2882245.6800000072</v>
      </c>
      <c r="AG24" s="229">
        <f t="shared" si="42"/>
        <v>-652151.03348236613</v>
      </c>
      <c r="AH24" s="230"/>
      <c r="AI24" s="228">
        <f>('9.10.1 - Hydro Median'!$I$76-'9.10.1 - Hydro Median'!$I$73-'9.10.1 - Hydro Median'!$I$24)-$AC24</f>
        <v>911121.28999996185</v>
      </c>
      <c r="AJ24" s="231">
        <f t="shared" si="43"/>
        <v>206154.76849331602</v>
      </c>
      <c r="AK24" s="230"/>
      <c r="AL24" s="228">
        <f>('9.11.1 - Coal Heat Rate'!$I$76-'9.11.1 - Coal Heat Rate'!$I$73-'9.11.1 - Coal Heat Rate'!$I$24)-$AC24</f>
        <v>-99096.6400000453</v>
      </c>
      <c r="AM24" s="231">
        <f t="shared" si="44"/>
        <v>-22422.091440400513</v>
      </c>
      <c r="AN24" s="230"/>
      <c r="AO24" s="228">
        <f>('9.12.1 - BPA Exchange'!$I$76-'9.12.1 - BPA Exchange'!$I$73-'9.12.1 - BPA Exchange'!$I$24)-$AC24</f>
        <v>1403944.3299999833</v>
      </c>
      <c r="AP24" s="231">
        <f t="shared" si="45"/>
        <v>317663.32485619158</v>
      </c>
      <c r="AQ24" s="230"/>
      <c r="AR24" s="228">
        <f>('9.13.1 - Chehalis Lateral'!$I$76-'9.13.1 - Chehalis Lateral'!$I$73-'9.13.1 - Chehalis Lateral'!$I$24)-$AC24</f>
        <v>0</v>
      </c>
      <c r="AS24" s="231">
        <f t="shared" si="46"/>
        <v>0</v>
      </c>
      <c r="AT24" s="230"/>
      <c r="AU24" s="228">
        <f>('9.14.1 - Stateline Losses'!$I$76-'9.14.1 - Stateline Losses'!$I$73-'9.14.1 - Stateline Losses'!$I$24)-$AC24</f>
        <v>59639.669999957085</v>
      </c>
      <c r="AV24" s="231">
        <f t="shared" si="47"/>
        <v>13494.364029030023</v>
      </c>
      <c r="AW24" s="230"/>
      <c r="AX24" s="228">
        <f>('9.15.1 - PGE Cove'!$I$76-'9.15.1 - PGE Cove'!$I$73-'9.15.1 - PGE Cove'!$I$24)-$AC24</f>
        <v>0</v>
      </c>
      <c r="AY24" s="231">
        <f t="shared" si="48"/>
        <v>0</v>
      </c>
      <c r="AZ24" s="230"/>
      <c r="BA24" s="228">
        <f>('9.16.1 - Butter Creek'!$I$76-'9.16.1 - Butter Creek'!$I$73-'9.16.1 - Butter Creek'!$I$24)-$AC24</f>
        <v>1587888.0199999809</v>
      </c>
      <c r="BB24" s="231">
        <f t="shared" si="49"/>
        <v>359283.32566613576</v>
      </c>
      <c r="BC24" s="230"/>
      <c r="BD24" s="228">
        <f>('9.17.1 - Small QF'!$I$76-'9.17.1 - Small QF'!$I$73-'9.17.1 - Small QF'!$I$24)-$AC24</f>
        <v>-138473.70000004768</v>
      </c>
      <c r="BE24" s="231">
        <f t="shared" si="50"/>
        <v>-31331.738023511578</v>
      </c>
      <c r="BF24" s="230"/>
      <c r="BG24" s="228">
        <f>('9.18.1 - BPA PTP'!$I$76-'9.18.1 - BPA PTP'!$I$73-'9.18.1 - BPA PTP'!$I$24)-$AC24</f>
        <v>0</v>
      </c>
      <c r="BH24" s="231">
        <f t="shared" si="51"/>
        <v>0</v>
      </c>
      <c r="BI24" s="230"/>
      <c r="BJ24" s="228">
        <f>('9.19.1 - ID Trans Rate'!$I$76-'9.19.1 - ID Trans Rate'!$I$73-'9.19.1 - ID Trans Rate'!$I$24)-$AC24</f>
        <v>0</v>
      </c>
      <c r="BK24" s="231">
        <f t="shared" si="52"/>
        <v>0</v>
      </c>
      <c r="BL24" s="230"/>
      <c r="BM24" s="228">
        <f>('9.20.1 - DPUD'!$I$76-'9.20.1 - DPUD'!$I$73-'9.20.1 - DPUD'!$I$24)-$AC24</f>
        <v>0</v>
      </c>
      <c r="BN24" s="231">
        <f t="shared" si="53"/>
        <v>0</v>
      </c>
      <c r="BO24" s="230"/>
      <c r="BP24" s="228">
        <f>('9.21.1 - OFPC'!$I$76-'9.21.1 - OFPC'!$I$73-'9.21.1 - OFPC'!$I$24)-$AC24</f>
        <v>-5344283.6900000572</v>
      </c>
      <c r="BQ24" s="231">
        <f t="shared" si="54"/>
        <v>-1209223.8201069944</v>
      </c>
      <c r="BR24" s="230"/>
      <c r="BS24" s="228">
        <f>('9.22.1 - BPA RoD'!$I$76-'9.22.1 - BPA RoD'!$I$73-'9.22.1 - BPA RoD'!$I$24)-$AC24</f>
        <v>0</v>
      </c>
      <c r="BT24" s="231">
        <f t="shared" si="55"/>
        <v>0</v>
      </c>
      <c r="BU24" s="230"/>
      <c r="BV24" s="228">
        <f>('9.23.1 - Coal Cost'!$I$76-'9.23.1 - Coal Cost'!$I$73-'9.23.1 - Coal Cost'!$I$24)-$AC24</f>
        <v>0</v>
      </c>
      <c r="BW24" s="231">
        <f t="shared" si="56"/>
        <v>0</v>
      </c>
      <c r="BX24" s="96"/>
      <c r="BY24" s="94">
        <f>('9.24.1 - P50 Wind'!$I$68-'9.24.1 - P50 Wind'!$I$65-'9.24.1 - P50 Wind'!$I$24)-$AC24</f>
        <v>-3226057.6600000262</v>
      </c>
      <c r="BZ24" s="91">
        <f t="shared" si="57"/>
        <v>-729943.61710439459</v>
      </c>
      <c r="CA24" s="96"/>
      <c r="CB24" s="94">
        <f t="shared" si="58"/>
        <v>-3305394.3899996877</v>
      </c>
      <c r="CC24" s="91">
        <f t="shared" si="59"/>
        <v>-747894.73446451861</v>
      </c>
      <c r="CD24" s="96"/>
      <c r="CE24" s="94">
        <f t="shared" si="60"/>
        <v>-11032958.449999988</v>
      </c>
      <c r="CF24" s="91">
        <f t="shared" si="61"/>
        <v>-2496371.2515775124</v>
      </c>
      <c r="CG24" s="96"/>
      <c r="CH24" s="94">
        <f>'9.26.1 - Pro Forma Rebuttal'!I76-'9.26.1 - Pro Forma Rebuttal'!I73-'9.26.1 - Pro Forma Rebuttal'!I24</f>
        <v>153194473.46000004</v>
      </c>
      <c r="CI24" s="91">
        <f>D24*CH24</f>
        <v>34662532.373272799</v>
      </c>
      <c r="CJ24" s="96"/>
    </row>
    <row r="25" spans="1:88">
      <c r="A25" s="86" t="s">
        <v>151</v>
      </c>
      <c r="B25" s="87" t="s">
        <v>147</v>
      </c>
      <c r="C25" s="53" t="s">
        <v>140</v>
      </c>
      <c r="D25" s="284">
        <v>0.2262649010137</v>
      </c>
      <c r="E25" s="88">
        <f>'9.2.1 - Per Books'!I120</f>
        <v>0</v>
      </c>
      <c r="F25" s="91">
        <f t="shared" si="31"/>
        <v>0</v>
      </c>
      <c r="G25" s="87"/>
      <c r="H25" s="88">
        <f t="shared" si="32"/>
        <v>620611.67000000004</v>
      </c>
      <c r="I25" s="92">
        <f t="shared" si="33"/>
        <v>140422.63808049707</v>
      </c>
      <c r="J25" s="90"/>
      <c r="K25" s="88">
        <f>'9.3.2 - Restating'!D127</f>
        <v>620611.67000000004</v>
      </c>
      <c r="L25" s="91">
        <f t="shared" si="34"/>
        <v>140422.63808049707</v>
      </c>
      <c r="M25" s="87"/>
      <c r="N25" s="88">
        <f t="shared" si="35"/>
        <v>-62867.040000000037</v>
      </c>
      <c r="O25" s="92">
        <f t="shared" si="36"/>
        <v>-14224.604582624326</v>
      </c>
      <c r="P25" s="93"/>
      <c r="Q25" s="88">
        <f t="shared" si="37"/>
        <v>557744.63</v>
      </c>
      <c r="R25" s="92">
        <f t="shared" si="38"/>
        <v>126198.03349787273</v>
      </c>
      <c r="S25" s="93"/>
      <c r="T25" s="88">
        <f>AC25-'9.5.1 - QFs'!D73</f>
        <v>105421.68000000005</v>
      </c>
      <c r="U25" s="92">
        <f t="shared" si="39"/>
        <v>23853.225989897968</v>
      </c>
      <c r="V25" s="93"/>
      <c r="W25" s="88">
        <f>AC25-'9.6.1 - ECA Sale'!I73</f>
        <v>0</v>
      </c>
      <c r="X25" s="92">
        <f t="shared" si="40"/>
        <v>0</v>
      </c>
      <c r="Y25" s="93"/>
      <c r="Z25" s="88">
        <f>AC25-'9.6.1 - ID P2P'!I73</f>
        <v>0</v>
      </c>
      <c r="AA25" s="92">
        <f t="shared" si="41"/>
        <v>0</v>
      </c>
      <c r="AB25" s="93"/>
      <c r="AC25" s="94">
        <f>'9.8.1 Pro Forma Direct'!$I$73</f>
        <v>663166.31000000006</v>
      </c>
      <c r="AD25" s="91">
        <f>D25*AC25</f>
        <v>150051.2594877707</v>
      </c>
      <c r="AE25" s="96"/>
      <c r="AF25" s="228">
        <f>'9.9.1 - Wind Reserve'!$I$73-$AC25</f>
        <v>0</v>
      </c>
      <c r="AG25" s="229">
        <f t="shared" si="42"/>
        <v>0</v>
      </c>
      <c r="AH25" s="230"/>
      <c r="AI25" s="228">
        <f>'9.10.1 - Hydro Median'!$I$73-$AC25</f>
        <v>0</v>
      </c>
      <c r="AJ25" s="231">
        <f t="shared" si="43"/>
        <v>0</v>
      </c>
      <c r="AK25" s="230"/>
      <c r="AL25" s="228">
        <f>'9.11.1 - Coal Heat Rate'!$I$73-$AC25</f>
        <v>0</v>
      </c>
      <c r="AM25" s="231">
        <f t="shared" si="44"/>
        <v>0</v>
      </c>
      <c r="AN25" s="230"/>
      <c r="AO25" s="228">
        <f>'9.12.1 - BPA Exchange'!$I$73-$AC25</f>
        <v>0</v>
      </c>
      <c r="AP25" s="231">
        <f t="shared" si="45"/>
        <v>0</v>
      </c>
      <c r="AQ25" s="230"/>
      <c r="AR25" s="228">
        <f>'9.13.1 - Chehalis Lateral'!$I$73-$AC25</f>
        <v>0</v>
      </c>
      <c r="AS25" s="231">
        <f t="shared" si="46"/>
        <v>0</v>
      </c>
      <c r="AT25" s="230"/>
      <c r="AU25" s="228">
        <f>'9.14.1 - Stateline Losses'!$I$73-$AC25</f>
        <v>0</v>
      </c>
      <c r="AV25" s="231">
        <f t="shared" si="47"/>
        <v>0</v>
      </c>
      <c r="AW25" s="230"/>
      <c r="AX25" s="228">
        <f>'9.15.1 - PGE Cove'!$I$73-$AC25</f>
        <v>0</v>
      </c>
      <c r="AY25" s="231">
        <f t="shared" si="48"/>
        <v>0</v>
      </c>
      <c r="AZ25" s="230"/>
      <c r="BA25" s="228">
        <f>'9.16.1 - Butter Creek'!$I$73-$AC25</f>
        <v>-38542.880000000005</v>
      </c>
      <c r="BB25" s="231">
        <f t="shared" si="49"/>
        <v>-8720.9009279829188</v>
      </c>
      <c r="BC25" s="230"/>
      <c r="BD25" s="228">
        <f>'9.17.1 - Small QF'!$I$73-$AC25</f>
        <v>0</v>
      </c>
      <c r="BE25" s="231">
        <f t="shared" si="50"/>
        <v>0</v>
      </c>
      <c r="BF25" s="230"/>
      <c r="BG25" s="228">
        <f>'9.18.1 - BPA PTP'!$I$73-$AC25</f>
        <v>0</v>
      </c>
      <c r="BH25" s="231">
        <f t="shared" si="51"/>
        <v>0</v>
      </c>
      <c r="BI25" s="230"/>
      <c r="BJ25" s="228">
        <f>'9.19.1 - ID Trans Rate'!$I$73-$AC25</f>
        <v>0</v>
      </c>
      <c r="BK25" s="231">
        <f t="shared" si="52"/>
        <v>0</v>
      </c>
      <c r="BL25" s="230"/>
      <c r="BM25" s="228">
        <f>'9.20.1 - DPUD'!$I$73-$AC25</f>
        <v>0</v>
      </c>
      <c r="BN25" s="231">
        <f t="shared" si="53"/>
        <v>0</v>
      </c>
      <c r="BO25" s="230"/>
      <c r="BP25" s="228">
        <f>'9.21.1 - OFPC'!$I$73-$AC25</f>
        <v>-2600.6500000000233</v>
      </c>
      <c r="BQ25" s="231">
        <f t="shared" si="54"/>
        <v>-588.43581482128423</v>
      </c>
      <c r="BR25" s="230"/>
      <c r="BS25" s="228">
        <f>'9.22.1 - BPA RoD'!$I$73-$AC25</f>
        <v>0</v>
      </c>
      <c r="BT25" s="231">
        <f t="shared" si="55"/>
        <v>0</v>
      </c>
      <c r="BU25" s="230"/>
      <c r="BV25" s="228">
        <f>'9.23.1 - Coal Cost'!$I$73-$AC25</f>
        <v>0</v>
      </c>
      <c r="BW25" s="231">
        <f t="shared" si="56"/>
        <v>0</v>
      </c>
      <c r="BX25" s="96"/>
      <c r="BY25" s="94">
        <f>'9.24.1 - P50 Wind'!$I$65-$AC25</f>
        <v>56296.269999999902</v>
      </c>
      <c r="BZ25" s="91">
        <f t="shared" si="57"/>
        <v>12737.869958990506</v>
      </c>
      <c r="CA25" s="96"/>
      <c r="CB25" s="94">
        <f t="shared" si="58"/>
        <v>-69.629999999888241</v>
      </c>
      <c r="CC25" s="91">
        <f t="shared" si="59"/>
        <v>-15.754825057558644</v>
      </c>
      <c r="CD25" s="96"/>
      <c r="CE25" s="94">
        <f t="shared" si="60"/>
        <v>15083.109999999986</v>
      </c>
      <c r="CF25" s="91">
        <f t="shared" si="61"/>
        <v>3412.7783911287456</v>
      </c>
      <c r="CG25" s="96"/>
      <c r="CH25" s="94">
        <f>'9.26.1 - Pro Forma Rebuttal'!I73</f>
        <v>678249.42</v>
      </c>
      <c r="CI25" s="91">
        <f>D25*CH25</f>
        <v>153464.03787889946</v>
      </c>
      <c r="CJ25" s="96"/>
    </row>
    <row r="26" spans="1:88">
      <c r="A26" s="104" t="s">
        <v>152</v>
      </c>
      <c r="B26" s="87"/>
      <c r="D26" s="293"/>
      <c r="E26" s="98">
        <f>SUM(E21:E25)</f>
        <v>297420427.96999997</v>
      </c>
      <c r="F26" s="99">
        <f>SUM(F21:F25)</f>
        <v>67297480.923364669</v>
      </c>
      <c r="G26" s="100"/>
      <c r="H26" s="98">
        <f>SUM(H21:H25)</f>
        <v>106586980.06000003</v>
      </c>
      <c r="I26" s="99">
        <f>SUM(I21:I25)</f>
        <v>24120073.592011493</v>
      </c>
      <c r="J26" s="100"/>
      <c r="K26" s="98">
        <f>SUM(K21:K25)</f>
        <v>404007408.03000003</v>
      </c>
      <c r="L26" s="99">
        <f>SUM(L21:L25)</f>
        <v>91417554.515376151</v>
      </c>
      <c r="M26" s="100"/>
      <c r="N26" s="98">
        <f>SUM(N21:N25)</f>
        <v>-168632610.99000001</v>
      </c>
      <c r="O26" s="99">
        <f>SUM(O21:O25)</f>
        <v>-38160475.575522691</v>
      </c>
      <c r="P26" s="101"/>
      <c r="Q26" s="98">
        <f>SUM(Q21:Q25)</f>
        <v>235374797.03999996</v>
      </c>
      <c r="R26" s="99">
        <f>SUM(R21:R25)</f>
        <v>53257078.93985346</v>
      </c>
      <c r="S26" s="101"/>
      <c r="T26" s="98">
        <f>SUM(T21:T25)</f>
        <v>54584990.750000007</v>
      </c>
      <c r="U26" s="99">
        <f>SUM(U21:U25)</f>
        <v>12353314.527541747</v>
      </c>
      <c r="V26" s="101"/>
      <c r="W26" s="98">
        <f>SUM(W21:W25)</f>
        <v>-41099215.769999981</v>
      </c>
      <c r="X26" s="99">
        <f>SUM(X21:X25)</f>
        <v>-9299309.9879397433</v>
      </c>
      <c r="Y26" s="101"/>
      <c r="Z26" s="98">
        <f>SUM(Z21:Z25)</f>
        <v>-6950914.6499999762</v>
      </c>
      <c r="AA26" s="99">
        <f>SUM(AA21:AA25)</f>
        <v>-1572748.0152369218</v>
      </c>
      <c r="AB26" s="101"/>
      <c r="AC26" s="102">
        <f>SUM(AC21:AC25)</f>
        <v>241909657.37000003</v>
      </c>
      <c r="AD26" s="99">
        <f>SUM(AD21:AD25)</f>
        <v>54738335.464218542</v>
      </c>
      <c r="AE26" s="100"/>
      <c r="AF26" s="232">
        <f>SUM(AF21:AF25)</f>
        <v>-2882245.6800000072</v>
      </c>
      <c r="AG26" s="233">
        <f>SUM(AG21:AG25)</f>
        <v>-652151.03348236613</v>
      </c>
      <c r="AH26" s="234"/>
      <c r="AI26" s="232">
        <f>SUM(AI21:AI25)</f>
        <v>911121.28999996185</v>
      </c>
      <c r="AJ26" s="233">
        <f>SUM(AJ21:AJ25)</f>
        <v>206154.76849331602</v>
      </c>
      <c r="AK26" s="234"/>
      <c r="AL26" s="232">
        <f>SUM(AL21:AL25)</f>
        <v>-99096.6400000453</v>
      </c>
      <c r="AM26" s="233">
        <f>SUM(AM21:AM25)</f>
        <v>-22422.091440400513</v>
      </c>
      <c r="AN26" s="234"/>
      <c r="AO26" s="232">
        <f>SUM(AO21:AO25)</f>
        <v>1403944.3299999833</v>
      </c>
      <c r="AP26" s="233">
        <f>SUM(AP21:AP25)</f>
        <v>317663.32485619158</v>
      </c>
      <c r="AQ26" s="234"/>
      <c r="AR26" s="232">
        <f>SUM(AR21:AR25)</f>
        <v>0</v>
      </c>
      <c r="AS26" s="233">
        <f>SUM(AS21:AS25)</f>
        <v>0</v>
      </c>
      <c r="AT26" s="234"/>
      <c r="AU26" s="232">
        <f>SUM(AU21:AU25)</f>
        <v>59639.669999957085</v>
      </c>
      <c r="AV26" s="233">
        <f>SUM(AV21:AV25)</f>
        <v>13494.364029030023</v>
      </c>
      <c r="AW26" s="234"/>
      <c r="AX26" s="232">
        <f>SUM(AX21:AX25)</f>
        <v>53118.279999998864</v>
      </c>
      <c r="AY26" s="233">
        <f>SUM(AY21:AY25)</f>
        <v>12027.887100786327</v>
      </c>
      <c r="AZ26" s="234"/>
      <c r="BA26" s="232">
        <f>SUM(BA21:BA25)</f>
        <v>-5803307.0100000249</v>
      </c>
      <c r="BB26" s="233">
        <f>SUM(BB21:BB25)</f>
        <v>-1313084.6861697671</v>
      </c>
      <c r="BC26" s="234"/>
      <c r="BD26" s="232">
        <f>SUM(BD21:BD25)</f>
        <v>129876.01999995112</v>
      </c>
      <c r="BE26" s="233">
        <f>SUM(BE21:BE25)</f>
        <v>29386.384809348121</v>
      </c>
      <c r="BF26" s="234"/>
      <c r="BG26" s="232">
        <f>SUM(BG21:BG25)</f>
        <v>0</v>
      </c>
      <c r="BH26" s="233">
        <f>SUM(BH21:BH25)</f>
        <v>0</v>
      </c>
      <c r="BI26" s="234"/>
      <c r="BJ26" s="232">
        <f>SUM(BJ21:BJ25)</f>
        <v>0</v>
      </c>
      <c r="BK26" s="233">
        <f>SUM(BK21:BK25)</f>
        <v>0</v>
      </c>
      <c r="BL26" s="234"/>
      <c r="BM26" s="232">
        <f>SUM(BM21:BM25)</f>
        <v>-105517.17000000132</v>
      </c>
      <c r="BN26" s="233">
        <f>SUM(BN21:BN25)</f>
        <v>-23890.769333197222</v>
      </c>
      <c r="BO26" s="234"/>
      <c r="BP26" s="232">
        <f>SUM(BP21:BP25)</f>
        <v>-3646804.8400000478</v>
      </c>
      <c r="BQ26" s="233">
        <f>SUM(BQ21:BQ25)</f>
        <v>-824883.66177850531</v>
      </c>
      <c r="BR26" s="234"/>
      <c r="BS26" s="232">
        <f>SUM(BS21:BS25)</f>
        <v>0</v>
      </c>
      <c r="BT26" s="233">
        <f>SUM(BT21:BT25)</f>
        <v>0</v>
      </c>
      <c r="BU26" s="234"/>
      <c r="BV26" s="232">
        <f>SUM(BV21:BV25)</f>
        <v>0</v>
      </c>
      <c r="BW26" s="233">
        <f>SUM(BW21:BW25)</f>
        <v>0</v>
      </c>
      <c r="BX26" s="100"/>
      <c r="BY26" s="102">
        <f>SUM(BY21:BY25)</f>
        <v>-2477536.310000028</v>
      </c>
      <c r="BZ26" s="99">
        <f>SUM(BZ21:BZ25)</f>
        <v>-560579.50794000388</v>
      </c>
      <c r="CA26" s="100"/>
      <c r="CB26" s="102">
        <f>SUM(CB21:CB25)</f>
        <v>-3294148.6699996479</v>
      </c>
      <c r="CC26" s="99">
        <f>SUM(CC21:CC25)</f>
        <v>-745348.51367200282</v>
      </c>
      <c r="CD26" s="100"/>
      <c r="CE26" s="102">
        <f>SUM(CE21:CE25)</f>
        <v>-15750956.729999952</v>
      </c>
      <c r="CF26" s="99">
        <f>SUM(CF21:CF25)</f>
        <v>-3563633.5345275705</v>
      </c>
      <c r="CG26" s="100"/>
      <c r="CH26" s="102">
        <f>SUM(CH21:CH25)</f>
        <v>226158700.64000002</v>
      </c>
      <c r="CI26" s="99">
        <f>SUM(CI21:CI25)</f>
        <v>51174701.929690972</v>
      </c>
      <c r="CJ26" s="100"/>
    </row>
    <row r="27" spans="1:88">
      <c r="D27" s="293"/>
      <c r="E27" s="79"/>
      <c r="F27" s="80"/>
      <c r="H27" s="79"/>
      <c r="I27" s="103"/>
      <c r="J27" s="81"/>
      <c r="K27" s="79"/>
      <c r="L27" s="80"/>
      <c r="N27" s="79"/>
      <c r="O27" s="103"/>
      <c r="P27" s="101"/>
      <c r="Q27" s="79"/>
      <c r="R27" s="103"/>
      <c r="S27" s="101"/>
      <c r="T27" s="79"/>
      <c r="U27" s="103"/>
      <c r="V27" s="101"/>
      <c r="W27" s="79"/>
      <c r="X27" s="103"/>
      <c r="Y27" s="101"/>
      <c r="Z27" s="79"/>
      <c r="AA27" s="103"/>
      <c r="AB27" s="101"/>
      <c r="AC27" s="83"/>
      <c r="AD27" s="80"/>
      <c r="AE27" s="100"/>
      <c r="AF27" s="235"/>
      <c r="AG27" s="236"/>
      <c r="AH27" s="234"/>
      <c r="AI27" s="235"/>
      <c r="AJ27" s="236"/>
      <c r="AK27" s="234"/>
      <c r="AL27" s="235"/>
      <c r="AM27" s="236"/>
      <c r="AN27" s="234"/>
      <c r="AO27" s="235"/>
      <c r="AP27" s="236"/>
      <c r="AQ27" s="234"/>
      <c r="AR27" s="235"/>
      <c r="AS27" s="236"/>
      <c r="AT27" s="234"/>
      <c r="AU27" s="235"/>
      <c r="AV27" s="236"/>
      <c r="AW27" s="234"/>
      <c r="AX27" s="235"/>
      <c r="AY27" s="236"/>
      <c r="AZ27" s="234"/>
      <c r="BA27" s="235"/>
      <c r="BB27" s="236"/>
      <c r="BC27" s="234"/>
      <c r="BD27" s="235"/>
      <c r="BE27" s="236"/>
      <c r="BF27" s="234"/>
      <c r="BG27" s="235"/>
      <c r="BH27" s="236"/>
      <c r="BI27" s="234"/>
      <c r="BJ27" s="235"/>
      <c r="BK27" s="236"/>
      <c r="BL27" s="234"/>
      <c r="BM27" s="235"/>
      <c r="BN27" s="236"/>
      <c r="BO27" s="234"/>
      <c r="BP27" s="235"/>
      <c r="BQ27" s="236"/>
      <c r="BR27" s="234"/>
      <c r="BS27" s="235"/>
      <c r="BT27" s="236"/>
      <c r="BU27" s="234"/>
      <c r="BV27" s="235"/>
      <c r="BW27" s="236"/>
      <c r="BX27" s="100"/>
      <c r="BY27" s="83"/>
      <c r="BZ27" s="80"/>
      <c r="CA27" s="100"/>
      <c r="CB27" s="83"/>
      <c r="CC27" s="80"/>
      <c r="CD27" s="100"/>
      <c r="CE27" s="83"/>
      <c r="CF27" s="80"/>
      <c r="CG27" s="100"/>
      <c r="CH27" s="83"/>
      <c r="CI27" s="80"/>
      <c r="CJ27" s="100"/>
    </row>
    <row r="28" spans="1:88">
      <c r="A28" s="54" t="s">
        <v>153</v>
      </c>
      <c r="D28" s="293"/>
      <c r="E28" s="79"/>
      <c r="F28" s="80"/>
      <c r="H28" s="79"/>
      <c r="I28" s="103"/>
      <c r="J28" s="81"/>
      <c r="K28" s="79"/>
      <c r="L28" s="80"/>
      <c r="N28" s="79"/>
      <c r="O28" s="103"/>
      <c r="P28" s="93"/>
      <c r="Q28" s="79"/>
      <c r="R28" s="103"/>
      <c r="S28" s="93"/>
      <c r="T28" s="79"/>
      <c r="U28" s="103"/>
      <c r="V28" s="93"/>
      <c r="W28" s="79"/>
      <c r="X28" s="103"/>
      <c r="Y28" s="93"/>
      <c r="Z28" s="79"/>
      <c r="AA28" s="103"/>
      <c r="AB28" s="93"/>
      <c r="AC28" s="83"/>
      <c r="AD28" s="80"/>
      <c r="AE28" s="96"/>
      <c r="AF28" s="235"/>
      <c r="AG28" s="236"/>
      <c r="AH28" s="230"/>
      <c r="AI28" s="235"/>
      <c r="AJ28" s="236"/>
      <c r="AK28" s="230"/>
      <c r="AL28" s="235"/>
      <c r="AM28" s="236"/>
      <c r="AN28" s="230"/>
      <c r="AO28" s="235"/>
      <c r="AP28" s="236"/>
      <c r="AQ28" s="230"/>
      <c r="AR28" s="235"/>
      <c r="AS28" s="236"/>
      <c r="AT28" s="230"/>
      <c r="AU28" s="235"/>
      <c r="AV28" s="236"/>
      <c r="AW28" s="230"/>
      <c r="AX28" s="235"/>
      <c r="AY28" s="236"/>
      <c r="AZ28" s="230"/>
      <c r="BA28" s="235"/>
      <c r="BB28" s="236"/>
      <c r="BC28" s="230"/>
      <c r="BD28" s="235"/>
      <c r="BE28" s="236"/>
      <c r="BF28" s="230"/>
      <c r="BG28" s="235"/>
      <c r="BH28" s="236"/>
      <c r="BI28" s="230"/>
      <c r="BJ28" s="235"/>
      <c r="BK28" s="236"/>
      <c r="BL28" s="230"/>
      <c r="BM28" s="235"/>
      <c r="BN28" s="236"/>
      <c r="BO28" s="230"/>
      <c r="BP28" s="235"/>
      <c r="BQ28" s="236"/>
      <c r="BR28" s="230"/>
      <c r="BS28" s="235"/>
      <c r="BT28" s="236"/>
      <c r="BU28" s="230"/>
      <c r="BV28" s="235"/>
      <c r="BW28" s="236"/>
      <c r="BX28" s="96"/>
      <c r="BY28" s="83"/>
      <c r="BZ28" s="80"/>
      <c r="CA28" s="96"/>
      <c r="CB28" s="83"/>
      <c r="CC28" s="80"/>
      <c r="CD28" s="96"/>
      <c r="CE28" s="83"/>
      <c r="CF28" s="80"/>
      <c r="CG28" s="96"/>
      <c r="CH28" s="83"/>
      <c r="CI28" s="80"/>
      <c r="CJ28" s="96"/>
    </row>
    <row r="29" spans="1:88">
      <c r="A29" s="86" t="s">
        <v>154</v>
      </c>
      <c r="B29" s="87" t="s">
        <v>155</v>
      </c>
      <c r="C29" s="53" t="s">
        <v>140</v>
      </c>
      <c r="D29" s="284">
        <v>0.2262649010137</v>
      </c>
      <c r="E29" s="88">
        <f>'9.2.1 - Per Books'!F90</f>
        <v>0</v>
      </c>
      <c r="F29" s="91">
        <f t="shared" ref="F29:F31" si="62">E29*D29</f>
        <v>0</v>
      </c>
      <c r="G29" s="87"/>
      <c r="H29" s="88">
        <f t="shared" ref="H29:H31" si="63">+K29-E29</f>
        <v>22190023.084799994</v>
      </c>
      <c r="I29" s="92">
        <f t="shared" ref="I29:I31" si="64">H29*$D29</f>
        <v>5020823.3767739888</v>
      </c>
      <c r="J29" s="90"/>
      <c r="K29" s="88">
        <f>'9.3.2 - Restating'!F91</f>
        <v>22190023.084799994</v>
      </c>
      <c r="L29" s="91">
        <f t="shared" ref="L29:L31" si="65">+D29*K29</f>
        <v>5020823.3767739888</v>
      </c>
      <c r="M29" s="87"/>
      <c r="N29" s="88">
        <f t="shared" ref="N29:N31" si="66">+Q29-K29</f>
        <v>2809812.8886688538</v>
      </c>
      <c r="O29" s="92">
        <f t="shared" ref="O29:O31" si="67">N29*$D29</f>
        <v>635762.03512167663</v>
      </c>
      <c r="P29" s="93"/>
      <c r="Q29" s="88">
        <f t="shared" ref="Q29:Q31" si="68">AC29-SUM(T29,W29,Z29)</f>
        <v>24999835.973468848</v>
      </c>
      <c r="R29" s="92">
        <f t="shared" ref="R29:R31" si="69">Q29*$D29</f>
        <v>5656585.4118956653</v>
      </c>
      <c r="S29" s="93"/>
      <c r="T29" s="88">
        <f>AC29-'9.5.1 - QFs'!F81</f>
        <v>0</v>
      </c>
      <c r="U29" s="92">
        <f t="shared" ref="U29:U31" si="70">T29*$D29</f>
        <v>0</v>
      </c>
      <c r="V29" s="93"/>
      <c r="W29" s="88">
        <f>AC29-'9.6.1 - ECA Sale'!F90</f>
        <v>0</v>
      </c>
      <c r="X29" s="92">
        <f t="shared" ref="X29:X31" si="71">W29*$D29</f>
        <v>0</v>
      </c>
      <c r="Y29" s="93"/>
      <c r="Z29" s="88">
        <f>AC29-'9.6.1 - ID P2P'!F90</f>
        <v>0</v>
      </c>
      <c r="AA29" s="92">
        <f t="shared" ref="AA29:AA31" si="72">Z29*$D29</f>
        <v>0</v>
      </c>
      <c r="AB29" s="93"/>
      <c r="AC29" s="94">
        <f>'9.8.1 Pro Forma Direct'!$F$90</f>
        <v>24999835.973468848</v>
      </c>
      <c r="AD29" s="91">
        <f>D29*AC29</f>
        <v>5656585.4118956653</v>
      </c>
      <c r="AE29" s="96"/>
      <c r="AF29" s="228">
        <f>'9.9.1 - Wind Reserve'!$F$90-$AC29</f>
        <v>0</v>
      </c>
      <c r="AG29" s="229">
        <f t="shared" ref="AG29:AG31" si="73">AF29*$D29</f>
        <v>0</v>
      </c>
      <c r="AH29" s="230"/>
      <c r="AI29" s="228">
        <f>'9.10.1 - Hydro Median'!$F$90-$AC29</f>
        <v>0</v>
      </c>
      <c r="AJ29" s="231">
        <f t="shared" ref="AJ29:AJ31" si="74">AI29*$D29</f>
        <v>0</v>
      </c>
      <c r="AK29" s="230"/>
      <c r="AL29" s="228">
        <f>'9.11.1 - Coal Heat Rate'!$F$90-$AC29</f>
        <v>0</v>
      </c>
      <c r="AM29" s="231">
        <f t="shared" ref="AM29:AM31" si="75">AL29*$D29</f>
        <v>0</v>
      </c>
      <c r="AN29" s="230"/>
      <c r="AO29" s="228">
        <f>'9.12.1 - BPA Exchange'!$F$90-$AC29</f>
        <v>0</v>
      </c>
      <c r="AP29" s="231">
        <f t="shared" ref="AP29:AP31" si="76">AO29*$D29</f>
        <v>0</v>
      </c>
      <c r="AQ29" s="230"/>
      <c r="AR29" s="228">
        <f>'9.13.1 - Chehalis Lateral'!$F$90-$AC29</f>
        <v>0</v>
      </c>
      <c r="AS29" s="231">
        <f t="shared" ref="AS29:AS31" si="77">AR29*$D29</f>
        <v>0</v>
      </c>
      <c r="AT29" s="230"/>
      <c r="AU29" s="228">
        <f>'9.14.1 - Stateline Losses'!$F$90-$AC29</f>
        <v>0</v>
      </c>
      <c r="AV29" s="231">
        <f t="shared" ref="AV29:AV31" si="78">AU29*$D29</f>
        <v>0</v>
      </c>
      <c r="AW29" s="230"/>
      <c r="AX29" s="228">
        <f>'9.15.1 - PGE Cove'!$F$90-$AC29</f>
        <v>0</v>
      </c>
      <c r="AY29" s="231">
        <f t="shared" ref="AY29:AY31" si="79">AX29*$D29</f>
        <v>0</v>
      </c>
      <c r="AZ29" s="230"/>
      <c r="BA29" s="228">
        <f>'9.16.1 - Butter Creek'!$F$90-$AC29</f>
        <v>0</v>
      </c>
      <c r="BB29" s="231">
        <f t="shared" ref="BB29:BB31" si="80">BA29*$D29</f>
        <v>0</v>
      </c>
      <c r="BC29" s="230"/>
      <c r="BD29" s="228">
        <f>'9.17.1 - Small QF'!$F$90-$AC29</f>
        <v>0</v>
      </c>
      <c r="BE29" s="231">
        <f t="shared" ref="BE29:BE31" si="81">BD29*$D29</f>
        <v>0</v>
      </c>
      <c r="BF29" s="230"/>
      <c r="BG29" s="228">
        <f>'9.18.1 - BPA PTP'!$F$90-$AC29</f>
        <v>0</v>
      </c>
      <c r="BH29" s="231">
        <f t="shared" ref="BH29:BH31" si="82">BG29*$D29</f>
        <v>0</v>
      </c>
      <c r="BI29" s="230"/>
      <c r="BJ29" s="228">
        <f>'9.19.1 - ID Trans Rate'!$F$90-$AC29</f>
        <v>0</v>
      </c>
      <c r="BK29" s="231">
        <f t="shared" ref="BK29:BK31" si="83">BJ29*$D29</f>
        <v>0</v>
      </c>
      <c r="BL29" s="230"/>
      <c r="BM29" s="228">
        <f>'9.20.1 - DPUD'!$F$90-$AC29</f>
        <v>0</v>
      </c>
      <c r="BN29" s="231">
        <f t="shared" ref="BN29:BN31" si="84">BM29*$D29</f>
        <v>0</v>
      </c>
      <c r="BO29" s="230"/>
      <c r="BP29" s="228">
        <f>'9.21.1 - OFPC'!$F$90-$AC29</f>
        <v>0</v>
      </c>
      <c r="BQ29" s="231">
        <f t="shared" ref="BQ29:BQ31" si="85">BP29*$D29</f>
        <v>0</v>
      </c>
      <c r="BR29" s="230"/>
      <c r="BS29" s="228">
        <f>'9.22.1 - BPA RoD'!$F$90-$AC29</f>
        <v>-568119.56377066672</v>
      </c>
      <c r="BT29" s="231">
        <f t="shared" ref="BT29:BT31" si="86">BS29*$D29</f>
        <v>-128545.51686051633</v>
      </c>
      <c r="BU29" s="230"/>
      <c r="BV29" s="228">
        <f>'9.23.1 - Coal Cost'!$F$90-$AC29</f>
        <v>0</v>
      </c>
      <c r="BW29" s="231">
        <f t="shared" ref="BW29:BW31" si="87">BV29*$D29</f>
        <v>0</v>
      </c>
      <c r="BX29" s="96"/>
      <c r="BY29" s="94">
        <f>'9.24.1 - P50 Wind'!$F$82-$AC29</f>
        <v>0</v>
      </c>
      <c r="BZ29" s="91">
        <f t="shared" ref="BZ29:BZ31" si="88">BY29*$D29</f>
        <v>0</v>
      </c>
      <c r="CA29" s="96"/>
      <c r="CB29" s="94">
        <f t="shared" ref="CB29:CB31" si="89">CH29-SUM(BY29,BV29,BS29,BP29,BM29,BJ29,BG29,BD29,BA29,AX29,AU29,AR29,AO29,AL29,AI29,AF29,AC29)</f>
        <v>0</v>
      </c>
      <c r="CC29" s="91">
        <f t="shared" ref="CC29:CC31" si="90">CB29*$D29</f>
        <v>0</v>
      </c>
      <c r="CD29" s="96"/>
      <c r="CE29" s="94">
        <f t="shared" ref="CE29:CE31" si="91">SUM(BY29,CB29,BV29,BS29,BP29,BM29,BJ29,BG29,BD29,BA29,AX29,AU29,AR29,AO29,AL29,AI29,AF29)</f>
        <v>-568119.56377066672</v>
      </c>
      <c r="CF29" s="91">
        <f t="shared" ref="CF29:CF31" si="92">CE29*$D29</f>
        <v>-128545.51686051633</v>
      </c>
      <c r="CG29" s="96"/>
      <c r="CH29" s="94">
        <f>'9.26.1 - Pro Forma Rebuttal'!F81</f>
        <v>24431716.409698181</v>
      </c>
      <c r="CI29" s="91">
        <f>D29*CH29</f>
        <v>5528039.8950351486</v>
      </c>
      <c r="CJ29" s="96"/>
    </row>
    <row r="30" spans="1:88">
      <c r="A30" s="86" t="s">
        <v>156</v>
      </c>
      <c r="B30" s="87" t="s">
        <v>155</v>
      </c>
      <c r="C30" s="53" t="s">
        <v>140</v>
      </c>
      <c r="D30" s="284">
        <v>0.2262649010137</v>
      </c>
      <c r="E30" s="88">
        <f>'9.2.1 - Per Books'!I85</f>
        <v>106273125.68000001</v>
      </c>
      <c r="F30" s="91">
        <f t="shared" si="62"/>
        <v>24045878.2624017</v>
      </c>
      <c r="G30" s="87"/>
      <c r="H30" s="88">
        <f t="shared" si="63"/>
        <v>-23133516.764799997</v>
      </c>
      <c r="I30" s="92">
        <f t="shared" si="64"/>
        <v>-5234302.8808862409</v>
      </c>
      <c r="J30" s="90"/>
      <c r="K30" s="88">
        <f>'9.3.2 - Restating'!I95</f>
        <v>83139608.91520001</v>
      </c>
      <c r="L30" s="91">
        <f t="shared" si="65"/>
        <v>18811575.381515462</v>
      </c>
      <c r="M30" s="87"/>
      <c r="N30" s="88">
        <f t="shared" si="66"/>
        <v>-928807.88866885006</v>
      </c>
      <c r="O30" s="92">
        <f t="shared" si="67"/>
        <v>-210156.62499040106</v>
      </c>
      <c r="P30" s="93"/>
      <c r="Q30" s="88">
        <f t="shared" si="68"/>
        <v>82210801.02653116</v>
      </c>
      <c r="R30" s="92">
        <f t="shared" si="69"/>
        <v>18601418.756525058</v>
      </c>
      <c r="S30" s="93"/>
      <c r="T30" s="88">
        <f>AC30-'9.5.1 - QFs'!I85</f>
        <v>0</v>
      </c>
      <c r="U30" s="92">
        <f t="shared" si="70"/>
        <v>0</v>
      </c>
      <c r="V30" s="93"/>
      <c r="W30" s="88">
        <f>AC30-'9.6.1 - ECA Sale'!I85</f>
        <v>0</v>
      </c>
      <c r="X30" s="92">
        <f t="shared" si="71"/>
        <v>0</v>
      </c>
      <c r="Y30" s="93"/>
      <c r="Z30" s="88">
        <f>AC30-'9.6.1 - ID P2P'!I90</f>
        <v>2132040</v>
      </c>
      <c r="AA30" s="92">
        <f t="shared" si="72"/>
        <v>482405.81955724896</v>
      </c>
      <c r="AB30" s="93"/>
      <c r="AC30" s="94">
        <f>'9.8.1 Pro Forma Direct'!$I$90</f>
        <v>84342841.02653116</v>
      </c>
      <c r="AD30" s="91">
        <f>D30*AC30</f>
        <v>19083824.576082308</v>
      </c>
      <c r="AE30" s="96"/>
      <c r="AF30" s="228">
        <f>'9.9.1 - Wind Reserve'!$I$90-$AC30</f>
        <v>0</v>
      </c>
      <c r="AG30" s="229">
        <f t="shared" si="73"/>
        <v>0</v>
      </c>
      <c r="AH30" s="230"/>
      <c r="AI30" s="228">
        <f>'9.10.1 - Hydro Median'!$I$90-$AC30</f>
        <v>0</v>
      </c>
      <c r="AJ30" s="231">
        <f t="shared" si="74"/>
        <v>0</v>
      </c>
      <c r="AK30" s="230"/>
      <c r="AL30" s="228">
        <f>'9.11.1 - Coal Heat Rate'!$I$90-$AC30</f>
        <v>0</v>
      </c>
      <c r="AM30" s="231">
        <f t="shared" si="75"/>
        <v>0</v>
      </c>
      <c r="AN30" s="230"/>
      <c r="AO30" s="228">
        <f>'9.12.1 - BPA Exchange'!$I$90-$AC30</f>
        <v>0</v>
      </c>
      <c r="AP30" s="231">
        <f t="shared" si="76"/>
        <v>0</v>
      </c>
      <c r="AQ30" s="230"/>
      <c r="AR30" s="228">
        <f>'9.13.1 - Chehalis Lateral'!$I$90-$AC30</f>
        <v>0</v>
      </c>
      <c r="AS30" s="231">
        <f t="shared" si="77"/>
        <v>0</v>
      </c>
      <c r="AT30" s="230"/>
      <c r="AU30" s="228">
        <f>'9.14.1 - Stateline Losses'!$I$90-$AC30</f>
        <v>0</v>
      </c>
      <c r="AV30" s="231">
        <f t="shared" si="78"/>
        <v>0</v>
      </c>
      <c r="AW30" s="230"/>
      <c r="AX30" s="228">
        <f>'9.15.1 - PGE Cove'!$I$90-$AC30</f>
        <v>0</v>
      </c>
      <c r="AY30" s="231">
        <f t="shared" si="79"/>
        <v>0</v>
      </c>
      <c r="AZ30" s="230"/>
      <c r="BA30" s="228">
        <f>'9.16.1 - Butter Creek'!$I$90-$AC30</f>
        <v>0</v>
      </c>
      <c r="BB30" s="231">
        <f t="shared" si="80"/>
        <v>0</v>
      </c>
      <c r="BC30" s="230"/>
      <c r="BD30" s="228">
        <f>'9.17.1 - Small QF'!$I$90-$AC30</f>
        <v>0</v>
      </c>
      <c r="BE30" s="231">
        <f t="shared" si="81"/>
        <v>0</v>
      </c>
      <c r="BF30" s="230"/>
      <c r="BG30" s="228">
        <f>'9.18.1 - BPA PTP'!$I$90-$AC30</f>
        <v>565440</v>
      </c>
      <c r="BH30" s="231">
        <f t="shared" si="82"/>
        <v>127939.22562918653</v>
      </c>
      <c r="BI30" s="230"/>
      <c r="BJ30" s="228">
        <f>'9.19.1 - ID Trans Rate'!$I$90-$AC30</f>
        <v>300000</v>
      </c>
      <c r="BK30" s="231">
        <f t="shared" si="83"/>
        <v>67879.47030411</v>
      </c>
      <c r="BL30" s="230"/>
      <c r="BM30" s="228">
        <f>'9.20.1 - DPUD'!$I$90-$AC30</f>
        <v>0</v>
      </c>
      <c r="BN30" s="231">
        <f t="shared" si="84"/>
        <v>0</v>
      </c>
      <c r="BO30" s="230"/>
      <c r="BP30" s="228">
        <f>'9.21.1 - OFPC'!$I$90-$AC30</f>
        <v>0</v>
      </c>
      <c r="BQ30" s="231">
        <f t="shared" si="85"/>
        <v>0</v>
      </c>
      <c r="BR30" s="230"/>
      <c r="BS30" s="228">
        <f>'9.22.1 - BPA RoD'!$I$90-$AC30</f>
        <v>-1367489.4362293482</v>
      </c>
      <c r="BT30" s="231">
        <f t="shared" si="86"/>
        <v>-309414.86192571389</v>
      </c>
      <c r="BU30" s="230"/>
      <c r="BV30" s="228">
        <f>'9.23.1 - Coal Cost'!$I$90-$AC30</f>
        <v>0</v>
      </c>
      <c r="BW30" s="231">
        <f t="shared" si="87"/>
        <v>0</v>
      </c>
      <c r="BX30" s="96"/>
      <c r="BY30" s="94">
        <f>'9.24.1 - P50 Wind'!$I$82-$AC30</f>
        <v>0</v>
      </c>
      <c r="BZ30" s="91">
        <f t="shared" si="88"/>
        <v>0</v>
      </c>
      <c r="CA30" s="96"/>
      <c r="CB30" s="94">
        <f t="shared" si="89"/>
        <v>-16128</v>
      </c>
      <c r="CC30" s="91">
        <f t="shared" si="90"/>
        <v>-3649.2003235489537</v>
      </c>
      <c r="CD30" s="96"/>
      <c r="CE30" s="94">
        <f t="shared" si="91"/>
        <v>-518177.43622934818</v>
      </c>
      <c r="CF30" s="91">
        <f t="shared" si="92"/>
        <v>-117245.36631596631</v>
      </c>
      <c r="CG30" s="96"/>
      <c r="CH30" s="94">
        <f>'9.26.1 - Pro Forma Rebuttal'!I85</f>
        <v>83824663.590301812</v>
      </c>
      <c r="CI30" s="91">
        <f>D30*CH30</f>
        <v>18966579.209766343</v>
      </c>
      <c r="CJ30" s="96"/>
    </row>
    <row r="31" spans="1:88">
      <c r="A31" s="86" t="s">
        <v>157</v>
      </c>
      <c r="B31" s="87" t="s">
        <v>155</v>
      </c>
      <c r="C31" s="53" t="s">
        <v>143</v>
      </c>
      <c r="D31" s="284">
        <v>0.22648067236840891</v>
      </c>
      <c r="E31" s="88">
        <f>'9.2.1 - Per Books'!H90</f>
        <v>0</v>
      </c>
      <c r="F31" s="91">
        <f t="shared" si="62"/>
        <v>0</v>
      </c>
      <c r="G31" s="87"/>
      <c r="H31" s="88">
        <f t="shared" si="63"/>
        <v>0</v>
      </c>
      <c r="I31" s="92">
        <f t="shared" si="64"/>
        <v>0</v>
      </c>
      <c r="J31" s="90"/>
      <c r="K31" s="88">
        <v>0</v>
      </c>
      <c r="L31" s="91">
        <f t="shared" si="65"/>
        <v>0</v>
      </c>
      <c r="M31" s="87"/>
      <c r="N31" s="88">
        <f t="shared" si="66"/>
        <v>0</v>
      </c>
      <c r="O31" s="92">
        <f t="shared" si="67"/>
        <v>0</v>
      </c>
      <c r="P31" s="105"/>
      <c r="Q31" s="88">
        <f t="shared" si="68"/>
        <v>0</v>
      </c>
      <c r="R31" s="92">
        <f t="shared" si="69"/>
        <v>0</v>
      </c>
      <c r="S31" s="105"/>
      <c r="T31" s="88">
        <f>AC31-0</f>
        <v>0</v>
      </c>
      <c r="U31" s="92">
        <f t="shared" si="70"/>
        <v>0</v>
      </c>
      <c r="V31" s="105"/>
      <c r="W31" s="88">
        <f>AC31-0</f>
        <v>0</v>
      </c>
      <c r="X31" s="92">
        <f t="shared" si="71"/>
        <v>0</v>
      </c>
      <c r="Y31" s="105"/>
      <c r="Z31" s="88">
        <f>AC31-0</f>
        <v>0</v>
      </c>
      <c r="AA31" s="92">
        <f t="shared" si="72"/>
        <v>0</v>
      </c>
      <c r="AB31" s="105"/>
      <c r="AC31" s="94">
        <v>0</v>
      </c>
      <c r="AD31" s="91">
        <f>D31*AC31</f>
        <v>0</v>
      </c>
      <c r="AE31" s="106"/>
      <c r="AF31" s="228">
        <v>0</v>
      </c>
      <c r="AG31" s="229">
        <f t="shared" si="73"/>
        <v>0</v>
      </c>
      <c r="AH31" s="237"/>
      <c r="AI31" s="228">
        <v>0</v>
      </c>
      <c r="AJ31" s="231">
        <f t="shared" si="74"/>
        <v>0</v>
      </c>
      <c r="AK31" s="237"/>
      <c r="AL31" s="228">
        <v>0</v>
      </c>
      <c r="AM31" s="231">
        <f t="shared" si="75"/>
        <v>0</v>
      </c>
      <c r="AN31" s="237"/>
      <c r="AO31" s="228">
        <v>0</v>
      </c>
      <c r="AP31" s="231">
        <f t="shared" si="76"/>
        <v>0</v>
      </c>
      <c r="AQ31" s="237"/>
      <c r="AR31" s="228">
        <v>0</v>
      </c>
      <c r="AS31" s="231">
        <f t="shared" si="77"/>
        <v>0</v>
      </c>
      <c r="AT31" s="237"/>
      <c r="AU31" s="228">
        <v>0</v>
      </c>
      <c r="AV31" s="231">
        <f t="shared" si="78"/>
        <v>0</v>
      </c>
      <c r="AW31" s="237"/>
      <c r="AX31" s="228">
        <v>0</v>
      </c>
      <c r="AY31" s="231">
        <f t="shared" si="79"/>
        <v>0</v>
      </c>
      <c r="AZ31" s="237"/>
      <c r="BA31" s="228">
        <v>0</v>
      </c>
      <c r="BB31" s="231">
        <f t="shared" si="80"/>
        <v>0</v>
      </c>
      <c r="BC31" s="237"/>
      <c r="BD31" s="228">
        <v>0</v>
      </c>
      <c r="BE31" s="231">
        <f t="shared" si="81"/>
        <v>0</v>
      </c>
      <c r="BF31" s="237"/>
      <c r="BG31" s="228">
        <v>0</v>
      </c>
      <c r="BH31" s="231">
        <f t="shared" si="82"/>
        <v>0</v>
      </c>
      <c r="BI31" s="237"/>
      <c r="BJ31" s="228">
        <v>0</v>
      </c>
      <c r="BK31" s="231">
        <f t="shared" si="83"/>
        <v>0</v>
      </c>
      <c r="BL31" s="237"/>
      <c r="BM31" s="228">
        <v>0</v>
      </c>
      <c r="BN31" s="231">
        <f t="shared" si="84"/>
        <v>0</v>
      </c>
      <c r="BO31" s="237"/>
      <c r="BP31" s="228">
        <v>0</v>
      </c>
      <c r="BQ31" s="231">
        <f t="shared" si="85"/>
        <v>0</v>
      </c>
      <c r="BR31" s="237"/>
      <c r="BS31" s="228">
        <v>0</v>
      </c>
      <c r="BT31" s="231">
        <f t="shared" si="86"/>
        <v>0</v>
      </c>
      <c r="BU31" s="237"/>
      <c r="BV31" s="228">
        <v>0</v>
      </c>
      <c r="BW31" s="231">
        <f t="shared" si="87"/>
        <v>0</v>
      </c>
      <c r="BX31" s="106"/>
      <c r="BY31" s="94">
        <v>0</v>
      </c>
      <c r="BZ31" s="91">
        <f t="shared" si="88"/>
        <v>0</v>
      </c>
      <c r="CA31" s="106"/>
      <c r="CB31" s="94">
        <f t="shared" si="89"/>
        <v>0</v>
      </c>
      <c r="CC31" s="91">
        <f t="shared" si="90"/>
        <v>0</v>
      </c>
      <c r="CD31" s="106"/>
      <c r="CE31" s="94">
        <f t="shared" si="91"/>
        <v>0</v>
      </c>
      <c r="CF31" s="91">
        <f t="shared" si="92"/>
        <v>0</v>
      </c>
      <c r="CG31" s="106"/>
      <c r="CH31" s="94">
        <f>AC31</f>
        <v>0</v>
      </c>
      <c r="CI31" s="91">
        <f>D31*CH31</f>
        <v>0</v>
      </c>
      <c r="CJ31" s="106"/>
    </row>
    <row r="32" spans="1:88">
      <c r="A32" s="54" t="s">
        <v>158</v>
      </c>
      <c r="D32" s="293"/>
      <c r="E32" s="98">
        <f>SUM(E29:E31)</f>
        <v>106273125.68000001</v>
      </c>
      <c r="F32" s="99">
        <f>SUM(F29:F31)</f>
        <v>24045878.2624017</v>
      </c>
      <c r="G32" s="100"/>
      <c r="H32" s="98">
        <f>SUM(H29:H31)</f>
        <v>-943493.68000000343</v>
      </c>
      <c r="I32" s="99">
        <f>SUM(I29:I31)</f>
        <v>-213479.50411225203</v>
      </c>
      <c r="J32" s="100"/>
      <c r="K32" s="98">
        <f>SUM(K29:K31)</f>
        <v>105329632</v>
      </c>
      <c r="L32" s="99">
        <f>SUM(L29:L31)</f>
        <v>23832398.758289449</v>
      </c>
      <c r="M32" s="100"/>
      <c r="N32" s="98">
        <f>SUM(N29:N31)</f>
        <v>1881005.0000000037</v>
      </c>
      <c r="O32" s="99">
        <f>SUM(O29:O31)</f>
        <v>425605.41013127554</v>
      </c>
      <c r="P32" s="101"/>
      <c r="Q32" s="98">
        <f>SUM(Q29:Q31)</f>
        <v>107210637</v>
      </c>
      <c r="R32" s="99">
        <f>SUM(R29:R31)</f>
        <v>24258004.168420725</v>
      </c>
      <c r="S32" s="101"/>
      <c r="T32" s="98">
        <f>SUM(T29:T31)</f>
        <v>0</v>
      </c>
      <c r="U32" s="99">
        <f>SUM(U29:U31)</f>
        <v>0</v>
      </c>
      <c r="V32" s="101"/>
      <c r="W32" s="98">
        <f>SUM(W29:W31)</f>
        <v>0</v>
      </c>
      <c r="X32" s="99">
        <f>SUM(X29:X31)</f>
        <v>0</v>
      </c>
      <c r="Y32" s="101"/>
      <c r="Z32" s="98">
        <f>SUM(Z29:Z31)</f>
        <v>2132040</v>
      </c>
      <c r="AA32" s="99">
        <f>SUM(AA29:AA31)</f>
        <v>482405.81955724896</v>
      </c>
      <c r="AB32" s="101"/>
      <c r="AC32" s="102">
        <f>SUM(AC29:AC31)</f>
        <v>109342677</v>
      </c>
      <c r="AD32" s="99">
        <f>SUM(AD29:AD31)</f>
        <v>24740409.987977974</v>
      </c>
      <c r="AE32" s="100"/>
      <c r="AF32" s="232">
        <f>SUM(AF29:AF31)</f>
        <v>0</v>
      </c>
      <c r="AG32" s="233">
        <f>SUM(AG29:AG31)</f>
        <v>0</v>
      </c>
      <c r="AH32" s="234"/>
      <c r="AI32" s="232">
        <f>SUM(AI29:AI31)</f>
        <v>0</v>
      </c>
      <c r="AJ32" s="233">
        <f>SUM(AJ29:AJ31)</f>
        <v>0</v>
      </c>
      <c r="AK32" s="234"/>
      <c r="AL32" s="232">
        <f>SUM(AL29:AL31)</f>
        <v>0</v>
      </c>
      <c r="AM32" s="233">
        <f>SUM(AM29:AM31)</f>
        <v>0</v>
      </c>
      <c r="AN32" s="234"/>
      <c r="AO32" s="232">
        <f>SUM(AO29:AO31)</f>
        <v>0</v>
      </c>
      <c r="AP32" s="233">
        <f>SUM(AP29:AP31)</f>
        <v>0</v>
      </c>
      <c r="AQ32" s="234"/>
      <c r="AR32" s="232">
        <f>SUM(AR29:AR31)</f>
        <v>0</v>
      </c>
      <c r="AS32" s="233">
        <f>SUM(AS29:AS31)</f>
        <v>0</v>
      </c>
      <c r="AT32" s="234"/>
      <c r="AU32" s="232">
        <f>SUM(AU29:AU31)</f>
        <v>0</v>
      </c>
      <c r="AV32" s="233">
        <f>SUM(AV29:AV31)</f>
        <v>0</v>
      </c>
      <c r="AW32" s="234"/>
      <c r="AX32" s="232">
        <f>SUM(AX29:AX31)</f>
        <v>0</v>
      </c>
      <c r="AY32" s="233">
        <f>SUM(AY29:AY31)</f>
        <v>0</v>
      </c>
      <c r="AZ32" s="234"/>
      <c r="BA32" s="232">
        <f>SUM(BA29:BA31)</f>
        <v>0</v>
      </c>
      <c r="BB32" s="233">
        <f>SUM(BB29:BB31)</f>
        <v>0</v>
      </c>
      <c r="BC32" s="234"/>
      <c r="BD32" s="232">
        <f>SUM(BD29:BD31)</f>
        <v>0</v>
      </c>
      <c r="BE32" s="233">
        <f>SUM(BE29:BE31)</f>
        <v>0</v>
      </c>
      <c r="BF32" s="234"/>
      <c r="BG32" s="232">
        <f>SUM(BG29:BG31)</f>
        <v>565440</v>
      </c>
      <c r="BH32" s="233">
        <f>SUM(BH29:BH31)</f>
        <v>127939.22562918653</v>
      </c>
      <c r="BI32" s="234"/>
      <c r="BJ32" s="232">
        <f>SUM(BJ29:BJ31)</f>
        <v>300000</v>
      </c>
      <c r="BK32" s="233">
        <f>SUM(BK29:BK31)</f>
        <v>67879.47030411</v>
      </c>
      <c r="BL32" s="234"/>
      <c r="BM32" s="232">
        <f>SUM(BM29:BM31)</f>
        <v>0</v>
      </c>
      <c r="BN32" s="233">
        <f>SUM(BN29:BN31)</f>
        <v>0</v>
      </c>
      <c r="BO32" s="234"/>
      <c r="BP32" s="232">
        <f>SUM(BP29:BP31)</f>
        <v>0</v>
      </c>
      <c r="BQ32" s="233">
        <f>SUM(BQ29:BQ31)</f>
        <v>0</v>
      </c>
      <c r="BR32" s="234"/>
      <c r="BS32" s="232">
        <f>SUM(BS29:BS31)</f>
        <v>-1935609.0000000149</v>
      </c>
      <c r="BT32" s="233">
        <f>SUM(BT29:BT31)</f>
        <v>-437960.37878623023</v>
      </c>
      <c r="BU32" s="234"/>
      <c r="BV32" s="232">
        <f>SUM(BV29:BV31)</f>
        <v>0</v>
      </c>
      <c r="BW32" s="233">
        <f>SUM(BW29:BW31)</f>
        <v>0</v>
      </c>
      <c r="BX32" s="100"/>
      <c r="BY32" s="102">
        <f>SUM(BY29:BY31)</f>
        <v>0</v>
      </c>
      <c r="BZ32" s="99">
        <f>SUM(BZ29:BZ31)</f>
        <v>0</v>
      </c>
      <c r="CA32" s="100"/>
      <c r="CB32" s="102">
        <f>SUM(CB29:CB31)</f>
        <v>-16128</v>
      </c>
      <c r="CC32" s="99">
        <f>SUM(CC29:CC31)</f>
        <v>-3649.2003235489537</v>
      </c>
      <c r="CD32" s="100"/>
      <c r="CE32" s="102">
        <f>SUM(CE29:CE31)</f>
        <v>-1086297.0000000149</v>
      </c>
      <c r="CF32" s="99">
        <f>SUM(CF29:CF31)</f>
        <v>-245790.88317648263</v>
      </c>
      <c r="CG32" s="100"/>
      <c r="CH32" s="102">
        <f>SUM(CH29:CH31)</f>
        <v>108256380</v>
      </c>
      <c r="CI32" s="99">
        <f>SUM(CI29:CI31)</f>
        <v>24494619.104801491</v>
      </c>
      <c r="CJ32" s="100"/>
    </row>
    <row r="33" spans="1:91">
      <c r="D33" s="293"/>
      <c r="E33" s="79"/>
      <c r="F33" s="80"/>
      <c r="H33" s="79"/>
      <c r="I33" s="103"/>
      <c r="J33" s="81"/>
      <c r="K33" s="79"/>
      <c r="L33" s="80"/>
      <c r="N33" s="79"/>
      <c r="O33" s="103"/>
      <c r="P33" s="93"/>
      <c r="Q33" s="79"/>
      <c r="R33" s="103"/>
      <c r="S33" s="93"/>
      <c r="T33" s="79"/>
      <c r="U33" s="103"/>
      <c r="V33" s="93"/>
      <c r="W33" s="79"/>
      <c r="X33" s="103"/>
      <c r="Y33" s="93"/>
      <c r="Z33" s="79"/>
      <c r="AA33" s="103"/>
      <c r="AB33" s="93"/>
      <c r="AC33" s="83"/>
      <c r="AD33" s="80"/>
      <c r="AE33" s="96"/>
      <c r="AF33" s="235"/>
      <c r="AG33" s="236"/>
      <c r="AH33" s="230"/>
      <c r="AI33" s="235"/>
      <c r="AJ33" s="236"/>
      <c r="AK33" s="230"/>
      <c r="AL33" s="235"/>
      <c r="AM33" s="236"/>
      <c r="AN33" s="230"/>
      <c r="AO33" s="235"/>
      <c r="AP33" s="236"/>
      <c r="AQ33" s="230"/>
      <c r="AR33" s="235"/>
      <c r="AS33" s="236"/>
      <c r="AT33" s="230"/>
      <c r="AU33" s="235"/>
      <c r="AV33" s="236"/>
      <c r="AW33" s="230"/>
      <c r="AX33" s="235"/>
      <c r="AY33" s="236"/>
      <c r="AZ33" s="230"/>
      <c r="BA33" s="235"/>
      <c r="BB33" s="236"/>
      <c r="BC33" s="230"/>
      <c r="BD33" s="235"/>
      <c r="BE33" s="236"/>
      <c r="BF33" s="230"/>
      <c r="BG33" s="235"/>
      <c r="BH33" s="236"/>
      <c r="BI33" s="230"/>
      <c r="BJ33" s="235"/>
      <c r="BK33" s="236"/>
      <c r="BL33" s="230"/>
      <c r="BM33" s="235"/>
      <c r="BN33" s="236"/>
      <c r="BO33" s="230"/>
      <c r="BP33" s="235"/>
      <c r="BQ33" s="236"/>
      <c r="BR33" s="230"/>
      <c r="BS33" s="235"/>
      <c r="BT33" s="236"/>
      <c r="BU33" s="230"/>
      <c r="BV33" s="235"/>
      <c r="BW33" s="236"/>
      <c r="BX33" s="96"/>
      <c r="BY33" s="83"/>
      <c r="BZ33" s="80"/>
      <c r="CA33" s="96"/>
      <c r="CB33" s="83"/>
      <c r="CC33" s="80"/>
      <c r="CD33" s="96"/>
      <c r="CE33" s="83"/>
      <c r="CF33" s="80"/>
      <c r="CG33" s="96"/>
      <c r="CH33" s="83"/>
      <c r="CI33" s="80"/>
      <c r="CJ33" s="96"/>
    </row>
    <row r="34" spans="1:91">
      <c r="A34" s="54" t="s">
        <v>159</v>
      </c>
      <c r="D34" s="293"/>
      <c r="E34" s="79"/>
      <c r="F34" s="80"/>
      <c r="H34" s="79"/>
      <c r="I34" s="103"/>
      <c r="J34" s="81"/>
      <c r="K34" s="79"/>
      <c r="L34" s="80"/>
      <c r="N34" s="79"/>
      <c r="O34" s="103"/>
      <c r="P34" s="93"/>
      <c r="Q34" s="79"/>
      <c r="R34" s="103"/>
      <c r="S34" s="93"/>
      <c r="T34" s="79"/>
      <c r="U34" s="103"/>
      <c r="V34" s="93"/>
      <c r="W34" s="79"/>
      <c r="X34" s="103"/>
      <c r="Y34" s="93"/>
      <c r="Z34" s="79"/>
      <c r="AA34" s="103"/>
      <c r="AB34" s="93"/>
      <c r="AC34" s="83"/>
      <c r="AD34" s="80"/>
      <c r="AE34" s="96"/>
      <c r="AF34" s="235"/>
      <c r="AG34" s="236"/>
      <c r="AH34" s="230"/>
      <c r="AI34" s="235"/>
      <c r="AJ34" s="236"/>
      <c r="AK34" s="230"/>
      <c r="AL34" s="235"/>
      <c r="AM34" s="236"/>
      <c r="AN34" s="230"/>
      <c r="AO34" s="235"/>
      <c r="AP34" s="236"/>
      <c r="AQ34" s="230"/>
      <c r="AR34" s="235"/>
      <c r="AS34" s="236"/>
      <c r="AT34" s="230"/>
      <c r="AU34" s="235"/>
      <c r="AV34" s="236"/>
      <c r="AW34" s="230"/>
      <c r="AX34" s="235"/>
      <c r="AY34" s="236"/>
      <c r="AZ34" s="230"/>
      <c r="BA34" s="235"/>
      <c r="BB34" s="236"/>
      <c r="BC34" s="230"/>
      <c r="BD34" s="235"/>
      <c r="BE34" s="236"/>
      <c r="BF34" s="230"/>
      <c r="BG34" s="235"/>
      <c r="BH34" s="236"/>
      <c r="BI34" s="230"/>
      <c r="BJ34" s="235"/>
      <c r="BK34" s="236"/>
      <c r="BL34" s="230"/>
      <c r="BM34" s="235"/>
      <c r="BN34" s="236"/>
      <c r="BO34" s="230"/>
      <c r="BP34" s="235"/>
      <c r="BQ34" s="236"/>
      <c r="BR34" s="230"/>
      <c r="BS34" s="235"/>
      <c r="BT34" s="236"/>
      <c r="BU34" s="230"/>
      <c r="BV34" s="235"/>
      <c r="BW34" s="236"/>
      <c r="BX34" s="96"/>
      <c r="BY34" s="83"/>
      <c r="BZ34" s="80"/>
      <c r="CA34" s="96"/>
      <c r="CB34" s="83"/>
      <c r="CC34" s="80"/>
      <c r="CD34" s="96"/>
      <c r="CE34" s="83"/>
      <c r="CF34" s="80"/>
      <c r="CG34" s="96"/>
      <c r="CH34" s="83"/>
      <c r="CI34" s="80"/>
      <c r="CJ34" s="96"/>
    </row>
    <row r="35" spans="1:91">
      <c r="A35" s="86" t="s">
        <v>160</v>
      </c>
      <c r="B35" s="87" t="s">
        <v>161</v>
      </c>
      <c r="C35" s="53" t="s">
        <v>143</v>
      </c>
      <c r="D35" s="284">
        <v>0.22648067236840891</v>
      </c>
      <c r="E35" s="88">
        <f>'9.2.1 - Per Books'!D95+'9.2.1 - Per Books'!D106</f>
        <v>193301244.15000001</v>
      </c>
      <c r="F35" s="91">
        <f t="shared" ref="F35:F36" si="93">E35*D35</f>
        <v>43778995.744741969</v>
      </c>
      <c r="G35" s="87"/>
      <c r="H35" s="88">
        <f>+K35-E35</f>
        <v>-13605533.289999992</v>
      </c>
      <c r="I35" s="92">
        <f t="shared" ref="I35:I36" si="94">H35*$D35</f>
        <v>-3081390.3274499686</v>
      </c>
      <c r="J35" s="90"/>
      <c r="K35" s="88">
        <f>'9.3.2 - Restating'!D105+'9.3.2 - Restating'!D116+'9.3.2 - Restating'!D122</f>
        <v>179695710.86000001</v>
      </c>
      <c r="L35" s="91">
        <f t="shared" ref="L35:L36" si="95">+D35*K35</f>
        <v>40697605.417291999</v>
      </c>
      <c r="M35" s="87"/>
      <c r="N35" s="88">
        <f t="shared" ref="N35:N36" si="96">+Q35-K35</f>
        <v>30095787.210000008</v>
      </c>
      <c r="O35" s="92">
        <f t="shared" ref="O35:O36" si="97">N35*$D35</f>
        <v>6816114.1227773633</v>
      </c>
      <c r="P35" s="93"/>
      <c r="Q35" s="88">
        <f t="shared" ref="Q35:Q36" si="98">AC35-SUM(T35,W35,Z35)</f>
        <v>209791498.07000002</v>
      </c>
      <c r="R35" s="92">
        <f t="shared" ref="R35:R36" si="99">Q35*$D35</f>
        <v>47513719.540069364</v>
      </c>
      <c r="S35" s="93"/>
      <c r="T35" s="88">
        <f>AC35-('9.5.1 - QFs'!D95+'9.5.1 - QFs'!D106)</f>
        <v>-4247001.4799999893</v>
      </c>
      <c r="U35" s="92">
        <f t="shared" ref="U35:U36" si="100">T35*$D35</f>
        <v>-961863.75074002531</v>
      </c>
      <c r="V35" s="93"/>
      <c r="W35" s="88">
        <f>AC35-('9.6.1 - ECA Sale'!D95+'9.6.1 - ECA Sale'!D106)</f>
        <v>-4042264.5200000107</v>
      </c>
      <c r="X35" s="92">
        <f t="shared" ref="X35:X36" si="101">W35*$D35</f>
        <v>-915494.78638056607</v>
      </c>
      <c r="Y35" s="93"/>
      <c r="Z35" s="88">
        <f>AC35-('9.6.1 - ID P2P'!D95+'9.6.1 - ID P2P'!D106)</f>
        <v>4794372.0599999726</v>
      </c>
      <c r="AA35" s="92">
        <f t="shared" ref="AA35:AA36" si="102">Z35*$D35</f>
        <v>1085832.6077331074</v>
      </c>
      <c r="AB35" s="93"/>
      <c r="AC35" s="94">
        <f>'9.8.1 Pro Forma Direct'!$D$95+'9.8.1 Pro Forma Direct'!$D$106</f>
        <v>206296604.13</v>
      </c>
      <c r="AD35" s="91">
        <f>D35*AC35</f>
        <v>46722193.610681884</v>
      </c>
      <c r="AE35" s="96"/>
      <c r="AF35" s="228">
        <f>('9.9.1 - Wind Reserve'!$D$95+'9.9.1 - Wind Reserve'!$D$106)-$AC35</f>
        <v>889101.78000000119</v>
      </c>
      <c r="AG35" s="229">
        <f t="shared" ref="AG35:AG36" si="103">AF35*$D35</f>
        <v>201364.36893834945</v>
      </c>
      <c r="AH35" s="230"/>
      <c r="AI35" s="228">
        <f>('9.10.1 - Hydro Median'!$D$95+'9.10.1 - Hydro Median'!$D$106)-$AC35</f>
        <v>-126558.34999999404</v>
      </c>
      <c r="AJ35" s="231">
        <f t="shared" ref="AJ35:AJ36" si="104">AI35*$D35</f>
        <v>-28663.020201835072</v>
      </c>
      <c r="AK35" s="230"/>
      <c r="AL35" s="228">
        <f>('9.11.1 - Coal Heat Rate'!$D$95+'9.11.1 - Coal Heat Rate'!$D$106)-$AC35</f>
        <v>-1338929.0399999917</v>
      </c>
      <c r="AM35" s="231">
        <f t="shared" ref="AM35:AM36" si="105">AL35*$D35</f>
        <v>-303241.5492327864</v>
      </c>
      <c r="AN35" s="230"/>
      <c r="AO35" s="228">
        <f>('9.12.1 - BPA Exchange'!$D$95+'9.12.1 - BPA Exchange'!$D$106)-$AC35</f>
        <v>426115.93000000715</v>
      </c>
      <c r="AP35" s="231">
        <f t="shared" ref="AP35:AP36" si="106">AO35*$D35</f>
        <v>96507.02233329149</v>
      </c>
      <c r="AQ35" s="230"/>
      <c r="AR35" s="228">
        <f>('9.13.1 - Chehalis Lateral'!$D$95+'9.13.1 - Chehalis Lateral'!$D$106)-$AC35</f>
        <v>0</v>
      </c>
      <c r="AS35" s="231">
        <f t="shared" ref="AS35:AS36" si="107">AR35*$D35</f>
        <v>0</v>
      </c>
      <c r="AT35" s="230"/>
      <c r="AU35" s="228">
        <f>('9.14.1 - Stateline Losses'!$D$95+'9.14.1 - Stateline Losses'!$D$106)-$AC35</f>
        <v>149.04000002145767</v>
      </c>
      <c r="AV35" s="231">
        <f t="shared" ref="AV35:AV36" si="108">AU35*$D35</f>
        <v>33.754679414647413</v>
      </c>
      <c r="AW35" s="230"/>
      <c r="AX35" s="228">
        <f>('9.15.1 - PGE Cove'!$D$95+'9.15.1 - PGE Cove'!$D$106)-$AC35</f>
        <v>0</v>
      </c>
      <c r="AY35" s="231">
        <f t="shared" ref="AY35:AY36" si="109">AX35*$D35</f>
        <v>0</v>
      </c>
      <c r="AZ35" s="230"/>
      <c r="BA35" s="228">
        <f>('9.16.1 - Butter Creek'!$D$95+'9.16.1 - Butter Creek'!$D$106)-$AC35</f>
        <v>668107.61000001431</v>
      </c>
      <c r="BB35" s="231">
        <f t="shared" ref="BB35:BB36" si="110">BA35*$D35</f>
        <v>151313.46072725396</v>
      </c>
      <c r="BC35" s="230"/>
      <c r="BD35" s="228">
        <f>('9.17.1 - Small QF'!$D$95+'9.17.1 - Small QF'!$D$106)-$AC35</f>
        <v>-24857.780000001192</v>
      </c>
      <c r="BE35" s="231">
        <f t="shared" ref="BE35:BE36" si="111">BD35*$D35</f>
        <v>-5629.806727986258</v>
      </c>
      <c r="BF35" s="230"/>
      <c r="BG35" s="228">
        <f>('9.18.1 - BPA PTP'!$D$95+'9.18.1 - BPA PTP'!$D$106)-$AC35</f>
        <v>0</v>
      </c>
      <c r="BH35" s="231">
        <f t="shared" ref="BH35:BH36" si="112">BG35*$D35</f>
        <v>0</v>
      </c>
      <c r="BI35" s="230"/>
      <c r="BJ35" s="228">
        <f>('9.19.1 - ID Trans Rate'!$D$95+'9.19.1 - ID Trans Rate'!$D$106)-$AC35</f>
        <v>0</v>
      </c>
      <c r="BK35" s="231">
        <f t="shared" ref="BK35:BK36" si="113">BJ35*$D35</f>
        <v>0</v>
      </c>
      <c r="BL35" s="230"/>
      <c r="BM35" s="228">
        <f>('9.20.1 - DPUD'!$D$95+'9.20.1 - DPUD'!$D$106)-$AC35</f>
        <v>0</v>
      </c>
      <c r="BN35" s="231">
        <f t="shared" ref="BN35:BN36" si="114">BM35*$D35</f>
        <v>0</v>
      </c>
      <c r="BO35" s="230"/>
      <c r="BP35" s="228">
        <f>('9.21.1 - OFPC'!$D$95+'9.21.1 - OFPC'!$D$106)-$AC35</f>
        <v>-2353565.8400000036</v>
      </c>
      <c r="BQ35" s="231">
        <f t="shared" ref="BQ35:BQ36" si="115">BP35*$D35</f>
        <v>-533037.17390651989</v>
      </c>
      <c r="BR35" s="230"/>
      <c r="BS35" s="228">
        <f>('9.22.1 - BPA RoD'!$D$95+'9.22.1 - BPA RoD'!$D$106)-$AC35</f>
        <v>0</v>
      </c>
      <c r="BT35" s="231">
        <f t="shared" ref="BT35:BT36" si="116">BS35*$D35</f>
        <v>0</v>
      </c>
      <c r="BU35" s="230"/>
      <c r="BV35" s="228">
        <f>('9.23.1 - Coal Cost'!$D$95+'9.23.1 - Coal Cost'!$D$106)-$AC35</f>
        <v>186385.19999998808</v>
      </c>
      <c r="BW35" s="231">
        <f t="shared" ref="BW35:BW36" si="117">BV35*$D35</f>
        <v>42212.645415517669</v>
      </c>
      <c r="BX35" s="96"/>
      <c r="BY35" s="94">
        <f>('9.24.1 - P50 Wind'!$D$87+'9.24.1 - P50 Wind'!$D$98)-$AC35</f>
        <v>-426969.69999998808</v>
      </c>
      <c r="BZ35" s="91">
        <f t="shared" ref="BZ35:BZ36" si="118">BY35*$D35</f>
        <v>-96700.384736935142</v>
      </c>
      <c r="CA35" s="96"/>
      <c r="CB35" s="94">
        <f t="shared" ref="CB35:CB36" si="119">CH35-SUM(BY35,BV35,BS35,BP35,BM35,BJ35,BG35,BD35,BA35,AX35,AU35,AR35,AO35,AL35,AI35,AF35,AC35)</f>
        <v>51195.659999936819</v>
      </c>
      <c r="CC35" s="91">
        <f t="shared" ref="CC35:CC36" si="120">CB35*$D35</f>
        <v>11594.827499130148</v>
      </c>
      <c r="CD35" s="96"/>
      <c r="CE35" s="94">
        <f t="shared" ref="CE35:CE36" si="121">SUM(BY35,CB35,BV35,BS35,BP35,BM35,BJ35,BG35,BD35,BA35,AX35,AU35,AR35,AO35,AL35,AI35,AF35)</f>
        <v>-2049825.4900000095</v>
      </c>
      <c r="CF35" s="91">
        <f t="shared" ref="CF35:CF36" si="122">CE35*$D35</f>
        <v>-464245.85521310539</v>
      </c>
      <c r="CG35" s="96"/>
      <c r="CH35" s="94">
        <f>'9.26.1 - Pro Forma Rebuttal'!D95+'9.26.1 - Pro Forma Rebuttal'!D106</f>
        <v>204246778.63999999</v>
      </c>
      <c r="CI35" s="91">
        <f>D35*CH35</f>
        <v>46257947.755468778</v>
      </c>
      <c r="CJ35" s="96"/>
    </row>
    <row r="36" spans="1:91">
      <c r="A36" s="86" t="s">
        <v>162</v>
      </c>
      <c r="B36" s="87" t="s">
        <v>163</v>
      </c>
      <c r="C36" s="53" t="s">
        <v>143</v>
      </c>
      <c r="D36" s="284">
        <v>0.22648067236840891</v>
      </c>
      <c r="E36" s="88">
        <f>'9.2.1 - Per Books'!D97+'9.2.1 - Per Books'!D103</f>
        <v>107632580.51000001</v>
      </c>
      <c r="F36" s="91">
        <f t="shared" si="93"/>
        <v>24376699.202651706</v>
      </c>
      <c r="G36" s="87"/>
      <c r="H36" s="88">
        <f>+K36-E36</f>
        <v>15410191.480000004</v>
      </c>
      <c r="I36" s="92">
        <f t="shared" si="94"/>
        <v>3490110.5277163275</v>
      </c>
      <c r="J36" s="90"/>
      <c r="K36" s="88">
        <f>'9.3.2 - Restating'!D107+'9.3.2 - Restating'!D117</f>
        <v>123042771.99000001</v>
      </c>
      <c r="L36" s="91">
        <f t="shared" si="95"/>
        <v>27866809.730368033</v>
      </c>
      <c r="M36" s="87"/>
      <c r="N36" s="88">
        <f t="shared" si="96"/>
        <v>-25149149.660000011</v>
      </c>
      <c r="O36" s="92">
        <f t="shared" si="97"/>
        <v>-5695796.3244905453</v>
      </c>
      <c r="P36" s="93"/>
      <c r="Q36" s="88">
        <f t="shared" si="98"/>
        <v>97893622.329999998</v>
      </c>
      <c r="R36" s="92">
        <f t="shared" si="99"/>
        <v>22171013.40587749</v>
      </c>
      <c r="S36" s="93"/>
      <c r="T36" s="88">
        <f>AC36-('9.5.1 - QFs'!D97+'9.5.1 - QFs'!D103)</f>
        <v>-1066463.7199999988</v>
      </c>
      <c r="U36" s="92">
        <f t="shared" si="100"/>
        <v>-241533.4203621143</v>
      </c>
      <c r="V36" s="93"/>
      <c r="W36" s="88">
        <f>AC36-('9.6.1 - ECA Sale'!D97+'9.6.1 - ECA Sale'!D103)</f>
        <v>499006.39999999106</v>
      </c>
      <c r="X36" s="92">
        <f t="shared" si="101"/>
        <v>113015.30498813718</v>
      </c>
      <c r="Y36" s="93"/>
      <c r="Z36" s="88">
        <f>AC36-('9.6.1 - ID P2P'!D97+'9.6.1 - ID P2P'!D103)</f>
        <v>-403933.90999999642</v>
      </c>
      <c r="AA36" s="92">
        <f t="shared" si="102"/>
        <v>-91483.22352919956</v>
      </c>
      <c r="AB36" s="93"/>
      <c r="AC36" s="94">
        <f>'9.8.1 Pro Forma Direct'!$D$103+'9.8.1 Pro Forma Direct'!$D$97</f>
        <v>96922231.099999994</v>
      </c>
      <c r="AD36" s="91">
        <f>D36*AC36</f>
        <v>21951012.066974312</v>
      </c>
      <c r="AE36" s="96"/>
      <c r="AF36" s="228">
        <f>('9.9.1 - Wind Reserve'!$D$103+'9.9.1 - Wind Reserve'!$D$97)-$AC36</f>
        <v>525745.62999999523</v>
      </c>
      <c r="AG36" s="229">
        <f t="shared" si="103"/>
        <v>119071.22377715165</v>
      </c>
      <c r="AH36" s="230"/>
      <c r="AI36" s="228">
        <f>('9.10.1 - Hydro Median'!$D$103+'9.10.1 - Hydro Median'!$D$97)-$AC36</f>
        <v>115380.53000000119</v>
      </c>
      <c r="AJ36" s="231">
        <f t="shared" si="104"/>
        <v>26131.460012623644</v>
      </c>
      <c r="AK36" s="230"/>
      <c r="AL36" s="228">
        <f>('9.11.1 - Coal Heat Rate'!$D$103+'9.11.1 - Coal Heat Rate'!$D$97)-$AC36</f>
        <v>0</v>
      </c>
      <c r="AM36" s="231">
        <f t="shared" si="105"/>
        <v>0</v>
      </c>
      <c r="AN36" s="230"/>
      <c r="AO36" s="228">
        <f>('9.12.1 - BPA Exchange'!$D$103+'9.12.1 - BPA Exchange'!$D$97)-$AC36</f>
        <v>47881.740000009537</v>
      </c>
      <c r="AP36" s="231">
        <f t="shared" si="106"/>
        <v>10844.288669371499</v>
      </c>
      <c r="AQ36" s="230"/>
      <c r="AR36" s="228">
        <f>('9.13.1 - Chehalis Lateral'!$D$103+'9.13.1 - Chehalis Lateral'!$D$97)-$AC36</f>
        <v>-53220</v>
      </c>
      <c r="AS36" s="231">
        <f t="shared" si="107"/>
        <v>-12053.301383446722</v>
      </c>
      <c r="AT36" s="230"/>
      <c r="AU36" s="228">
        <f>('9.14.1 - Stateline Losses'!$D$103+'9.14.1 - Stateline Losses'!$D$97)-$AC36</f>
        <v>175.33000001311302</v>
      </c>
      <c r="AV36" s="231">
        <f t="shared" si="108"/>
        <v>39.708856289322981</v>
      </c>
      <c r="AW36" s="230"/>
      <c r="AX36" s="228">
        <f>('9.15.1 - PGE Cove'!$D$103+'9.15.1 - PGE Cove'!$D$97)-$AC36</f>
        <v>0</v>
      </c>
      <c r="AY36" s="231">
        <f t="shared" si="109"/>
        <v>0</v>
      </c>
      <c r="AZ36" s="230"/>
      <c r="BA36" s="228">
        <f>('9.16.1 - Butter Creek'!$D$103+'9.16.1 - Butter Creek'!$D$97)-$AC36</f>
        <v>215537.90999999642</v>
      </c>
      <c r="BB36" s="231">
        <f t="shared" si="110"/>
        <v>48815.170777680796</v>
      </c>
      <c r="BC36" s="230"/>
      <c r="BD36" s="228">
        <f>('9.17.1 - Small QF'!$D$103+'9.17.1 - Small QF'!$D$97)-$AC36</f>
        <v>-11601.949999988079</v>
      </c>
      <c r="BE36" s="231">
        <f t="shared" si="111"/>
        <v>-2627.6174367819617</v>
      </c>
      <c r="BF36" s="230"/>
      <c r="BG36" s="228">
        <f>('9.18.1 - BPA PTP'!$D$103+'9.18.1 - BPA PTP'!$D$97)-$AC36</f>
        <v>0</v>
      </c>
      <c r="BH36" s="231">
        <f t="shared" si="112"/>
        <v>0</v>
      </c>
      <c r="BI36" s="230"/>
      <c r="BJ36" s="228">
        <f>('9.19.1 - ID Trans Rate'!$D$103+'9.19.1 - ID Trans Rate'!$D$97)-$AC36</f>
        <v>0</v>
      </c>
      <c r="BK36" s="231">
        <f t="shared" si="113"/>
        <v>0</v>
      </c>
      <c r="BL36" s="230"/>
      <c r="BM36" s="228">
        <f>('9.20.1 - DPUD'!$D$103+'9.20.1 - DPUD'!$D$97)-$AC36</f>
        <v>0</v>
      </c>
      <c r="BN36" s="231">
        <f t="shared" si="114"/>
        <v>0</v>
      </c>
      <c r="BO36" s="230"/>
      <c r="BP36" s="228">
        <f>('9.21.1 - OFPC'!$D$103+'9.21.1 - OFPC'!$D$97)-$AC36</f>
        <v>87594.640000015497</v>
      </c>
      <c r="BQ36" s="231">
        <f t="shared" si="115"/>
        <v>19838.492963072236</v>
      </c>
      <c r="BR36" s="230"/>
      <c r="BS36" s="228">
        <f>('9.22.1 - BPA RoD'!$D$103+'9.22.1 - BPA RoD'!$D$97)-$AC36</f>
        <v>0</v>
      </c>
      <c r="BT36" s="231">
        <f t="shared" si="116"/>
        <v>0</v>
      </c>
      <c r="BU36" s="230"/>
      <c r="BV36" s="228">
        <f>('9.23.1 - Coal Cost'!$D$103+'9.23.1 - Coal Cost'!$D$97)-$AC36</f>
        <v>0</v>
      </c>
      <c r="BW36" s="231">
        <f t="shared" si="117"/>
        <v>0</v>
      </c>
      <c r="BX36" s="96"/>
      <c r="BY36" s="94">
        <f>('9.24.1 - P50 Wind'!$D$89+'9.24.1 - P50 Wind'!$D$95)-$AC36</f>
        <v>-164153.26999999583</v>
      </c>
      <c r="BZ36" s="91">
        <f t="shared" si="118"/>
        <v>-37177.542961072024</v>
      </c>
      <c r="CA36" s="96"/>
      <c r="CB36" s="94">
        <f t="shared" si="119"/>
        <v>3519234.269999966</v>
      </c>
      <c r="CC36" s="91">
        <f t="shared" si="120"/>
        <v>797038.54369153897</v>
      </c>
      <c r="CD36" s="96"/>
      <c r="CE36" s="94">
        <f t="shared" si="121"/>
        <v>4282574.8300000131</v>
      </c>
      <c r="CF36" s="91">
        <f t="shared" si="122"/>
        <v>969920.42696642748</v>
      </c>
      <c r="CG36" s="96"/>
      <c r="CH36" s="94">
        <f>'9.26.1 - Pro Forma Rebuttal'!D97+'9.26.1 - Pro Forma Rebuttal'!D103</f>
        <v>101204805.93000001</v>
      </c>
      <c r="CI36" s="91">
        <f>D36*CH36</f>
        <v>22920932.493940737</v>
      </c>
      <c r="CJ36" s="96"/>
    </row>
    <row r="37" spans="1:91">
      <c r="A37" s="54" t="s">
        <v>164</v>
      </c>
      <c r="E37" s="98">
        <f>SUM(E35:E36)</f>
        <v>300933824.66000003</v>
      </c>
      <c r="F37" s="99">
        <f>SUM(F35:F36)</f>
        <v>68155694.947393671</v>
      </c>
      <c r="G37" s="100"/>
      <c r="H37" s="98">
        <f>SUM(H35:H36)</f>
        <v>1804658.1900000125</v>
      </c>
      <c r="I37" s="99">
        <f>SUM(I35:I36)</f>
        <v>408720.20026635891</v>
      </c>
      <c r="J37" s="100"/>
      <c r="K37" s="98">
        <f>SUM(K35:K36)</f>
        <v>302738482.85000002</v>
      </c>
      <c r="L37" s="99">
        <f>SUM(L35:L36)</f>
        <v>68564415.147660032</v>
      </c>
      <c r="M37" s="100"/>
      <c r="N37" s="98">
        <f>SUM(N35:N36)</f>
        <v>4946637.549999997</v>
      </c>
      <c r="O37" s="99">
        <f>SUM(O35:O36)</f>
        <v>1120317.798286818</v>
      </c>
      <c r="P37" s="100"/>
      <c r="Q37" s="98">
        <f>SUM(Q35:Q36)</f>
        <v>307685120.40000004</v>
      </c>
      <c r="R37" s="99">
        <f>SUM(R35:R36)</f>
        <v>69684732.945946857</v>
      </c>
      <c r="S37" s="100"/>
      <c r="T37" s="98">
        <f>SUM(T35:T36)</f>
        <v>-5313465.1999999881</v>
      </c>
      <c r="U37" s="99">
        <f>SUM(U35:U36)</f>
        <v>-1203397.1711021396</v>
      </c>
      <c r="V37" s="100"/>
      <c r="W37" s="98">
        <f>SUM(W35:W36)</f>
        <v>-3543258.1200000197</v>
      </c>
      <c r="X37" s="99">
        <f>SUM(X35:X36)</f>
        <v>-802479.48139242886</v>
      </c>
      <c r="Y37" s="100"/>
      <c r="Z37" s="98">
        <f>SUM(Z35:Z36)</f>
        <v>4390438.1499999762</v>
      </c>
      <c r="AA37" s="99">
        <f>SUM(AA35:AA36)</f>
        <v>994349.3842039078</v>
      </c>
      <c r="AB37" s="100"/>
      <c r="AC37" s="102">
        <f>SUM(AC35:AC36)</f>
        <v>303218835.23000002</v>
      </c>
      <c r="AD37" s="99">
        <f>SUM(AD35:AD36)</f>
        <v>68673205.677656204</v>
      </c>
      <c r="AE37" s="100"/>
      <c r="AF37" s="232">
        <f>SUM(AF35:AF36)</f>
        <v>1414847.4099999964</v>
      </c>
      <c r="AG37" s="233">
        <f>SUM(AG35:AG36)</f>
        <v>320435.59271550109</v>
      </c>
      <c r="AH37" s="234"/>
      <c r="AI37" s="232">
        <f>SUM(AI35:AI36)</f>
        <v>-11177.819999992847</v>
      </c>
      <c r="AJ37" s="233">
        <f>SUM(AJ35:AJ36)</f>
        <v>-2531.5601892114282</v>
      </c>
      <c r="AK37" s="234"/>
      <c r="AL37" s="232">
        <f>SUM(AL35:AL36)</f>
        <v>-1338929.0399999917</v>
      </c>
      <c r="AM37" s="233">
        <f>SUM(AM35:AM36)</f>
        <v>-303241.5492327864</v>
      </c>
      <c r="AN37" s="234"/>
      <c r="AO37" s="232">
        <f>SUM(AO35:AO36)</f>
        <v>473997.67000001669</v>
      </c>
      <c r="AP37" s="233">
        <f>SUM(AP35:AP36)</f>
        <v>107351.31100266299</v>
      </c>
      <c r="AQ37" s="234"/>
      <c r="AR37" s="232">
        <f>SUM(AR35:AR36)</f>
        <v>-53220</v>
      </c>
      <c r="AS37" s="233">
        <f>SUM(AS35:AS36)</f>
        <v>-12053.301383446722</v>
      </c>
      <c r="AT37" s="234"/>
      <c r="AU37" s="232">
        <f>SUM(AU35:AU36)</f>
        <v>324.37000003457069</v>
      </c>
      <c r="AV37" s="233">
        <f>SUM(AV35:AV36)</f>
        <v>73.463535703970393</v>
      </c>
      <c r="AW37" s="234"/>
      <c r="AX37" s="232">
        <f>SUM(AX35:AX36)</f>
        <v>0</v>
      </c>
      <c r="AY37" s="233">
        <f>SUM(AY35:AY36)</f>
        <v>0</v>
      </c>
      <c r="AZ37" s="234"/>
      <c r="BA37" s="232">
        <f>SUM(BA35:BA36)</f>
        <v>883645.52000001073</v>
      </c>
      <c r="BB37" s="233">
        <f>SUM(BB35:BB36)</f>
        <v>200128.63150493475</v>
      </c>
      <c r="BC37" s="234"/>
      <c r="BD37" s="232">
        <f>SUM(BD35:BD36)</f>
        <v>-36459.729999989271</v>
      </c>
      <c r="BE37" s="233">
        <f>SUM(BE35:BE36)</f>
        <v>-8257.4241647682193</v>
      </c>
      <c r="BF37" s="234"/>
      <c r="BG37" s="232">
        <f>SUM(BG35:BG36)</f>
        <v>0</v>
      </c>
      <c r="BH37" s="233">
        <f>SUM(BH35:BH36)</f>
        <v>0</v>
      </c>
      <c r="BI37" s="234"/>
      <c r="BJ37" s="232">
        <f>SUM(BJ35:BJ36)</f>
        <v>0</v>
      </c>
      <c r="BK37" s="233">
        <f>SUM(BK35:BK36)</f>
        <v>0</v>
      </c>
      <c r="BL37" s="234"/>
      <c r="BM37" s="232">
        <f>SUM(BM35:BM36)</f>
        <v>0</v>
      </c>
      <c r="BN37" s="233">
        <f>SUM(BN35:BN36)</f>
        <v>0</v>
      </c>
      <c r="BO37" s="234"/>
      <c r="BP37" s="232">
        <f>SUM(BP35:BP36)</f>
        <v>-2265971.1999999881</v>
      </c>
      <c r="BQ37" s="233">
        <f>SUM(BQ35:BQ36)</f>
        <v>-513198.68094344763</v>
      </c>
      <c r="BR37" s="234"/>
      <c r="BS37" s="232">
        <f>SUM(BS35:BS36)</f>
        <v>0</v>
      </c>
      <c r="BT37" s="233">
        <f>SUM(BT35:BT36)</f>
        <v>0</v>
      </c>
      <c r="BU37" s="234"/>
      <c r="BV37" s="232">
        <f>SUM(BV35:BV36)</f>
        <v>186385.19999998808</v>
      </c>
      <c r="BW37" s="233">
        <f>SUM(BW35:BW36)</f>
        <v>42212.645415517669</v>
      </c>
      <c r="BX37" s="100"/>
      <c r="BY37" s="102">
        <f>SUM(BY35:BY36)</f>
        <v>-591122.96999998391</v>
      </c>
      <c r="BZ37" s="99">
        <f>SUM(BZ35:BZ36)</f>
        <v>-133877.92769800717</v>
      </c>
      <c r="CA37" s="100"/>
      <c r="CB37" s="102">
        <f>SUM(CB35:CB36)</f>
        <v>3570429.9299999028</v>
      </c>
      <c r="CC37" s="99">
        <f>SUM(CC35:CC36)</f>
        <v>808633.37119066913</v>
      </c>
      <c r="CD37" s="100"/>
      <c r="CE37" s="102">
        <f>SUM(CE35:CE36)</f>
        <v>2232749.3400000036</v>
      </c>
      <c r="CF37" s="99">
        <f>SUM(CF35:CF36)</f>
        <v>505674.57175332209</v>
      </c>
      <c r="CG37" s="100"/>
      <c r="CH37" s="102">
        <f>SUM(CH35:CH36)</f>
        <v>305451584.56999999</v>
      </c>
      <c r="CI37" s="99">
        <f>SUM(CI35:CI36)</f>
        <v>69178880.249409512</v>
      </c>
      <c r="CJ37" s="100"/>
    </row>
    <row r="38" spans="1:91">
      <c r="E38" s="107"/>
      <c r="F38" s="103"/>
      <c r="G38" s="96"/>
      <c r="H38" s="107"/>
      <c r="I38" s="103"/>
      <c r="J38" s="100"/>
      <c r="K38" s="107"/>
      <c r="L38" s="103"/>
      <c r="M38" s="96"/>
      <c r="N38" s="107"/>
      <c r="O38" s="103"/>
      <c r="P38" s="96"/>
      <c r="Q38" s="107"/>
      <c r="R38" s="103"/>
      <c r="S38" s="96"/>
      <c r="T38" s="107"/>
      <c r="U38" s="103"/>
      <c r="V38" s="96"/>
      <c r="W38" s="107"/>
      <c r="X38" s="103"/>
      <c r="Y38" s="96"/>
      <c r="Z38" s="107"/>
      <c r="AA38" s="103"/>
      <c r="AB38" s="96"/>
      <c r="AC38" s="108"/>
      <c r="AD38" s="103"/>
      <c r="AE38" s="96"/>
      <c r="AF38" s="238"/>
      <c r="AG38" s="239"/>
      <c r="AH38" s="230"/>
      <c r="AI38" s="238"/>
      <c r="AJ38" s="239"/>
      <c r="AK38" s="230"/>
      <c r="AL38" s="238"/>
      <c r="AM38" s="239"/>
      <c r="AN38" s="230"/>
      <c r="AO38" s="238"/>
      <c r="AP38" s="239"/>
      <c r="AQ38" s="230"/>
      <c r="AR38" s="238"/>
      <c r="AS38" s="239"/>
      <c r="AT38" s="230"/>
      <c r="AU38" s="238"/>
      <c r="AV38" s="239"/>
      <c r="AW38" s="230"/>
      <c r="AX38" s="238"/>
      <c r="AY38" s="239"/>
      <c r="AZ38" s="230"/>
      <c r="BA38" s="238"/>
      <c r="BB38" s="239"/>
      <c r="BC38" s="230"/>
      <c r="BD38" s="238"/>
      <c r="BE38" s="239"/>
      <c r="BF38" s="230"/>
      <c r="BG38" s="238"/>
      <c r="BH38" s="239"/>
      <c r="BI38" s="230"/>
      <c r="BJ38" s="238"/>
      <c r="BK38" s="239"/>
      <c r="BL38" s="230"/>
      <c r="BM38" s="238"/>
      <c r="BN38" s="239"/>
      <c r="BO38" s="230"/>
      <c r="BP38" s="238"/>
      <c r="BQ38" s="239"/>
      <c r="BR38" s="230"/>
      <c r="BS38" s="238"/>
      <c r="BT38" s="239"/>
      <c r="BU38" s="230"/>
      <c r="BV38" s="238"/>
      <c r="BW38" s="239"/>
      <c r="BX38" s="96"/>
      <c r="BY38" s="108"/>
      <c r="BZ38" s="103"/>
      <c r="CA38" s="96"/>
      <c r="CB38" s="108"/>
      <c r="CC38" s="103"/>
      <c r="CD38" s="96"/>
      <c r="CE38" s="108"/>
      <c r="CF38" s="103"/>
      <c r="CG38" s="96"/>
      <c r="CH38" s="108"/>
      <c r="CI38" s="103"/>
      <c r="CJ38" s="96"/>
    </row>
    <row r="39" spans="1:91" s="57" customFormat="1" ht="13.5" thickBot="1">
      <c r="A39" s="59" t="s">
        <v>165</v>
      </c>
      <c r="B39" s="59"/>
      <c r="C39" s="59"/>
      <c r="D39" s="59"/>
      <c r="E39" s="109">
        <f>SUM(-E18,E26,E32,E37)</f>
        <v>614978698.91000009</v>
      </c>
      <c r="F39" s="110">
        <f>SUM(-F18,F26,F32,F37)</f>
        <v>139214704.56271011</v>
      </c>
      <c r="G39" s="111"/>
      <c r="H39" s="109">
        <f>SUM(-H18,H26,H32,H37)</f>
        <v>-21818712.919999938</v>
      </c>
      <c r="I39" s="110">
        <f>SUM(-I18,I26,I32,I37)</f>
        <v>-4933238.4261613116</v>
      </c>
      <c r="J39" s="111"/>
      <c r="K39" s="109">
        <f>SUM(-K18,K26,K32,K37)</f>
        <v>593159985.99000001</v>
      </c>
      <c r="L39" s="110">
        <f>SUM(-L18,L26,L32,L37)</f>
        <v>134281466.13654879</v>
      </c>
      <c r="M39" s="111"/>
      <c r="N39" s="109">
        <f>SUM(-N18,N26,N32,N37)</f>
        <v>-60069947.860000029</v>
      </c>
      <c r="O39" s="110">
        <f>SUM(-O18,O26,O32,O37)</f>
        <v>-13595488.00594417</v>
      </c>
      <c r="P39" s="111"/>
      <c r="Q39" s="109">
        <f>SUM(-Q18,Q26,Q32,Q37)</f>
        <v>533090038.13</v>
      </c>
      <c r="R39" s="110">
        <f>SUM(-R18,R26,R32,R37)</f>
        <v>120685978.13060462</v>
      </c>
      <c r="S39" s="111"/>
      <c r="T39" s="109">
        <f>SUM(-T18,T26,T32,T37)</f>
        <v>47285004.700000018</v>
      </c>
      <c r="U39" s="110">
        <f>SUM(-U18,U26,U32,U37)</f>
        <v>10700437.412952706</v>
      </c>
      <c r="V39" s="111"/>
      <c r="W39" s="109">
        <f>SUM(-W18,W26,W32,W37)</f>
        <v>1335688.2399999946</v>
      </c>
      <c r="X39" s="110">
        <f>SUM(-X18,X26,X32,X37)</f>
        <v>301454.83380412625</v>
      </c>
      <c r="Y39" s="111"/>
      <c r="Z39" s="109">
        <f>SUM(-Z18,Z26,Z32,Z37)</f>
        <v>-1068168.2199999988</v>
      </c>
      <c r="AA39" s="110">
        <f>SUM(-AA18,AA26,AA32,AA37)</f>
        <v>-240741.64577688905</v>
      </c>
      <c r="AB39" s="111"/>
      <c r="AC39" s="112">
        <f>SUM(-AC18,AC26,AC32,AC37)</f>
        <v>580642562.85000002</v>
      </c>
      <c r="AD39" s="110">
        <f>SUM(-AD18,AD26,AD32,AD37)</f>
        <v>131447128.73158458</v>
      </c>
      <c r="AE39" s="111"/>
      <c r="AF39" s="240">
        <f>SUM(-AF18,AF26,AF32,AF37)</f>
        <v>-1774399.3100000098</v>
      </c>
      <c r="AG39" s="241">
        <f>SUM(-AG18,AG26,AG32,AG37)</f>
        <v>-401179.0006935678</v>
      </c>
      <c r="AH39" s="242"/>
      <c r="AI39" s="240">
        <f>SUM(-AI18,AI26,AI32,AI37)</f>
        <v>1046044.969999969</v>
      </c>
      <c r="AJ39" s="241">
        <f>SUM(-AJ18,AJ26,AJ32,AJ37)</f>
        <v>236680.84973955769</v>
      </c>
      <c r="AK39" s="242"/>
      <c r="AL39" s="240">
        <f>SUM(-AL18,AL26,AL32,AL37)</f>
        <v>-1453839.8400000408</v>
      </c>
      <c r="AM39" s="241">
        <f>SUM(-AM18,AM26,AM32,AM37)</f>
        <v>-329241.83002020261</v>
      </c>
      <c r="AN39" s="242"/>
      <c r="AO39" s="240">
        <f>SUM(-AO18,AO26,AO32,AO37)</f>
        <v>2024971.2800000012</v>
      </c>
      <c r="AP39" s="241">
        <f>SUM(-AP18,AP26,AP32,AP37)</f>
        <v>458282.20134417043</v>
      </c>
      <c r="AQ39" s="242"/>
      <c r="AR39" s="240">
        <f>SUM(-AR18,AR26,AR32,AR37)</f>
        <v>-53220</v>
      </c>
      <c r="AS39" s="241">
        <f>SUM(-AS18,AS26,AS32,AS37)</f>
        <v>-12053.301383446722</v>
      </c>
      <c r="AT39" s="242"/>
      <c r="AU39" s="240">
        <f>SUM(-AU18,AU26,AU32,AU37)</f>
        <v>91621.299999989569</v>
      </c>
      <c r="AV39" s="241">
        <f>SUM(-AV18,AV26,AV32,AV37)</f>
        <v>20730.754364998484</v>
      </c>
      <c r="AW39" s="242"/>
      <c r="AX39" s="240">
        <f>SUM(-AX18,AX26,AX32,AX37)</f>
        <v>53118.279999998864</v>
      </c>
      <c r="AY39" s="241">
        <f>SUM(-AY18,AY26,AY32,AY37)</f>
        <v>12027.887100786327</v>
      </c>
      <c r="AZ39" s="242"/>
      <c r="BA39" s="240">
        <f>SUM(-BA18,BA26,BA32,BA37)</f>
        <v>-4765106.1900000172</v>
      </c>
      <c r="BB39" s="241">
        <f>SUM(-BB18,BB26,BB32,BB37)</f>
        <v>-1077985.6150091903</v>
      </c>
      <c r="BC39" s="242"/>
      <c r="BD39" s="240">
        <f>SUM(-BD18,BD26,BD32,BD37)</f>
        <v>74141.849999964237</v>
      </c>
      <c r="BE39" s="241">
        <f>SUM(-BE18,BE26,BE32,BE37)</f>
        <v>16767.83138588594</v>
      </c>
      <c r="BF39" s="242"/>
      <c r="BG39" s="240">
        <f>SUM(-BG18,BG26,BG32,BG37)</f>
        <v>565440</v>
      </c>
      <c r="BH39" s="241">
        <f>SUM(-BH18,BH26,BH32,BH37)</f>
        <v>127939.22562918653</v>
      </c>
      <c r="BI39" s="242"/>
      <c r="BJ39" s="240">
        <f>SUM(-BJ18,BJ26,BJ32,BJ37)</f>
        <v>300000</v>
      </c>
      <c r="BK39" s="241">
        <f>SUM(-BK18,BK26,BK32,BK37)</f>
        <v>67879.47030411</v>
      </c>
      <c r="BL39" s="242"/>
      <c r="BM39" s="240">
        <f>SUM(-BM18,BM26,BM32,BM37)</f>
        <v>-105517.17000000132</v>
      </c>
      <c r="BN39" s="241">
        <f>SUM(-BN18,BN26,BN32,BN37)</f>
        <v>-23890.769333197222</v>
      </c>
      <c r="BO39" s="242"/>
      <c r="BP39" s="240">
        <f>SUM(-BP18,BP26,BP32,BP37)</f>
        <v>191327.60999997007</v>
      </c>
      <c r="BQ39" s="241">
        <f>SUM(-BQ18,BQ26,BQ32,BQ37)</f>
        <v>43062.065422663349</v>
      </c>
      <c r="BR39" s="242"/>
      <c r="BS39" s="240">
        <f>SUM(-BS18,BS26,BS32,BS37)</f>
        <v>-1935609.0000000149</v>
      </c>
      <c r="BT39" s="241">
        <f>SUM(-BT18,BT26,BT32,BT37)</f>
        <v>-437960.37878623023</v>
      </c>
      <c r="BU39" s="242"/>
      <c r="BV39" s="240">
        <f>SUM(-BV18,BV26,BV32,BV37)</f>
        <v>186385.19999998808</v>
      </c>
      <c r="BW39" s="241">
        <f>SUM(-BW18,BW26,BW32,BW37)</f>
        <v>42212.645415517669</v>
      </c>
      <c r="BX39" s="111"/>
      <c r="BY39" s="112">
        <f>SUM(-BY18,BY26,BY32,BY37)</f>
        <v>-4419245.9000000171</v>
      </c>
      <c r="BZ39" s="110">
        <f>SUM(-BZ18,BZ26,BZ32,BZ37)</f>
        <v>-1000047.7835227399</v>
      </c>
      <c r="CA39" s="111"/>
      <c r="CB39" s="112">
        <f>SUM(-CB18,CB26,CB32,CB37)</f>
        <v>-328327.84999973699</v>
      </c>
      <c r="CC39" s="110">
        <f>SUM(-CC18,CC26,CC32,CC37)</f>
        <v>-73516.962907463196</v>
      </c>
      <c r="CD39" s="111"/>
      <c r="CE39" s="112">
        <f>SUM(-CE18,CE26,CE32,CE37)</f>
        <v>-10302214.769999959</v>
      </c>
      <c r="CF39" s="110">
        <f>SUM(-CF18,CF26,CF32,CF37)</f>
        <v>-2330292.7109491611</v>
      </c>
      <c r="CG39" s="111"/>
      <c r="CH39" s="112">
        <f>SUM(-CH18,CH26,CH32,CH37)</f>
        <v>570340348.08000004</v>
      </c>
      <c r="CI39" s="110">
        <f>SUM(-CI18,CI26,CI32,CI37)</f>
        <v>129116836.02063541</v>
      </c>
      <c r="CJ39" s="111"/>
      <c r="CL39" s="54"/>
      <c r="CM39" s="54"/>
    </row>
    <row r="40" spans="1:91" s="297" customFormat="1" ht="13.5" thickTop="1">
      <c r="B40" s="222"/>
      <c r="C40" s="222"/>
      <c r="D40" s="222"/>
      <c r="E40" s="113" t="s">
        <v>376</v>
      </c>
      <c r="F40" s="114" t="s">
        <v>376</v>
      </c>
      <c r="G40" s="115"/>
      <c r="H40" s="333" t="s">
        <v>344</v>
      </c>
      <c r="I40" s="334" t="s">
        <v>344</v>
      </c>
      <c r="J40" s="335"/>
      <c r="K40" s="333" t="s">
        <v>387</v>
      </c>
      <c r="L40" s="334"/>
      <c r="M40" s="115"/>
      <c r="N40" s="333" t="s">
        <v>388</v>
      </c>
      <c r="O40" s="334" t="s">
        <v>388</v>
      </c>
      <c r="P40" s="336"/>
      <c r="Q40" s="333"/>
      <c r="R40" s="334"/>
      <c r="S40" s="336"/>
      <c r="T40" s="333" t="s">
        <v>389</v>
      </c>
      <c r="U40" s="334" t="s">
        <v>389</v>
      </c>
      <c r="V40" s="336"/>
      <c r="W40" s="333" t="s">
        <v>390</v>
      </c>
      <c r="X40" s="334" t="s">
        <v>390</v>
      </c>
      <c r="Y40" s="336"/>
      <c r="Z40" s="333" t="s">
        <v>391</v>
      </c>
      <c r="AA40" s="334" t="s">
        <v>391</v>
      </c>
      <c r="AB40" s="336"/>
      <c r="AC40" s="337" t="s">
        <v>392</v>
      </c>
      <c r="AD40" s="334"/>
      <c r="AE40" s="63"/>
      <c r="AF40" s="337" t="s">
        <v>304</v>
      </c>
      <c r="AG40" s="334" t="s">
        <v>304</v>
      </c>
      <c r="AH40" s="63"/>
      <c r="AI40" s="337" t="s">
        <v>305</v>
      </c>
      <c r="AJ40" s="334" t="s">
        <v>305</v>
      </c>
      <c r="AK40" s="63"/>
      <c r="AL40" s="337" t="s">
        <v>306</v>
      </c>
      <c r="AM40" s="334" t="s">
        <v>306</v>
      </c>
      <c r="AN40" s="63"/>
      <c r="AO40" s="337" t="s">
        <v>307</v>
      </c>
      <c r="AP40" s="334" t="s">
        <v>307</v>
      </c>
      <c r="AQ40" s="63"/>
      <c r="AR40" s="337" t="s">
        <v>308</v>
      </c>
      <c r="AS40" s="334" t="s">
        <v>308</v>
      </c>
      <c r="AT40" s="63"/>
      <c r="AU40" s="337" t="s">
        <v>309</v>
      </c>
      <c r="AV40" s="334" t="s">
        <v>309</v>
      </c>
      <c r="AW40" s="63"/>
      <c r="AX40" s="337" t="s">
        <v>310</v>
      </c>
      <c r="AY40" s="334" t="s">
        <v>310</v>
      </c>
      <c r="AZ40" s="63"/>
      <c r="BA40" s="337" t="s">
        <v>311</v>
      </c>
      <c r="BB40" s="334" t="s">
        <v>311</v>
      </c>
      <c r="BC40" s="63"/>
      <c r="BD40" s="337" t="s">
        <v>312</v>
      </c>
      <c r="BE40" s="334" t="s">
        <v>312</v>
      </c>
      <c r="BF40" s="63"/>
      <c r="BG40" s="337" t="s">
        <v>313</v>
      </c>
      <c r="BH40" s="334" t="s">
        <v>313</v>
      </c>
      <c r="BI40" s="63"/>
      <c r="BJ40" s="337" t="s">
        <v>314</v>
      </c>
      <c r="BK40" s="334" t="s">
        <v>314</v>
      </c>
      <c r="BL40" s="63"/>
      <c r="BM40" s="337" t="s">
        <v>356</v>
      </c>
      <c r="BN40" s="334" t="s">
        <v>356</v>
      </c>
      <c r="BO40" s="63"/>
      <c r="BP40" s="337" t="s">
        <v>393</v>
      </c>
      <c r="BQ40" s="334" t="s">
        <v>393</v>
      </c>
      <c r="BR40" s="63"/>
      <c r="BS40" s="337" t="s">
        <v>394</v>
      </c>
      <c r="BT40" s="334" t="s">
        <v>394</v>
      </c>
      <c r="BU40" s="63"/>
      <c r="BV40" s="337" t="s">
        <v>395</v>
      </c>
      <c r="BW40" s="334" t="s">
        <v>395</v>
      </c>
      <c r="BX40" s="63"/>
      <c r="BY40" s="337" t="s">
        <v>396</v>
      </c>
      <c r="BZ40" s="334" t="s">
        <v>396</v>
      </c>
      <c r="CA40" s="63"/>
      <c r="CB40" s="337" t="s">
        <v>397</v>
      </c>
      <c r="CC40" s="334" t="s">
        <v>397</v>
      </c>
      <c r="CD40" s="63"/>
      <c r="CE40" s="337" t="s">
        <v>398</v>
      </c>
      <c r="CF40" s="334" t="s">
        <v>398</v>
      </c>
      <c r="CG40" s="63"/>
      <c r="CH40" s="337" t="s">
        <v>399</v>
      </c>
      <c r="CI40" s="298"/>
      <c r="CJ40" s="222"/>
    </row>
    <row r="41" spans="1:91" ht="13.5" thickBot="1">
      <c r="E41" s="116"/>
      <c r="F41" s="117"/>
      <c r="H41" s="116"/>
      <c r="I41" s="119"/>
      <c r="K41" s="116"/>
      <c r="L41" s="118"/>
      <c r="N41" s="116"/>
      <c r="O41" s="119"/>
      <c r="P41" s="96"/>
      <c r="Q41" s="116"/>
      <c r="R41" s="119"/>
      <c r="S41" s="96"/>
      <c r="T41" s="116"/>
      <c r="U41" s="119"/>
      <c r="V41" s="96"/>
      <c r="W41" s="116"/>
      <c r="X41" s="119"/>
      <c r="Y41" s="96"/>
      <c r="Z41" s="116"/>
      <c r="AA41" s="119"/>
      <c r="AB41" s="96"/>
      <c r="AC41" s="120"/>
      <c r="AD41" s="118"/>
      <c r="AF41" s="120"/>
      <c r="AG41" s="118"/>
      <c r="AI41" s="120"/>
      <c r="AJ41" s="118"/>
      <c r="AL41" s="120"/>
      <c r="AM41" s="118"/>
      <c r="AO41" s="120"/>
      <c r="AP41" s="118"/>
      <c r="AR41" s="120"/>
      <c r="AS41" s="118"/>
      <c r="AU41" s="120"/>
      <c r="AV41" s="118"/>
      <c r="AX41" s="120"/>
      <c r="AY41" s="118"/>
      <c r="BA41" s="120"/>
      <c r="BB41" s="118"/>
      <c r="BD41" s="120"/>
      <c r="BE41" s="118"/>
      <c r="BG41" s="120"/>
      <c r="BH41" s="118"/>
      <c r="BJ41" s="120"/>
      <c r="BK41" s="118"/>
      <c r="BM41" s="120"/>
      <c r="BN41" s="118"/>
      <c r="BP41" s="120"/>
      <c r="BQ41" s="118"/>
      <c r="BS41" s="120"/>
      <c r="BT41" s="118"/>
      <c r="BV41" s="120"/>
      <c r="BW41" s="118"/>
      <c r="BY41" s="120"/>
      <c r="BZ41" s="118"/>
      <c r="CB41" s="120"/>
      <c r="CC41" s="118"/>
      <c r="CE41" s="120"/>
      <c r="CF41" s="118"/>
      <c r="CH41" s="120"/>
      <c r="CI41" s="118"/>
    </row>
    <row r="43" spans="1:91">
      <c r="T43" s="331"/>
    </row>
    <row r="44" spans="1:91">
      <c r="A44" s="57"/>
      <c r="AG44" s="55"/>
      <c r="AJ44" s="55"/>
      <c r="AM44" s="55"/>
      <c r="AP44" s="55"/>
      <c r="AS44" s="55"/>
      <c r="AV44" s="55"/>
      <c r="AY44" s="55"/>
      <c r="BB44" s="55"/>
      <c r="BE44" s="55"/>
      <c r="BH44" s="55"/>
      <c r="BK44" s="55"/>
      <c r="BN44" s="55"/>
      <c r="BQ44" s="55"/>
      <c r="BT44" s="55"/>
      <c r="BW44" s="55"/>
      <c r="BZ44" s="55"/>
      <c r="CC44" s="55"/>
      <c r="CF44" s="55"/>
      <c r="CH44" s="55"/>
      <c r="CI44" s="55"/>
    </row>
    <row r="45" spans="1:91">
      <c r="A45" s="121"/>
      <c r="I45" s="53"/>
      <c r="O45" s="53"/>
      <c r="P45" s="53"/>
      <c r="R45" s="53"/>
      <c r="S45" s="53"/>
      <c r="U45" s="53"/>
      <c r="V45" s="53"/>
      <c r="X45" s="53"/>
      <c r="Y45" s="53"/>
      <c r="AA45" s="53"/>
      <c r="AB45" s="53"/>
      <c r="AC45" s="122"/>
      <c r="AF45" s="122"/>
      <c r="AI45" s="122"/>
      <c r="AL45" s="122"/>
      <c r="AO45" s="122"/>
      <c r="AR45" s="122"/>
      <c r="AU45" s="122"/>
      <c r="AX45" s="122"/>
      <c r="BA45" s="122"/>
      <c r="BD45" s="122"/>
      <c r="BG45" s="122"/>
      <c r="BJ45" s="122"/>
      <c r="BM45" s="122"/>
      <c r="BP45" s="122"/>
      <c r="BS45" s="122"/>
      <c r="BV45" s="122"/>
      <c r="BY45" s="122"/>
      <c r="CB45" s="122"/>
      <c r="CE45" s="122"/>
    </row>
    <row r="46" spans="1:91">
      <c r="A46" s="121"/>
      <c r="I46" s="53"/>
      <c r="O46" s="53"/>
      <c r="P46" s="53"/>
      <c r="R46" s="53"/>
      <c r="S46" s="53"/>
      <c r="U46" s="53"/>
      <c r="V46" s="53"/>
      <c r="X46" s="53"/>
      <c r="Y46" s="53"/>
      <c r="AA46" s="53"/>
      <c r="AB46" s="53"/>
      <c r="AC46" s="122"/>
      <c r="AF46" s="122"/>
      <c r="AI46" s="122"/>
      <c r="AL46" s="122"/>
      <c r="AO46" s="122"/>
      <c r="AR46" s="122"/>
      <c r="AU46" s="122"/>
      <c r="AX46" s="122"/>
      <c r="BA46" s="122"/>
      <c r="BD46" s="122"/>
      <c r="BG46" s="122"/>
      <c r="BJ46" s="122"/>
      <c r="BM46" s="122"/>
      <c r="BP46" s="122"/>
      <c r="BS46" s="122"/>
      <c r="BV46" s="122"/>
      <c r="BY46" s="122"/>
      <c r="CB46" s="122"/>
      <c r="CE46" s="122"/>
    </row>
    <row r="47" spans="1:91">
      <c r="A47" s="121"/>
      <c r="I47" s="53"/>
      <c r="O47" s="53"/>
      <c r="P47" s="53"/>
      <c r="R47" s="53"/>
      <c r="S47" s="53"/>
      <c r="U47" s="53"/>
      <c r="V47" s="53"/>
      <c r="X47" s="53"/>
      <c r="Y47" s="53"/>
      <c r="AA47" s="53"/>
      <c r="AB47" s="53"/>
      <c r="AC47" s="122"/>
      <c r="AF47" s="122"/>
      <c r="AI47" s="122"/>
      <c r="AL47" s="122"/>
      <c r="AO47" s="122"/>
      <c r="AR47" s="122"/>
      <c r="AU47" s="122"/>
      <c r="AX47" s="122"/>
      <c r="BA47" s="122"/>
      <c r="BD47" s="122"/>
      <c r="BG47" s="122"/>
      <c r="BJ47" s="122"/>
      <c r="BM47" s="122"/>
      <c r="BP47" s="122"/>
      <c r="BS47" s="122"/>
      <c r="BV47" s="122"/>
      <c r="BY47" s="122"/>
      <c r="CB47" s="122"/>
      <c r="CE47" s="122"/>
    </row>
    <row r="48" spans="1:91">
      <c r="A48" s="121"/>
      <c r="I48" s="53"/>
      <c r="O48" s="53"/>
      <c r="P48" s="53"/>
      <c r="R48" s="53"/>
      <c r="S48" s="53"/>
      <c r="U48" s="53"/>
      <c r="V48" s="53"/>
      <c r="X48" s="53"/>
      <c r="Y48" s="53"/>
      <c r="AA48" s="53"/>
      <c r="AB48" s="53"/>
      <c r="AC48" s="122"/>
      <c r="AF48" s="122"/>
      <c r="AI48" s="122"/>
      <c r="AL48" s="122"/>
      <c r="AO48" s="122"/>
      <c r="AR48" s="122"/>
      <c r="AU48" s="122"/>
      <c r="AX48" s="122"/>
      <c r="BA48" s="122"/>
      <c r="BD48" s="122"/>
      <c r="BG48" s="122"/>
      <c r="BJ48" s="122"/>
      <c r="BM48" s="122"/>
      <c r="BP48" s="122"/>
      <c r="BS48" s="122"/>
      <c r="BV48" s="122"/>
      <c r="BY48" s="122"/>
      <c r="CB48" s="122"/>
      <c r="CE48" s="122"/>
    </row>
    <row r="49" spans="1:84">
      <c r="A49" s="121"/>
      <c r="I49" s="53"/>
      <c r="O49" s="53"/>
      <c r="P49" s="53"/>
      <c r="R49" s="53"/>
      <c r="S49" s="53"/>
      <c r="U49" s="53"/>
      <c r="V49" s="53"/>
      <c r="X49" s="53"/>
      <c r="Y49" s="53"/>
      <c r="AA49" s="53"/>
      <c r="AB49" s="53"/>
      <c r="AC49" s="122"/>
      <c r="AF49" s="122"/>
      <c r="AI49" s="122"/>
      <c r="AL49" s="122"/>
      <c r="AO49" s="122"/>
      <c r="AR49" s="122"/>
      <c r="AU49" s="122"/>
      <c r="AX49" s="122"/>
      <c r="BA49" s="122"/>
      <c r="BD49" s="122"/>
      <c r="BG49" s="122"/>
      <c r="BJ49" s="122"/>
      <c r="BM49" s="122"/>
      <c r="BP49" s="122"/>
      <c r="BS49" s="122"/>
      <c r="BV49" s="122"/>
      <c r="BY49" s="122"/>
      <c r="CB49" s="122"/>
      <c r="CE49" s="122"/>
    </row>
    <row r="50" spans="1:84">
      <c r="A50" s="121"/>
      <c r="I50" s="53"/>
      <c r="O50" s="53"/>
      <c r="P50" s="53"/>
      <c r="R50" s="53"/>
      <c r="S50" s="53"/>
      <c r="U50" s="53"/>
      <c r="V50" s="53"/>
      <c r="X50" s="53"/>
      <c r="Y50" s="53"/>
      <c r="AA50" s="53"/>
      <c r="AB50" s="53"/>
      <c r="AC50" s="122"/>
      <c r="AF50" s="122"/>
      <c r="AI50" s="122"/>
      <c r="AL50" s="122"/>
      <c r="AO50" s="122"/>
      <c r="AR50" s="122"/>
      <c r="AU50" s="122"/>
      <c r="AX50" s="122"/>
      <c r="BA50" s="122"/>
      <c r="BD50" s="122"/>
      <c r="BG50" s="122"/>
      <c r="BJ50" s="122"/>
      <c r="BM50" s="122"/>
      <c r="BP50" s="122"/>
      <c r="BS50" s="122"/>
      <c r="BV50" s="122"/>
      <c r="BY50" s="122"/>
      <c r="CB50" s="122"/>
      <c r="CE50" s="122"/>
    </row>
    <row r="51" spans="1:84">
      <c r="E51" s="59"/>
      <c r="F51" s="59"/>
      <c r="I51" s="59"/>
      <c r="J51" s="59"/>
      <c r="O51" s="59"/>
      <c r="P51" s="59"/>
      <c r="R51" s="59"/>
      <c r="S51" s="59"/>
      <c r="U51" s="59"/>
      <c r="V51" s="59"/>
      <c r="X51" s="59"/>
      <c r="Y51" s="59"/>
      <c r="AA51" s="59"/>
      <c r="AB51" s="59"/>
      <c r="AC51" s="123"/>
      <c r="AD51" s="59"/>
      <c r="AF51" s="123"/>
      <c r="AG51" s="59"/>
      <c r="AI51" s="123"/>
      <c r="AJ51" s="59"/>
      <c r="AL51" s="123"/>
      <c r="AM51" s="59"/>
      <c r="AO51" s="123"/>
      <c r="AP51" s="59"/>
      <c r="AR51" s="123"/>
      <c r="AS51" s="59"/>
      <c r="AU51" s="123"/>
      <c r="AV51" s="59"/>
      <c r="AX51" s="123"/>
      <c r="AY51" s="59"/>
      <c r="BA51" s="123"/>
      <c r="BB51" s="59"/>
      <c r="BD51" s="123"/>
      <c r="BE51" s="59"/>
      <c r="BG51" s="123"/>
      <c r="BH51" s="59"/>
      <c r="BJ51" s="123"/>
      <c r="BK51" s="59"/>
      <c r="BM51" s="123"/>
      <c r="BN51" s="59"/>
      <c r="BP51" s="123"/>
      <c r="BQ51" s="59"/>
      <c r="BS51" s="123"/>
      <c r="BT51" s="59"/>
      <c r="BV51" s="123"/>
      <c r="BW51" s="59"/>
      <c r="BY51" s="123"/>
      <c r="BZ51" s="59"/>
      <c r="CB51" s="123"/>
      <c r="CC51" s="59"/>
      <c r="CE51" s="123"/>
      <c r="CF51" s="59"/>
    </row>
    <row r="52" spans="1:84">
      <c r="B52" s="59"/>
      <c r="C52" s="59"/>
      <c r="D52" s="59"/>
      <c r="E52" s="59"/>
      <c r="F52" s="59"/>
      <c r="G52" s="59"/>
      <c r="H52" s="59"/>
      <c r="J52" s="59"/>
      <c r="K52" s="59"/>
      <c r="L52" s="59"/>
      <c r="M52" s="59"/>
      <c r="N52" s="59"/>
      <c r="Q52" s="59"/>
      <c r="T52" s="59"/>
      <c r="W52" s="59"/>
      <c r="Z52" s="59"/>
    </row>
  </sheetData>
  <mergeCells count="18">
    <mergeCell ref="Z7:AA7"/>
    <mergeCell ref="Z8:AA8"/>
    <mergeCell ref="Z9:AA9"/>
    <mergeCell ref="H7:I7"/>
    <mergeCell ref="H8:I8"/>
    <mergeCell ref="H9:I9"/>
    <mergeCell ref="N7:O7"/>
    <mergeCell ref="N8:O8"/>
    <mergeCell ref="N9:O9"/>
    <mergeCell ref="Q7:R7"/>
    <mergeCell ref="Q8:R8"/>
    <mergeCell ref="Q9:R9"/>
    <mergeCell ref="W7:X7"/>
    <mergeCell ref="W8:X8"/>
    <mergeCell ref="W9:X9"/>
    <mergeCell ref="T7:U7"/>
    <mergeCell ref="T8:U8"/>
    <mergeCell ref="T9:U9"/>
  </mergeCells>
  <pageMargins left="0.65" right="0.72" top="1" bottom="1" header="0.5" footer="0.5"/>
  <pageSetup scale="10" orientation="portrait" r:id="rId1"/>
  <headerFooter alignWithMargins="0">
    <oddHeader>&amp;L&amp;"Arial,Regular"&amp;10WA UE-130043
Bench Request 9&amp;R&amp;"Arial,Bold"&amp;10Attachment Bench Request 9</oddHeader>
    <oddFooter>&amp;L&amp;"Arial,Regular"&amp;10&amp;F&amp;C&amp;A</oddFooter>
  </headerFooter>
  <colBreaks count="13" manualBreakCount="13">
    <brk id="9" max="41" man="1"/>
    <brk id="15" max="41" man="1"/>
    <brk id="21" max="41" man="1"/>
    <brk id="27" max="41" man="1"/>
    <brk id="33" max="41" man="1"/>
    <brk id="39" max="41" man="1"/>
    <brk id="45" max="41" man="1"/>
    <brk id="51" max="41" man="1"/>
    <brk id="57" max="41" man="1"/>
    <brk id="63" max="41" man="1"/>
    <brk id="69" max="41" man="1"/>
    <brk id="75" max="41" man="1"/>
    <brk id="81" max="41" man="1"/>
  </col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pageSetUpPr fitToPage="1"/>
  </sheetPr>
  <dimension ref="A1:K50"/>
  <sheetViews>
    <sheetView view="pageBreakPreview" zoomScale="85" zoomScaleNormal="100" zoomScaleSheetLayoutView="85" workbookViewId="0">
      <selection activeCell="T91" sqref="T91"/>
    </sheetView>
  </sheetViews>
  <sheetFormatPr defaultRowHeight="12.75"/>
  <cols>
    <col min="1" max="1" width="4.83203125" style="275" customWidth="1"/>
    <col min="2" max="2" width="8" style="275" customWidth="1"/>
    <col min="3" max="3" width="32.83203125" style="275" customWidth="1"/>
    <col min="4" max="4" width="12.33203125" style="275" customWidth="1"/>
    <col min="5" max="5" width="9.33203125" style="276"/>
    <col min="6" max="6" width="17" style="106" customWidth="1"/>
    <col min="7" max="7" width="9.33203125" style="276"/>
    <col min="8" max="8" width="12" style="276" bestFit="1" customWidth="1"/>
    <col min="9" max="9" width="15.33203125" style="276" bestFit="1" customWidth="1"/>
    <col min="10" max="16384" width="9.33203125" style="275"/>
  </cols>
  <sheetData>
    <row r="1" spans="1:10">
      <c r="A1" s="274" t="s">
        <v>118</v>
      </c>
      <c r="B1" s="274"/>
      <c r="I1" s="277" t="s">
        <v>272</v>
      </c>
      <c r="J1" s="296" t="s">
        <v>294</v>
      </c>
    </row>
    <row r="2" spans="1:10">
      <c r="A2" s="274" t="s">
        <v>255</v>
      </c>
      <c r="B2" s="274"/>
    </row>
    <row r="3" spans="1:10">
      <c r="A3" s="274" t="s">
        <v>317</v>
      </c>
      <c r="B3" s="274"/>
    </row>
    <row r="5" spans="1:10">
      <c r="F5" s="105" t="s">
        <v>274</v>
      </c>
      <c r="I5" s="276" t="s">
        <v>126</v>
      </c>
    </row>
    <row r="6" spans="1:10" ht="15">
      <c r="D6" s="279" t="s">
        <v>275</v>
      </c>
      <c r="E6" s="279" t="s">
        <v>276</v>
      </c>
      <c r="F6" s="280" t="s">
        <v>277</v>
      </c>
      <c r="G6" s="279" t="s">
        <v>278</v>
      </c>
      <c r="H6" s="279" t="s">
        <v>134</v>
      </c>
      <c r="I6" s="279" t="s">
        <v>279</v>
      </c>
      <c r="J6" s="279" t="s">
        <v>280</v>
      </c>
    </row>
    <row r="7" spans="1:10" ht="15">
      <c r="B7" s="274" t="s">
        <v>281</v>
      </c>
      <c r="C7" s="281"/>
      <c r="D7" s="279"/>
      <c r="E7" s="279"/>
      <c r="F7" s="280"/>
      <c r="G7" s="279"/>
      <c r="H7" s="279"/>
      <c r="I7" s="279"/>
      <c r="J7" s="279"/>
    </row>
    <row r="8" spans="1:10" ht="15">
      <c r="B8" s="274"/>
      <c r="C8" s="281"/>
      <c r="D8" s="279"/>
      <c r="E8" s="279"/>
      <c r="F8" s="280"/>
      <c r="G8" s="279"/>
      <c r="H8" s="279"/>
      <c r="I8" s="279"/>
      <c r="J8" s="279"/>
    </row>
    <row r="9" spans="1:10">
      <c r="B9" s="274" t="s">
        <v>137</v>
      </c>
      <c r="C9" s="281"/>
    </row>
    <row r="10" spans="1:10">
      <c r="B10" s="281" t="s">
        <v>138</v>
      </c>
      <c r="C10" s="281"/>
      <c r="D10" s="282" t="s">
        <v>139</v>
      </c>
      <c r="E10" s="283" t="s">
        <v>286</v>
      </c>
      <c r="F10" s="106">
        <f>'9.1 - Summary '!AL15</f>
        <v>0</v>
      </c>
      <c r="G10" s="276" t="s">
        <v>140</v>
      </c>
      <c r="H10" s="284">
        <v>0.2262649010137</v>
      </c>
      <c r="I10" s="276">
        <f>F10*H10</f>
        <v>0</v>
      </c>
      <c r="J10" s="276"/>
    </row>
    <row r="11" spans="1:10">
      <c r="B11" s="281" t="s">
        <v>141</v>
      </c>
      <c r="C11" s="281"/>
      <c r="D11" s="282" t="s">
        <v>139</v>
      </c>
      <c r="E11" s="283" t="s">
        <v>286</v>
      </c>
      <c r="F11" s="106">
        <f>'9.1 - Summary '!AL16</f>
        <v>15814.160000003874</v>
      </c>
      <c r="G11" s="276" t="s">
        <v>140</v>
      </c>
      <c r="H11" s="284">
        <v>0.2262649010137</v>
      </c>
      <c r="I11" s="276">
        <f t="shared" ref="I11:I12" si="0">F11*H11</f>
        <v>3578.1893470156906</v>
      </c>
      <c r="J11" s="276"/>
    </row>
    <row r="12" spans="1:10">
      <c r="B12" s="281" t="s">
        <v>142</v>
      </c>
      <c r="C12" s="281"/>
      <c r="D12" s="282" t="s">
        <v>139</v>
      </c>
      <c r="E12" s="283" t="s">
        <v>286</v>
      </c>
      <c r="F12" s="106">
        <f>'9.1 - Summary '!AL17</f>
        <v>0</v>
      </c>
      <c r="G12" s="276" t="s">
        <v>143</v>
      </c>
      <c r="H12" s="284">
        <v>0.22648067236840891</v>
      </c>
      <c r="I12" s="276">
        <f t="shared" si="0"/>
        <v>0</v>
      </c>
    </row>
    <row r="13" spans="1:10">
      <c r="B13" s="281" t="s">
        <v>144</v>
      </c>
      <c r="C13" s="281"/>
      <c r="D13" s="282"/>
      <c r="E13" s="283"/>
      <c r="F13" s="285">
        <f>SUM(F10:F12)</f>
        <v>15814.160000003874</v>
      </c>
      <c r="H13" s="284"/>
      <c r="I13" s="285">
        <f>SUM(I10:I12)</f>
        <v>3578.1893470156906</v>
      </c>
      <c r="J13" s="282" t="s">
        <v>336</v>
      </c>
    </row>
    <row r="14" spans="1:10">
      <c r="B14" s="281"/>
      <c r="C14" s="286"/>
      <c r="D14" s="282"/>
      <c r="E14" s="283"/>
      <c r="H14" s="284"/>
    </row>
    <row r="15" spans="1:10">
      <c r="B15" s="274" t="s">
        <v>145</v>
      </c>
      <c r="C15" s="286"/>
      <c r="D15" s="282"/>
      <c r="E15" s="283"/>
      <c r="H15" s="284"/>
    </row>
    <row r="16" spans="1:10">
      <c r="B16" s="281" t="s">
        <v>146</v>
      </c>
      <c r="C16" s="286"/>
      <c r="D16" s="282" t="s">
        <v>147</v>
      </c>
      <c r="E16" s="283" t="s">
        <v>286</v>
      </c>
      <c r="F16" s="106">
        <f>'9.1 - Summary '!AL21</f>
        <v>0</v>
      </c>
      <c r="G16" s="276" t="s">
        <v>140</v>
      </c>
      <c r="H16" s="284">
        <v>0.2262649010137</v>
      </c>
      <c r="I16" s="276">
        <f t="shared" ref="I16:I20" si="1">F16*H16</f>
        <v>0</v>
      </c>
      <c r="J16" s="276"/>
    </row>
    <row r="17" spans="2:10">
      <c r="B17" s="281" t="s">
        <v>148</v>
      </c>
      <c r="C17" s="286"/>
      <c r="D17" s="282" t="s">
        <v>147</v>
      </c>
      <c r="E17" s="283" t="s">
        <v>286</v>
      </c>
      <c r="F17" s="106">
        <f>'9.1 - Summary '!AL22</f>
        <v>0</v>
      </c>
      <c r="G17" s="276" t="s">
        <v>143</v>
      </c>
      <c r="H17" s="284">
        <v>0.22648067236840891</v>
      </c>
      <c r="I17" s="276">
        <f t="shared" si="1"/>
        <v>0</v>
      </c>
      <c r="J17" s="276"/>
    </row>
    <row r="18" spans="2:10">
      <c r="B18" s="281" t="s">
        <v>149</v>
      </c>
      <c r="C18" s="286"/>
      <c r="D18" s="282" t="s">
        <v>147</v>
      </c>
      <c r="E18" s="283" t="s">
        <v>286</v>
      </c>
      <c r="F18" s="106">
        <f>'9.1 - Summary '!AL23</f>
        <v>0</v>
      </c>
      <c r="G18" s="276" t="s">
        <v>140</v>
      </c>
      <c r="H18" s="284">
        <v>0.2262649010137</v>
      </c>
      <c r="I18" s="276">
        <f t="shared" si="1"/>
        <v>0</v>
      </c>
      <c r="J18" s="276"/>
    </row>
    <row r="19" spans="2:10">
      <c r="B19" s="281" t="s">
        <v>150</v>
      </c>
      <c r="C19" s="286"/>
      <c r="D19" s="282" t="s">
        <v>147</v>
      </c>
      <c r="E19" s="283" t="s">
        <v>286</v>
      </c>
      <c r="F19" s="106">
        <f>'9.1 - Summary '!AL24</f>
        <v>-99096.6400000453</v>
      </c>
      <c r="G19" s="276" t="s">
        <v>140</v>
      </c>
      <c r="H19" s="284">
        <v>0.2262649010137</v>
      </c>
      <c r="I19" s="276">
        <f t="shared" si="1"/>
        <v>-22422.091440400513</v>
      </c>
      <c r="J19" s="276"/>
    </row>
    <row r="20" spans="2:10">
      <c r="B20" s="281" t="s">
        <v>151</v>
      </c>
      <c r="C20" s="281"/>
      <c r="D20" s="282" t="s">
        <v>147</v>
      </c>
      <c r="E20" s="283" t="s">
        <v>286</v>
      </c>
      <c r="F20" s="106">
        <f>'9.1 - Summary '!AL25</f>
        <v>0</v>
      </c>
      <c r="G20" s="276" t="s">
        <v>140</v>
      </c>
      <c r="H20" s="284">
        <v>0.2262649010137</v>
      </c>
      <c r="I20" s="276">
        <f t="shared" si="1"/>
        <v>0</v>
      </c>
    </row>
    <row r="21" spans="2:10">
      <c r="B21" s="281" t="s">
        <v>152</v>
      </c>
      <c r="C21" s="281"/>
      <c r="D21" s="282"/>
      <c r="E21" s="283"/>
      <c r="F21" s="285">
        <f>SUM(F16:F20)</f>
        <v>-99096.6400000453</v>
      </c>
      <c r="H21" s="284"/>
      <c r="I21" s="285">
        <f>SUM(I16:I20)</f>
        <v>-22422.091440400513</v>
      </c>
      <c r="J21" s="282" t="s">
        <v>336</v>
      </c>
    </row>
    <row r="22" spans="2:10">
      <c r="B22" s="281"/>
      <c r="C22" s="281"/>
      <c r="D22" s="282"/>
      <c r="E22" s="283"/>
      <c r="H22" s="284"/>
    </row>
    <row r="23" spans="2:10">
      <c r="B23" s="274" t="s">
        <v>153</v>
      </c>
      <c r="C23" s="281"/>
      <c r="D23" s="282"/>
      <c r="E23" s="283"/>
      <c r="H23" s="284"/>
      <c r="J23" s="276"/>
    </row>
    <row r="24" spans="2:10">
      <c r="B24" s="281" t="s">
        <v>154</v>
      </c>
      <c r="C24" s="281"/>
      <c r="D24" s="282" t="s">
        <v>155</v>
      </c>
      <c r="E24" s="283" t="s">
        <v>286</v>
      </c>
      <c r="F24" s="106">
        <f>'9.1 - Summary '!AL29</f>
        <v>0</v>
      </c>
      <c r="G24" s="276" t="s">
        <v>140</v>
      </c>
      <c r="H24" s="284">
        <v>0.2262649010137</v>
      </c>
      <c r="I24" s="276">
        <f t="shared" ref="I24:I26" si="2">F24*H24</f>
        <v>0</v>
      </c>
      <c r="J24" s="276"/>
    </row>
    <row r="25" spans="2:10">
      <c r="B25" s="281" t="s">
        <v>156</v>
      </c>
      <c r="C25" s="286"/>
      <c r="D25" s="282" t="s">
        <v>155</v>
      </c>
      <c r="E25" s="283" t="s">
        <v>286</v>
      </c>
      <c r="F25" s="106">
        <f>'9.1 - Summary '!AL30</f>
        <v>0</v>
      </c>
      <c r="G25" s="276" t="s">
        <v>140</v>
      </c>
      <c r="H25" s="284">
        <v>0.2262649010137</v>
      </c>
      <c r="I25" s="276">
        <f t="shared" si="2"/>
        <v>0</v>
      </c>
      <c r="J25" s="276"/>
    </row>
    <row r="26" spans="2:10">
      <c r="B26" s="281" t="s">
        <v>157</v>
      </c>
      <c r="C26" s="286"/>
      <c r="D26" s="282" t="s">
        <v>155</v>
      </c>
      <c r="E26" s="283" t="s">
        <v>286</v>
      </c>
      <c r="F26" s="106">
        <f>'9.1 - Summary '!AL31</f>
        <v>0</v>
      </c>
      <c r="G26" s="276" t="s">
        <v>143</v>
      </c>
      <c r="H26" s="284">
        <v>0.22648067236840891</v>
      </c>
      <c r="I26" s="276">
        <f t="shared" si="2"/>
        <v>0</v>
      </c>
      <c r="J26" s="276"/>
    </row>
    <row r="27" spans="2:10">
      <c r="B27" s="281" t="s">
        <v>158</v>
      </c>
      <c r="C27" s="281"/>
      <c r="D27" s="282"/>
      <c r="E27" s="283"/>
      <c r="F27" s="285">
        <f>SUM(F24:F26)</f>
        <v>0</v>
      </c>
      <c r="H27" s="284"/>
      <c r="I27" s="285">
        <f>SUM(I24:I26)</f>
        <v>0</v>
      </c>
      <c r="J27" s="282" t="s">
        <v>336</v>
      </c>
    </row>
    <row r="28" spans="2:10">
      <c r="B28" s="281"/>
      <c r="C28" s="281"/>
      <c r="D28" s="282"/>
      <c r="E28" s="283"/>
      <c r="H28" s="284"/>
    </row>
    <row r="29" spans="2:10">
      <c r="B29" s="274" t="s">
        <v>159</v>
      </c>
      <c r="C29" s="274"/>
      <c r="D29" s="282"/>
      <c r="E29" s="283"/>
      <c r="H29" s="284"/>
      <c r="J29" s="276"/>
    </row>
    <row r="30" spans="2:10">
      <c r="B30" s="281" t="s">
        <v>160</v>
      </c>
      <c r="C30" s="274"/>
      <c r="D30" s="282" t="s">
        <v>161</v>
      </c>
      <c r="E30" s="283" t="s">
        <v>286</v>
      </c>
      <c r="F30" s="106">
        <f>'9.1 - Summary '!AL35</f>
        <v>-1338929.0399999917</v>
      </c>
      <c r="G30" s="276" t="s">
        <v>143</v>
      </c>
      <c r="H30" s="284">
        <v>0.22648067236840891</v>
      </c>
      <c r="I30" s="276">
        <f t="shared" ref="I30:I31" si="3">F30*H30</f>
        <v>-303241.5492327864</v>
      </c>
      <c r="J30" s="276"/>
    </row>
    <row r="31" spans="2:10">
      <c r="B31" s="281" t="s">
        <v>162</v>
      </c>
      <c r="C31" s="274"/>
      <c r="D31" s="282" t="s">
        <v>163</v>
      </c>
      <c r="E31" s="283" t="s">
        <v>286</v>
      </c>
      <c r="F31" s="106">
        <f>'9.1 - Summary '!AL36</f>
        <v>0</v>
      </c>
      <c r="G31" s="276" t="s">
        <v>143</v>
      </c>
      <c r="H31" s="284">
        <v>0.22648067236840891</v>
      </c>
      <c r="I31" s="276">
        <f t="shared" si="3"/>
        <v>0</v>
      </c>
    </row>
    <row r="32" spans="2:10">
      <c r="B32" s="281" t="s">
        <v>164</v>
      </c>
      <c r="C32" s="274"/>
      <c r="D32" s="282"/>
      <c r="E32" s="283"/>
      <c r="F32" s="285">
        <f>SUM(F30:F31)</f>
        <v>-1338929.0399999917</v>
      </c>
      <c r="H32" s="287"/>
      <c r="I32" s="285">
        <f>SUM(I30:I31)</f>
        <v>-303241.5492327864</v>
      </c>
      <c r="J32" s="282" t="s">
        <v>336</v>
      </c>
    </row>
    <row r="33" spans="1:11">
      <c r="B33" s="291"/>
      <c r="C33" s="274"/>
      <c r="D33" s="282"/>
      <c r="E33" s="283"/>
      <c r="H33" s="287"/>
      <c r="I33" s="106"/>
      <c r="J33" s="276"/>
    </row>
    <row r="34" spans="1:11">
      <c r="B34" s="288" t="s">
        <v>284</v>
      </c>
      <c r="C34" s="274"/>
      <c r="D34" s="282"/>
      <c r="E34" s="283"/>
      <c r="F34" s="285">
        <f>-F13+F21+F27+F32</f>
        <v>-1453839.8400000408</v>
      </c>
      <c r="H34" s="287"/>
      <c r="I34" s="285">
        <f>-I13+I21+I27+I32</f>
        <v>-329241.83002020261</v>
      </c>
      <c r="J34" s="276"/>
    </row>
    <row r="35" spans="1:11">
      <c r="C35" s="274"/>
      <c r="F35" s="289"/>
      <c r="J35" s="276"/>
    </row>
    <row r="36" spans="1:11">
      <c r="C36" s="274"/>
      <c r="F36" s="289"/>
      <c r="J36" s="276"/>
    </row>
    <row r="37" spans="1:11">
      <c r="C37" s="274"/>
      <c r="F37" s="289"/>
      <c r="J37" s="276"/>
    </row>
    <row r="42" spans="1:11" ht="13.5" thickBot="1">
      <c r="B42" s="290" t="s">
        <v>283</v>
      </c>
    </row>
    <row r="43" spans="1:11" ht="12.75" customHeight="1">
      <c r="A43" s="359" t="s">
        <v>346</v>
      </c>
      <c r="B43" s="360"/>
      <c r="C43" s="360"/>
      <c r="D43" s="360"/>
      <c r="E43" s="360"/>
      <c r="F43" s="360"/>
      <c r="G43" s="360"/>
      <c r="H43" s="360"/>
      <c r="I43" s="360"/>
      <c r="J43" s="361"/>
      <c r="K43" s="292"/>
    </row>
    <row r="44" spans="1:11">
      <c r="A44" s="362"/>
      <c r="B44" s="363"/>
      <c r="C44" s="363"/>
      <c r="D44" s="363"/>
      <c r="E44" s="363"/>
      <c r="F44" s="363"/>
      <c r="G44" s="363"/>
      <c r="H44" s="363"/>
      <c r="I44" s="363"/>
      <c r="J44" s="364"/>
      <c r="K44" s="292"/>
    </row>
    <row r="45" spans="1:11">
      <c r="A45" s="362"/>
      <c r="B45" s="363"/>
      <c r="C45" s="363"/>
      <c r="D45" s="363"/>
      <c r="E45" s="363"/>
      <c r="F45" s="363"/>
      <c r="G45" s="363"/>
      <c r="H45" s="363"/>
      <c r="I45" s="363"/>
      <c r="J45" s="364"/>
      <c r="K45" s="292"/>
    </row>
    <row r="46" spans="1:11">
      <c r="A46" s="362"/>
      <c r="B46" s="363"/>
      <c r="C46" s="363"/>
      <c r="D46" s="363"/>
      <c r="E46" s="363"/>
      <c r="F46" s="363"/>
      <c r="G46" s="363"/>
      <c r="H46" s="363"/>
      <c r="I46" s="363"/>
      <c r="J46" s="364"/>
      <c r="K46" s="292"/>
    </row>
    <row r="47" spans="1:11">
      <c r="A47" s="362"/>
      <c r="B47" s="363"/>
      <c r="C47" s="363"/>
      <c r="D47" s="363"/>
      <c r="E47" s="363"/>
      <c r="F47" s="363"/>
      <c r="G47" s="363"/>
      <c r="H47" s="363"/>
      <c r="I47" s="363"/>
      <c r="J47" s="364"/>
      <c r="K47" s="292"/>
    </row>
    <row r="48" spans="1:11">
      <c r="A48" s="362"/>
      <c r="B48" s="363"/>
      <c r="C48" s="363"/>
      <c r="D48" s="363"/>
      <c r="E48" s="363"/>
      <c r="F48" s="363"/>
      <c r="G48" s="363"/>
      <c r="H48" s="363"/>
      <c r="I48" s="363"/>
      <c r="J48" s="364"/>
      <c r="K48" s="292"/>
    </row>
    <row r="49" spans="1:11">
      <c r="A49" s="362"/>
      <c r="B49" s="363"/>
      <c r="C49" s="363"/>
      <c r="D49" s="363"/>
      <c r="E49" s="363"/>
      <c r="F49" s="363"/>
      <c r="G49" s="363"/>
      <c r="H49" s="363"/>
      <c r="I49" s="363"/>
      <c r="J49" s="364"/>
      <c r="K49" s="292"/>
    </row>
    <row r="50" spans="1:11" ht="13.5" thickBot="1">
      <c r="A50" s="365"/>
      <c r="B50" s="366"/>
      <c r="C50" s="366"/>
      <c r="D50" s="366"/>
      <c r="E50" s="366"/>
      <c r="F50" s="366"/>
      <c r="G50" s="366"/>
      <c r="H50" s="366"/>
      <c r="I50" s="366"/>
      <c r="J50" s="367"/>
      <c r="K50" s="292"/>
    </row>
  </sheetData>
  <mergeCells count="1">
    <mergeCell ref="A43:J50"/>
  </mergeCells>
  <conditionalFormatting sqref="B9:B26">
    <cfRule type="cellIs" dxfId="47" priority="3" stopIfTrue="1" operator="equal">
      <formula>"Adjustment to Income/Expense/Rate Base:"</formula>
    </cfRule>
  </conditionalFormatting>
  <conditionalFormatting sqref="B20:B22">
    <cfRule type="cellIs" dxfId="46" priority="2" stopIfTrue="1" operator="equal">
      <formula>"Title"</formula>
    </cfRule>
  </conditionalFormatting>
  <conditionalFormatting sqref="B27:B34">
    <cfRule type="cellIs" dxfId="45" priority="1" stopIfTrue="1" operator="equal">
      <formula>"Adjustment to Income/Expense/Rate Base:"</formula>
    </cfRule>
  </conditionalFormatting>
  <pageMargins left="0.65" right="0.72" top="1" bottom="1" header="0.5" footer="0.5"/>
  <pageSetup scale="77" orientation="portrait" r:id="rId1"/>
  <headerFooter alignWithMargins="0">
    <oddHeader>&amp;L&amp;"Arial,Regular"&amp;10WA UE-130043
Bench Request 9&amp;R&amp;"Arial,Bold"&amp;10Attachment Bench Request 9</oddHeader>
    <oddFooter>&amp;L&amp;"Arial,Regular"&amp;10&amp;F&amp;C&amp;A</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S123"/>
  <sheetViews>
    <sheetView view="pageBreakPreview" zoomScale="85" zoomScaleNormal="85" zoomScaleSheetLayoutView="85" workbookViewId="0">
      <pane xSplit="3" ySplit="6" topLeftCell="D7" activePane="bottomRight" state="frozen"/>
      <selection activeCell="T91" sqref="T91"/>
      <selection pane="topRight" activeCell="T91" sqref="T91"/>
      <selection pane="bottomLeft" activeCell="T91" sqref="T91"/>
      <selection pane="bottomRight" activeCell="T91" sqref="T91"/>
    </sheetView>
  </sheetViews>
  <sheetFormatPr defaultColWidth="11" defaultRowHeight="10.5"/>
  <cols>
    <col min="1" max="1" width="3" style="3" customWidth="1"/>
    <col min="2" max="2" width="2.6640625" style="3" customWidth="1"/>
    <col min="3" max="3" width="33.1640625" style="3" customWidth="1"/>
    <col min="4" max="4" width="13.83203125" style="3" customWidth="1"/>
    <col min="5" max="5" width="2.33203125" style="3" customWidth="1"/>
    <col min="6" max="6" width="15.83203125" style="3" customWidth="1"/>
    <col min="7" max="8" width="13.33203125" style="3" bestFit="1" customWidth="1"/>
    <col min="9" max="9" width="13.83203125" style="3" bestFit="1" customWidth="1"/>
    <col min="10" max="10" width="11" style="3" customWidth="1"/>
    <col min="11" max="11" width="14.5" style="3" customWidth="1"/>
    <col min="12" max="12" width="11" style="3" customWidth="1"/>
    <col min="13" max="13" width="14.1640625" style="3" bestFit="1" customWidth="1"/>
    <col min="14" max="14" width="20.1640625" style="27" bestFit="1" customWidth="1"/>
    <col min="15" max="15" width="15" style="3" bestFit="1" customWidth="1"/>
    <col min="16" max="16" width="14.6640625" style="3" bestFit="1" customWidth="1"/>
    <col min="17" max="16384" width="11" style="3"/>
  </cols>
  <sheetData>
    <row r="1" spans="1:14">
      <c r="A1" s="4" t="s">
        <v>118</v>
      </c>
      <c r="D1"/>
      <c r="E1" s="9"/>
      <c r="F1" s="8" t="s">
        <v>42</v>
      </c>
    </row>
    <row r="2" spans="1:14">
      <c r="A2" s="20"/>
      <c r="D2"/>
      <c r="E2" s="9"/>
      <c r="F2" s="9" t="s">
        <v>0</v>
      </c>
      <c r="K2" s="50"/>
    </row>
    <row r="3" spans="1:14">
      <c r="A3" s="5" t="s">
        <v>52</v>
      </c>
      <c r="D3" s="10"/>
      <c r="E3" s="10"/>
      <c r="F3" s="8" t="s">
        <v>1</v>
      </c>
    </row>
    <row r="4" spans="1:14">
      <c r="A4" s="358">
        <v>41974</v>
      </c>
      <c r="B4" s="358"/>
      <c r="C4" s="358"/>
      <c r="D4" s="10"/>
      <c r="E4" s="10"/>
      <c r="F4" s="9"/>
    </row>
    <row r="5" spans="1:14">
      <c r="B5" s="5"/>
      <c r="D5" s="11" t="s">
        <v>2</v>
      </c>
      <c r="E5" s="11"/>
      <c r="F5" s="12" t="s">
        <v>3</v>
      </c>
      <c r="G5" s="12" t="s">
        <v>3</v>
      </c>
      <c r="H5" s="12"/>
      <c r="I5" s="12"/>
    </row>
    <row r="6" spans="1:14" s="11" customFormat="1">
      <c r="A6" s="3"/>
      <c r="B6" s="3"/>
      <c r="C6" s="3"/>
      <c r="D6" s="41" t="s">
        <v>117</v>
      </c>
      <c r="E6" s="15"/>
      <c r="F6" s="13" t="s">
        <v>4</v>
      </c>
      <c r="G6" s="13" t="s">
        <v>5</v>
      </c>
      <c r="H6" s="13" t="s">
        <v>6</v>
      </c>
      <c r="I6" s="13" t="s">
        <v>7</v>
      </c>
      <c r="N6" s="28"/>
    </row>
    <row r="7" spans="1:14">
      <c r="A7" s="3" t="s">
        <v>8</v>
      </c>
      <c r="F7" s="6"/>
      <c r="G7" s="6"/>
      <c r="H7" s="6"/>
      <c r="I7" s="6"/>
    </row>
    <row r="8" spans="1:14">
      <c r="B8" t="s">
        <v>9</v>
      </c>
      <c r="D8" s="26">
        <v>12964800</v>
      </c>
      <c r="E8" s="16"/>
      <c r="F8" s="26">
        <f>D8</f>
        <v>12964800</v>
      </c>
      <c r="G8"/>
      <c r="H8"/>
      <c r="I8"/>
    </row>
    <row r="9" spans="1:14" hidden="1">
      <c r="B9"/>
      <c r="D9" s="16"/>
      <c r="E9" s="16"/>
      <c r="F9" s="1"/>
      <c r="G9" s="6"/>
      <c r="H9" s="6"/>
      <c r="I9" s="6"/>
    </row>
    <row r="10" spans="1:14">
      <c r="B10" t="s">
        <v>10</v>
      </c>
      <c r="D10" s="26">
        <v>60879620.910000004</v>
      </c>
      <c r="E10" s="16"/>
      <c r="F10" s="1"/>
      <c r="G10" s="6"/>
      <c r="H10" s="6"/>
      <c r="I10" s="26">
        <f>D10</f>
        <v>60879620.910000004</v>
      </c>
    </row>
    <row r="11" spans="1:14" hidden="1">
      <c r="B11"/>
      <c r="D11" s="16"/>
      <c r="E11" s="16"/>
      <c r="F11" s="1"/>
      <c r="G11" s="6"/>
      <c r="H11" s="6"/>
      <c r="I11" s="6"/>
    </row>
    <row r="12" spans="1:14" hidden="1">
      <c r="B12" t="s">
        <v>11</v>
      </c>
      <c r="D12" s="26">
        <v>0</v>
      </c>
      <c r="E12" s="16"/>
      <c r="F12" s="26">
        <f>D12</f>
        <v>0</v>
      </c>
      <c r="G12" s="6"/>
      <c r="H12" s="6"/>
      <c r="I12" s="6"/>
    </row>
    <row r="13" spans="1:14" hidden="1">
      <c r="C13"/>
      <c r="D13" s="16"/>
      <c r="E13" s="16"/>
      <c r="F13" s="6"/>
      <c r="G13" s="6"/>
      <c r="H13" s="6"/>
      <c r="I13" s="6"/>
    </row>
    <row r="14" spans="1:14" hidden="1">
      <c r="B14" s="3" t="s">
        <v>12</v>
      </c>
      <c r="C14"/>
      <c r="D14" s="26">
        <v>0</v>
      </c>
      <c r="E14" s="16"/>
      <c r="F14" s="6"/>
      <c r="G14" s="6"/>
      <c r="H14" s="26">
        <f>D14</f>
        <v>0</v>
      </c>
      <c r="I14" s="6"/>
    </row>
    <row r="15" spans="1:14" ht="11.25" thickBot="1">
      <c r="D15" s="11" t="s">
        <v>14</v>
      </c>
      <c r="E15" s="14" t="s">
        <v>13</v>
      </c>
      <c r="F15" s="11" t="s">
        <v>14</v>
      </c>
      <c r="G15" s="11" t="s">
        <v>14</v>
      </c>
      <c r="H15" s="11" t="s">
        <v>14</v>
      </c>
      <c r="I15" s="11" t="s">
        <v>14</v>
      </c>
    </row>
    <row r="16" spans="1:14" ht="11.25" thickBot="1">
      <c r="A16" s="3" t="s">
        <v>15</v>
      </c>
      <c r="D16" s="26">
        <f>SUM(D8:D14)</f>
        <v>73844420.909999996</v>
      </c>
      <c r="E16" s="16"/>
      <c r="F16" s="26">
        <f>SUM(F8:F14)</f>
        <v>12964800</v>
      </c>
      <c r="G16" s="26">
        <f>SUM(G8:G14)</f>
        <v>0</v>
      </c>
      <c r="H16" s="26">
        <f>SUM(H8:H14)</f>
        <v>0</v>
      </c>
      <c r="I16" s="26">
        <f>SUM(I8:I14)</f>
        <v>60879620.910000004</v>
      </c>
      <c r="K16" s="36">
        <v>0</v>
      </c>
      <c r="L16" s="24" t="s">
        <v>40</v>
      </c>
      <c r="M16" s="37">
        <f>D16-SUM(F16:I16)</f>
        <v>0</v>
      </c>
    </row>
    <row r="17" spans="1:19">
      <c r="D17" s="16"/>
      <c r="E17" s="16"/>
      <c r="F17" s="16"/>
      <c r="G17" s="16"/>
      <c r="H17" s="16"/>
      <c r="I17" s="16"/>
      <c r="P17" s="8" t="s">
        <v>67</v>
      </c>
    </row>
    <row r="18" spans="1:19">
      <c r="D18"/>
      <c r="E18" s="6"/>
      <c r="F18" s="6"/>
      <c r="G18" s="6"/>
      <c r="H18" s="6"/>
      <c r="I18" s="6"/>
      <c r="N18" s="39"/>
      <c r="O18" s="35"/>
      <c r="P18" s="48">
        <f>+A4</f>
        <v>41974</v>
      </c>
    </row>
    <row r="19" spans="1:19" ht="11.25">
      <c r="A19" s="3" t="s">
        <v>16</v>
      </c>
      <c r="D19" s="16"/>
      <c r="E19" s="16"/>
      <c r="F19" s="45"/>
      <c r="G19" s="6"/>
      <c r="H19" s="6"/>
      <c r="I19" s="6"/>
      <c r="N19" s="29" t="s">
        <v>56</v>
      </c>
      <c r="O19" s="42">
        <v>0.42634034956164213</v>
      </c>
      <c r="P19" s="16">
        <v>14785516.07</v>
      </c>
      <c r="Q19" s="44"/>
      <c r="R19" s="30"/>
      <c r="S19" s="16"/>
    </row>
    <row r="20" spans="1:19" ht="11.25" hidden="1">
      <c r="B20"/>
      <c r="C20" s="3" t="s">
        <v>17</v>
      </c>
      <c r="D20" s="26">
        <v>0</v>
      </c>
      <c r="E20" s="16"/>
      <c r="F20" s="26">
        <f>D20</f>
        <v>0</v>
      </c>
      <c r="G20" s="6"/>
      <c r="H20" s="6"/>
      <c r="I20" s="6"/>
      <c r="N20" s="29" t="s">
        <v>58</v>
      </c>
      <c r="O20" s="42">
        <f>1-O19</f>
        <v>0.57365965043835787</v>
      </c>
      <c r="P20" s="16">
        <v>19894560.739999998</v>
      </c>
      <c r="Q20" s="44"/>
      <c r="R20" s="30"/>
      <c r="S20" s="16"/>
    </row>
    <row r="21" spans="1:19" ht="11.25" hidden="1">
      <c r="B21"/>
      <c r="C21" s="3" t="s">
        <v>18</v>
      </c>
      <c r="D21" s="26">
        <v>0</v>
      </c>
      <c r="E21" s="16"/>
      <c r="F21" s="26">
        <f>D21-G21</f>
        <v>0</v>
      </c>
      <c r="G21" s="26">
        <v>0</v>
      </c>
      <c r="H21" s="6"/>
      <c r="I21" s="6"/>
      <c r="N21" s="29" t="s">
        <v>57</v>
      </c>
      <c r="O21" s="42">
        <f>IFERROR(P21/(P21+P22),0)</f>
        <v>0</v>
      </c>
      <c r="P21" s="16">
        <v>0</v>
      </c>
      <c r="Q21" s="44"/>
      <c r="R21" s="30"/>
      <c r="S21" s="16"/>
    </row>
    <row r="22" spans="1:19" ht="11.25">
      <c r="B22"/>
      <c r="C22" s="3" t="s">
        <v>19</v>
      </c>
      <c r="D22" s="26">
        <v>-148246.80999999959</v>
      </c>
      <c r="E22" s="16"/>
      <c r="F22" s="26">
        <f>D22*0.3</f>
        <v>-44474.042999999874</v>
      </c>
      <c r="G22" s="26">
        <f>D22*0.7</f>
        <v>-103772.7669999997</v>
      </c>
      <c r="H22" s="6"/>
      <c r="I22" s="6"/>
      <c r="N22" s="29" t="s">
        <v>59</v>
      </c>
      <c r="O22" s="42">
        <f>1-O21</f>
        <v>1</v>
      </c>
      <c r="P22" s="16">
        <v>0</v>
      </c>
      <c r="Q22" s="44"/>
      <c r="R22" s="30"/>
      <c r="S22" s="16"/>
    </row>
    <row r="23" spans="1:19">
      <c r="B23"/>
      <c r="C23" s="3" t="s">
        <v>20</v>
      </c>
      <c r="D23" s="26">
        <v>270000</v>
      </c>
      <c r="E23" s="16"/>
      <c r="F23" s="26">
        <f>D23*0.2073628</f>
        <v>55987.956000000006</v>
      </c>
      <c r="G23" s="26">
        <f>D23-F23</f>
        <v>214012.04399999999</v>
      </c>
      <c r="H23" s="6"/>
      <c r="I23" s="6"/>
    </row>
    <row r="24" spans="1:19">
      <c r="B24"/>
      <c r="C24" s="3" t="s">
        <v>21</v>
      </c>
      <c r="D24" s="26">
        <f>N27</f>
        <v>76897305.959999993</v>
      </c>
      <c r="E24" s="16"/>
      <c r="F24" s="31">
        <f>(N25+N24*O19)*K24</f>
        <v>2517906.851172646</v>
      </c>
      <c r="G24" s="31">
        <f>(N25+N24*O19)*L24</f>
        <v>12267609.214563949</v>
      </c>
      <c r="H24" s="6"/>
      <c r="I24" s="31">
        <f>(N26+N24*O20)</f>
        <v>62111789.894263402</v>
      </c>
      <c r="K24" s="25">
        <v>0.17029549999999999</v>
      </c>
      <c r="L24" s="25">
        <f>1-K24</f>
        <v>0.82970450000000007</v>
      </c>
      <c r="N24" s="26">
        <v>34680076.799999997</v>
      </c>
      <c r="O24" t="s">
        <v>53</v>
      </c>
    </row>
    <row r="25" spans="1:19">
      <c r="B25"/>
      <c r="C25" s="49" t="s">
        <v>90</v>
      </c>
      <c r="D25" s="26">
        <v>0</v>
      </c>
      <c r="E25" s="16"/>
      <c r="F25" s="6"/>
      <c r="G25" s="26">
        <f>D25</f>
        <v>0</v>
      </c>
      <c r="H25" s="6"/>
      <c r="I25" s="26"/>
      <c r="N25" s="26">
        <v>0</v>
      </c>
      <c r="O25" t="s">
        <v>50</v>
      </c>
    </row>
    <row r="26" spans="1:19">
      <c r="B26" s="40" t="s">
        <v>65</v>
      </c>
      <c r="C26" s="14"/>
      <c r="D26" s="11" t="s">
        <v>14</v>
      </c>
      <c r="E26" s="14" t="s">
        <v>13</v>
      </c>
      <c r="F26" s="11" t="s">
        <v>14</v>
      </c>
      <c r="G26" s="11" t="s">
        <v>14</v>
      </c>
      <c r="H26" s="11" t="s">
        <v>14</v>
      </c>
      <c r="I26" s="11" t="s">
        <v>14</v>
      </c>
      <c r="K26" s="25"/>
      <c r="L26" s="25"/>
      <c r="N26" s="43">
        <v>42217229.159999996</v>
      </c>
      <c r="O26" t="s">
        <v>49</v>
      </c>
    </row>
    <row r="27" spans="1:19">
      <c r="B27" s="3" t="s">
        <v>22</v>
      </c>
      <c r="C27"/>
      <c r="D27" s="26">
        <f>SUM(D20:D26)</f>
        <v>77019059.149999991</v>
      </c>
      <c r="E27" s="16"/>
      <c r="F27" s="26">
        <f>SUM(F20:F26)</f>
        <v>2529420.7641726462</v>
      </c>
      <c r="G27" s="26">
        <f>SUM(G20:G26)</f>
        <v>12377848.49156395</v>
      </c>
      <c r="H27" s="26">
        <f>SUM(H20:H26)</f>
        <v>0</v>
      </c>
      <c r="I27" s="26">
        <f>SUM(I20:I26)</f>
        <v>62111789.894263402</v>
      </c>
      <c r="K27" s="25"/>
      <c r="L27" s="25"/>
      <c r="N27" s="26">
        <f>SUM(N24:N26)</f>
        <v>76897305.959999993</v>
      </c>
      <c r="O27"/>
    </row>
    <row r="28" spans="1:19" ht="12.75">
      <c r="D28" s="1"/>
      <c r="E28" s="16"/>
      <c r="F28" s="1"/>
      <c r="G28" s="1"/>
      <c r="H28" s="6"/>
      <c r="I28" s="6"/>
      <c r="K28" s="25"/>
      <c r="L28" s="25"/>
      <c r="N28" s="34"/>
      <c r="O28" s="32"/>
    </row>
    <row r="29" spans="1:19" hidden="1">
      <c r="B29"/>
      <c r="C29" s="3" t="s">
        <v>41</v>
      </c>
      <c r="D29" s="26">
        <v>0</v>
      </c>
      <c r="E29" s="16"/>
      <c r="F29" s="26"/>
      <c r="G29" s="26">
        <f>D29</f>
        <v>0</v>
      </c>
      <c r="H29" s="6"/>
      <c r="I29" s="6"/>
      <c r="K29" s="25"/>
      <c r="L29" s="25"/>
      <c r="N29" s="26">
        <v>0</v>
      </c>
      <c r="O29" t="s">
        <v>54</v>
      </c>
    </row>
    <row r="30" spans="1:19" hidden="1">
      <c r="B30"/>
      <c r="C30" s="3" t="s">
        <v>23</v>
      </c>
      <c r="D30" s="26">
        <v>0</v>
      </c>
      <c r="E30" s="16"/>
      <c r="F30" s="26"/>
      <c r="G30" s="26">
        <f>D30</f>
        <v>0</v>
      </c>
      <c r="H30" s="6"/>
      <c r="I30" s="6"/>
      <c r="K30" s="25"/>
      <c r="L30" s="25"/>
      <c r="M30" s="21"/>
      <c r="N30" s="26">
        <v>0</v>
      </c>
      <c r="O30" t="s">
        <v>51</v>
      </c>
    </row>
    <row r="31" spans="1:19" hidden="1">
      <c r="B31"/>
      <c r="C31" s="3" t="s">
        <v>24</v>
      </c>
      <c r="D31" s="26">
        <f>N32</f>
        <v>0</v>
      </c>
      <c r="E31" s="16"/>
      <c r="F31" s="31">
        <f>(N30+N29*O21)*K31</f>
        <v>0</v>
      </c>
      <c r="G31" s="31">
        <f>(N30+N29*O21)*L31</f>
        <v>0</v>
      </c>
      <c r="H31" s="6"/>
      <c r="I31" s="31">
        <f>(N31+N29*O22)</f>
        <v>0</v>
      </c>
      <c r="K31" s="25">
        <v>0.7</v>
      </c>
      <c r="L31" s="25">
        <f>1-K31</f>
        <v>0.30000000000000004</v>
      </c>
      <c r="N31" s="43">
        <v>0</v>
      </c>
      <c r="O31" t="s">
        <v>48</v>
      </c>
    </row>
    <row r="32" spans="1:19" hidden="1">
      <c r="B32"/>
      <c r="C32" s="3" t="s">
        <v>25</v>
      </c>
      <c r="D32" s="26">
        <v>0</v>
      </c>
      <c r="E32" s="16"/>
      <c r="F32" s="26">
        <f>D32</f>
        <v>0</v>
      </c>
      <c r="G32" s="26">
        <v>0</v>
      </c>
      <c r="H32" s="6"/>
      <c r="I32" s="6"/>
      <c r="N32" s="33">
        <f>SUM(N29:N31)</f>
        <v>0</v>
      </c>
      <c r="O32"/>
    </row>
    <row r="33" spans="2:18" hidden="1">
      <c r="B33"/>
      <c r="C33" s="3" t="s">
        <v>89</v>
      </c>
      <c r="D33" s="26">
        <v>0</v>
      </c>
      <c r="E33" s="16"/>
      <c r="F33" s="6"/>
      <c r="G33" s="26">
        <f>D33</f>
        <v>0</v>
      </c>
      <c r="H33" s="6"/>
      <c r="I33" s="6"/>
      <c r="N33" s="33"/>
      <c r="O33"/>
    </row>
    <row r="34" spans="2:18" hidden="1">
      <c r="B34"/>
      <c r="C34" s="3" t="s">
        <v>26</v>
      </c>
      <c r="D34" s="26">
        <v>0</v>
      </c>
      <c r="E34" s="16"/>
      <c r="F34" s="26">
        <v>0</v>
      </c>
      <c r="G34" s="26">
        <v>0</v>
      </c>
      <c r="H34" s="6"/>
      <c r="I34" s="6"/>
    </row>
    <row r="35" spans="2:18" hidden="1">
      <c r="B35" s="40" t="s">
        <v>65</v>
      </c>
      <c r="C35" s="14"/>
      <c r="D35" s="11" t="s">
        <v>14</v>
      </c>
      <c r="E35" s="14" t="s">
        <v>13</v>
      </c>
      <c r="F35" s="11" t="s">
        <v>14</v>
      </c>
      <c r="G35" s="11" t="s">
        <v>14</v>
      </c>
      <c r="H35" s="11" t="s">
        <v>14</v>
      </c>
      <c r="I35" s="11" t="s">
        <v>14</v>
      </c>
      <c r="R35" s="30"/>
    </row>
    <row r="36" spans="2:18" hidden="1">
      <c r="B36" s="3" t="s">
        <v>27</v>
      </c>
      <c r="C36"/>
      <c r="D36" s="26">
        <f>SUM(D29:D35)</f>
        <v>0</v>
      </c>
      <c r="E36" s="16"/>
      <c r="F36" s="26">
        <f>SUM(F29:F35)</f>
        <v>0</v>
      </c>
      <c r="G36" s="26">
        <f>SUM(G29:G35)</f>
        <v>0</v>
      </c>
      <c r="H36" s="26">
        <f>SUM(H29:H35)</f>
        <v>0</v>
      </c>
      <c r="I36" s="26">
        <f>SUM(I29:I35)</f>
        <v>0</v>
      </c>
    </row>
    <row r="37" spans="2:18">
      <c r="D37" s="16"/>
      <c r="E37" s="16"/>
      <c r="F37" s="6"/>
      <c r="G37" s="6"/>
      <c r="H37" s="6"/>
      <c r="I37" s="6"/>
      <c r="N37" s="3"/>
    </row>
    <row r="38" spans="2:18" hidden="1">
      <c r="B38"/>
      <c r="C38" s="3" t="s">
        <v>68</v>
      </c>
      <c r="D38" s="26">
        <v>0</v>
      </c>
      <c r="E38" s="16"/>
      <c r="F38" s="6"/>
      <c r="G38" s="6"/>
      <c r="H38" s="6"/>
      <c r="I38" s="26">
        <f t="shared" ref="I38:I65" si="0">IF(K38="Post Merger",D38,0)</f>
        <v>0</v>
      </c>
      <c r="K38" s="3" t="s">
        <v>10</v>
      </c>
    </row>
    <row r="39" spans="2:18" hidden="1">
      <c r="B39"/>
      <c r="C39" s="3" t="s">
        <v>55</v>
      </c>
      <c r="D39" s="26">
        <v>0</v>
      </c>
      <c r="E39" s="16"/>
      <c r="F39" s="6"/>
      <c r="G39" s="6"/>
      <c r="H39" s="6"/>
      <c r="I39" s="26">
        <f t="shared" si="0"/>
        <v>0</v>
      </c>
      <c r="K39" s="3" t="s">
        <v>10</v>
      </c>
    </row>
    <row r="40" spans="2:18" hidden="1">
      <c r="B40"/>
      <c r="C40" s="3" t="s">
        <v>69</v>
      </c>
      <c r="D40" s="26">
        <v>0</v>
      </c>
      <c r="E40" s="16"/>
      <c r="F40" s="6"/>
      <c r="G40" s="6"/>
      <c r="H40" s="6"/>
      <c r="I40" s="26">
        <f t="shared" si="0"/>
        <v>0</v>
      </c>
      <c r="K40" s="3" t="s">
        <v>10</v>
      </c>
    </row>
    <row r="41" spans="2:18" hidden="1">
      <c r="B41"/>
      <c r="C41" s="3" t="s">
        <v>88</v>
      </c>
      <c r="D41" s="26">
        <v>0</v>
      </c>
      <c r="E41" s="16"/>
      <c r="F41" s="6"/>
      <c r="G41" s="6"/>
      <c r="H41" s="6"/>
      <c r="I41" s="26">
        <f t="shared" si="0"/>
        <v>0</v>
      </c>
      <c r="K41" s="3" t="s">
        <v>10</v>
      </c>
    </row>
    <row r="42" spans="2:18" hidden="1">
      <c r="B42"/>
      <c r="C42" s="3" t="s">
        <v>70</v>
      </c>
      <c r="D42" s="26">
        <v>0</v>
      </c>
      <c r="E42" s="16"/>
      <c r="F42" s="6"/>
      <c r="G42" s="6"/>
      <c r="H42" s="6"/>
      <c r="I42" s="26">
        <f t="shared" si="0"/>
        <v>0</v>
      </c>
      <c r="K42" s="3" t="s">
        <v>10</v>
      </c>
    </row>
    <row r="43" spans="2:18">
      <c r="B43"/>
      <c r="C43" s="3" t="s">
        <v>71</v>
      </c>
      <c r="D43" s="26">
        <v>4575693.2</v>
      </c>
      <c r="E43" s="16"/>
      <c r="F43" s="6"/>
      <c r="G43" s="6"/>
      <c r="H43" s="6"/>
      <c r="I43" s="26">
        <f t="shared" si="0"/>
        <v>4575693.2</v>
      </c>
      <c r="K43" s="3" t="s">
        <v>10</v>
      </c>
    </row>
    <row r="44" spans="2:18" hidden="1">
      <c r="B44"/>
      <c r="C44" s="3" t="s">
        <v>72</v>
      </c>
      <c r="D44" s="26">
        <v>0</v>
      </c>
      <c r="E44" s="16"/>
      <c r="F44" s="6"/>
      <c r="G44" s="6"/>
      <c r="H44" s="6"/>
      <c r="I44" s="26">
        <f t="shared" si="0"/>
        <v>0</v>
      </c>
      <c r="K44" s="3" t="s">
        <v>10</v>
      </c>
    </row>
    <row r="45" spans="2:18">
      <c r="B45"/>
      <c r="C45" s="3" t="s">
        <v>46</v>
      </c>
      <c r="D45" s="26">
        <v>8005931.2199999997</v>
      </c>
      <c r="E45" s="16"/>
      <c r="F45" s="6"/>
      <c r="G45" s="6"/>
      <c r="H45" s="6"/>
      <c r="I45" s="26">
        <f t="shared" si="0"/>
        <v>8005931.2199999997</v>
      </c>
      <c r="K45" s="3" t="s">
        <v>10</v>
      </c>
    </row>
    <row r="46" spans="2:18">
      <c r="B46"/>
      <c r="C46" s="3" t="s">
        <v>73</v>
      </c>
      <c r="D46" s="26">
        <v>84152812.780000001</v>
      </c>
      <c r="E46" s="16"/>
      <c r="F46" s="6"/>
      <c r="G46" s="6"/>
      <c r="H46" s="6"/>
      <c r="I46" s="26">
        <f t="shared" si="0"/>
        <v>84152812.780000001</v>
      </c>
      <c r="K46" s="3" t="s">
        <v>10</v>
      </c>
    </row>
    <row r="47" spans="2:18" hidden="1">
      <c r="B47"/>
      <c r="C47" s="3" t="s">
        <v>74</v>
      </c>
      <c r="D47" s="26">
        <v>0</v>
      </c>
      <c r="E47" s="16"/>
      <c r="F47" s="6"/>
      <c r="G47" s="6"/>
      <c r="H47" s="6"/>
      <c r="I47" s="26">
        <f t="shared" si="0"/>
        <v>0</v>
      </c>
      <c r="K47" s="3" t="s">
        <v>10</v>
      </c>
    </row>
    <row r="48" spans="2:18" hidden="1">
      <c r="B48"/>
      <c r="C48" s="3" t="s">
        <v>75</v>
      </c>
      <c r="D48" s="26">
        <v>0</v>
      </c>
      <c r="E48" s="16"/>
      <c r="F48" s="6"/>
      <c r="G48" s="6"/>
      <c r="H48" s="6"/>
      <c r="I48" s="26">
        <f t="shared" si="0"/>
        <v>0</v>
      </c>
      <c r="K48" s="3" t="s">
        <v>10</v>
      </c>
    </row>
    <row r="49" spans="2:11" hidden="1">
      <c r="B49"/>
      <c r="C49" s="3" t="s">
        <v>45</v>
      </c>
      <c r="D49" s="26">
        <v>0</v>
      </c>
      <c r="E49" s="16"/>
      <c r="F49" s="6"/>
      <c r="G49" s="6"/>
      <c r="H49" s="6"/>
      <c r="I49" s="26">
        <f t="shared" si="0"/>
        <v>0</v>
      </c>
      <c r="K49" s="3" t="s">
        <v>10</v>
      </c>
    </row>
    <row r="50" spans="2:11" hidden="1">
      <c r="B50"/>
      <c r="C50" s="22" t="s">
        <v>76</v>
      </c>
      <c r="D50" s="26">
        <v>0</v>
      </c>
      <c r="E50" s="16"/>
      <c r="F50" s="6"/>
      <c r="G50" s="6"/>
      <c r="H50" s="6"/>
      <c r="I50" s="26">
        <f t="shared" si="0"/>
        <v>0</v>
      </c>
      <c r="K50" s="3" t="s">
        <v>10</v>
      </c>
    </row>
    <row r="51" spans="2:11" hidden="1">
      <c r="B51"/>
      <c r="C51" s="3" t="s">
        <v>77</v>
      </c>
      <c r="D51" s="26">
        <v>0</v>
      </c>
      <c r="E51" s="16"/>
      <c r="F51" s="6"/>
      <c r="G51" s="6"/>
      <c r="H51" s="6"/>
      <c r="I51" s="26">
        <f t="shared" si="0"/>
        <v>0</v>
      </c>
      <c r="K51" s="3" t="s">
        <v>10</v>
      </c>
    </row>
    <row r="52" spans="2:11" hidden="1">
      <c r="B52"/>
      <c r="C52" s="3" t="s">
        <v>78</v>
      </c>
      <c r="D52" s="26">
        <v>0</v>
      </c>
      <c r="E52" s="16"/>
      <c r="F52" s="6"/>
      <c r="G52" s="6"/>
      <c r="H52" s="6"/>
      <c r="I52" s="26">
        <f t="shared" si="0"/>
        <v>0</v>
      </c>
      <c r="K52" s="3" t="s">
        <v>10</v>
      </c>
    </row>
    <row r="53" spans="2:11" hidden="1">
      <c r="B53"/>
      <c r="C53" s="3" t="s">
        <v>79</v>
      </c>
      <c r="D53" s="26">
        <v>0</v>
      </c>
      <c r="E53" s="16"/>
      <c r="F53" s="6"/>
      <c r="G53" s="6"/>
      <c r="H53" s="6"/>
      <c r="I53" s="26">
        <f t="shared" si="0"/>
        <v>0</v>
      </c>
      <c r="K53" s="3" t="s">
        <v>10</v>
      </c>
    </row>
    <row r="54" spans="2:11" hidden="1">
      <c r="B54"/>
      <c r="C54" s="3" t="s">
        <v>80</v>
      </c>
      <c r="D54" s="26">
        <v>0</v>
      </c>
      <c r="E54" s="16"/>
      <c r="F54" s="6"/>
      <c r="G54" s="6"/>
      <c r="H54" s="6"/>
      <c r="I54" s="26">
        <f t="shared" si="0"/>
        <v>0</v>
      </c>
      <c r="K54" s="3" t="s">
        <v>10</v>
      </c>
    </row>
    <row r="55" spans="2:11" hidden="1">
      <c r="B55"/>
      <c r="C55" s="3" t="s">
        <v>81</v>
      </c>
      <c r="D55" s="26">
        <v>0</v>
      </c>
      <c r="E55" s="16"/>
      <c r="F55" s="6"/>
      <c r="G55" s="6"/>
      <c r="H55" s="6"/>
      <c r="I55" s="26">
        <f t="shared" si="0"/>
        <v>0</v>
      </c>
      <c r="K55" s="3" t="s">
        <v>10</v>
      </c>
    </row>
    <row r="56" spans="2:11" hidden="1">
      <c r="B56"/>
      <c r="C56" s="3" t="s">
        <v>82</v>
      </c>
      <c r="D56" s="26">
        <v>0</v>
      </c>
      <c r="E56" s="16"/>
      <c r="F56" s="6"/>
      <c r="G56" s="6"/>
      <c r="H56" s="6"/>
      <c r="I56" s="26">
        <f t="shared" si="0"/>
        <v>0</v>
      </c>
      <c r="K56" s="3" t="s">
        <v>10</v>
      </c>
    </row>
    <row r="57" spans="2:11" hidden="1">
      <c r="B57"/>
      <c r="C57" s="27" t="s">
        <v>83</v>
      </c>
      <c r="D57" s="26">
        <v>0</v>
      </c>
      <c r="E57" s="16"/>
      <c r="F57" s="6"/>
      <c r="G57" s="6"/>
      <c r="H57" s="6"/>
      <c r="I57" s="26">
        <f t="shared" si="0"/>
        <v>0</v>
      </c>
      <c r="K57" s="3" t="s">
        <v>10</v>
      </c>
    </row>
    <row r="58" spans="2:11" hidden="1">
      <c r="B58"/>
      <c r="C58" s="27" t="s">
        <v>92</v>
      </c>
      <c r="D58" s="26">
        <v>0</v>
      </c>
      <c r="E58" s="16"/>
      <c r="F58" s="6"/>
      <c r="G58" s="6"/>
      <c r="H58" s="6"/>
      <c r="I58" s="26">
        <f t="shared" si="0"/>
        <v>0</v>
      </c>
      <c r="K58" s="3" t="s">
        <v>10</v>
      </c>
    </row>
    <row r="59" spans="2:11" hidden="1">
      <c r="B59"/>
      <c r="C59" s="3" t="s">
        <v>84</v>
      </c>
      <c r="D59" s="26">
        <v>0</v>
      </c>
      <c r="E59" s="16"/>
      <c r="F59" s="6"/>
      <c r="G59" s="6"/>
      <c r="H59" s="6"/>
      <c r="I59" s="26">
        <f t="shared" si="0"/>
        <v>0</v>
      </c>
      <c r="K59" s="3" t="s">
        <v>10</v>
      </c>
    </row>
    <row r="60" spans="2:11" hidden="1">
      <c r="B60"/>
      <c r="C60" s="3" t="s">
        <v>95</v>
      </c>
      <c r="D60" s="26">
        <v>0</v>
      </c>
      <c r="E60" s="16"/>
      <c r="F60" s="6"/>
      <c r="G60" s="6"/>
      <c r="H60" s="6"/>
      <c r="I60" s="26">
        <f t="shared" si="0"/>
        <v>0</v>
      </c>
      <c r="K60" s="3" t="s">
        <v>10</v>
      </c>
    </row>
    <row r="61" spans="2:11" hidden="1">
      <c r="B61"/>
      <c r="C61" s="3" t="s">
        <v>85</v>
      </c>
      <c r="D61" s="26">
        <v>0</v>
      </c>
      <c r="E61" s="16"/>
      <c r="F61" s="6"/>
      <c r="G61" s="6"/>
      <c r="H61" s="6"/>
      <c r="I61" s="26">
        <f t="shared" si="0"/>
        <v>0</v>
      </c>
      <c r="K61" s="3" t="s">
        <v>10</v>
      </c>
    </row>
    <row r="62" spans="2:11" hidden="1">
      <c r="B62"/>
      <c r="C62" s="3" t="s">
        <v>86</v>
      </c>
      <c r="D62" s="26">
        <v>0</v>
      </c>
      <c r="E62" s="16"/>
      <c r="F62" s="6"/>
      <c r="G62" s="6"/>
      <c r="H62" s="6"/>
      <c r="I62" s="26">
        <f t="shared" si="0"/>
        <v>0</v>
      </c>
      <c r="K62" s="3" t="s">
        <v>10</v>
      </c>
    </row>
    <row r="63" spans="2:11" hidden="1">
      <c r="B63"/>
      <c r="C63" s="3" t="s">
        <v>94</v>
      </c>
      <c r="D63" s="26">
        <v>0</v>
      </c>
      <c r="E63" s="16"/>
      <c r="F63" s="6"/>
      <c r="G63" s="6"/>
      <c r="H63" s="6"/>
      <c r="I63" s="26">
        <f t="shared" si="0"/>
        <v>0</v>
      </c>
      <c r="K63" s="3" t="s">
        <v>10</v>
      </c>
    </row>
    <row r="64" spans="2:11" hidden="1">
      <c r="B64"/>
      <c r="C64" s="27" t="s">
        <v>87</v>
      </c>
      <c r="D64" s="26">
        <v>0</v>
      </c>
      <c r="E64" s="16"/>
      <c r="F64" s="6"/>
      <c r="G64" s="6"/>
      <c r="H64" s="6"/>
      <c r="I64" s="26">
        <f t="shared" si="0"/>
        <v>0</v>
      </c>
      <c r="K64" s="3" t="s">
        <v>10</v>
      </c>
    </row>
    <row r="65" spans="1:16" hidden="1">
      <c r="B65"/>
      <c r="C65" s="3" t="s">
        <v>93</v>
      </c>
      <c r="D65" s="26">
        <v>0</v>
      </c>
      <c r="E65" s="16"/>
      <c r="F65" s="6"/>
      <c r="G65" s="6"/>
      <c r="H65" s="6"/>
      <c r="I65" s="26">
        <f t="shared" si="0"/>
        <v>0</v>
      </c>
      <c r="K65" s="3" t="s">
        <v>10</v>
      </c>
    </row>
    <row r="66" spans="1:16" ht="11.25" thickBot="1">
      <c r="B66"/>
      <c r="C66" s="27"/>
      <c r="D66" s="26"/>
      <c r="E66" s="16"/>
      <c r="F66" s="6"/>
      <c r="G66" s="6"/>
      <c r="H66" s="6"/>
      <c r="I66" s="26"/>
    </row>
    <row r="67" spans="1:16" hidden="1">
      <c r="B67" s="22" t="s">
        <v>64</v>
      </c>
      <c r="C67" s="27"/>
      <c r="D67" s="26"/>
      <c r="E67" s="16"/>
      <c r="F67" s="6"/>
      <c r="G67" s="6"/>
      <c r="H67" s="6"/>
      <c r="I67" s="26"/>
    </row>
    <row r="68" spans="1:16" ht="11.25" hidden="1" thickBot="1">
      <c r="B68"/>
      <c r="C68" s="3" t="s">
        <v>96</v>
      </c>
      <c r="D68" s="26">
        <v>0</v>
      </c>
      <c r="E68" s="16"/>
      <c r="F68" s="6"/>
      <c r="G68" s="6"/>
      <c r="H68" s="6"/>
      <c r="I68" s="26">
        <f>IF(K68="Post Merger",D68,0)</f>
        <v>0</v>
      </c>
      <c r="K68" s="3" t="s">
        <v>10</v>
      </c>
    </row>
    <row r="69" spans="1:16" ht="11.25" thickBot="1">
      <c r="B69"/>
      <c r="D69" s="16"/>
      <c r="E69" s="16"/>
      <c r="F69" s="6"/>
      <c r="G69" s="6"/>
      <c r="H69" s="6"/>
      <c r="I69" s="6"/>
      <c r="K69" s="36">
        <v>0</v>
      </c>
      <c r="L69" s="24" t="s">
        <v>40</v>
      </c>
      <c r="M69" s="37">
        <v>0</v>
      </c>
    </row>
    <row r="70" spans="1:16">
      <c r="B70"/>
      <c r="C70" t="s">
        <v>115</v>
      </c>
      <c r="D70" s="26">
        <v>67393898.069999993</v>
      </c>
      <c r="E70" s="16"/>
      <c r="F70" s="6"/>
      <c r="G70" s="6"/>
      <c r="H70" s="6"/>
      <c r="I70" s="26">
        <f>D70</f>
        <v>67393898.069999993</v>
      </c>
    </row>
    <row r="71" spans="1:16" ht="11.25" thickBot="1">
      <c r="B71" s="40" t="s">
        <v>65</v>
      </c>
      <c r="C71" s="14"/>
      <c r="D71" s="11" t="s">
        <v>14</v>
      </c>
      <c r="E71" s="14" t="s">
        <v>13</v>
      </c>
      <c r="F71" s="11" t="s">
        <v>14</v>
      </c>
      <c r="G71" s="11" t="s">
        <v>14</v>
      </c>
      <c r="H71" s="11" t="s">
        <v>14</v>
      </c>
      <c r="I71" s="11" t="s">
        <v>14</v>
      </c>
    </row>
    <row r="72" spans="1:16" ht="11.25" thickBot="1">
      <c r="B72" s="3" t="s">
        <v>28</v>
      </c>
      <c r="C72"/>
      <c r="D72" s="26">
        <f>SUM(D38:D70)</f>
        <v>164128335.26999998</v>
      </c>
      <c r="E72" s="16"/>
      <c r="F72" s="26">
        <f>SUM(F38:F70)</f>
        <v>0</v>
      </c>
      <c r="G72" s="26">
        <f>SUM(G38:G70)</f>
        <v>0</v>
      </c>
      <c r="H72" s="26">
        <f>SUM(H38:H70)</f>
        <v>0</v>
      </c>
      <c r="I72" s="26">
        <f>SUM(I38:I70)</f>
        <v>164128335.26999998</v>
      </c>
      <c r="K72" s="36"/>
      <c r="L72" s="24" t="s">
        <v>40</v>
      </c>
      <c r="M72" s="37">
        <f>D72-SUM(F72:I72)</f>
        <v>0</v>
      </c>
    </row>
    <row r="73" spans="1:16">
      <c r="B73" s="3" t="s">
        <v>116</v>
      </c>
      <c r="D73" s="26">
        <v>663166.31000000006</v>
      </c>
      <c r="E73" s="16"/>
      <c r="F73" s="14"/>
      <c r="H73" s="26"/>
      <c r="I73" s="26">
        <f>D73</f>
        <v>663166.31000000006</v>
      </c>
      <c r="J73"/>
      <c r="K73"/>
      <c r="L73"/>
      <c r="M73"/>
    </row>
    <row r="74" spans="1:16">
      <c r="B74" s="3" t="s">
        <v>29</v>
      </c>
      <c r="C74"/>
      <c r="D74" s="26">
        <v>0</v>
      </c>
      <c r="E74" s="16"/>
      <c r="F74" s="26"/>
      <c r="G74" s="26"/>
      <c r="H74" s="26">
        <f>D74</f>
        <v>0</v>
      </c>
      <c r="I74" s="6"/>
    </row>
    <row r="75" spans="1:16" ht="11.25" thickBot="1">
      <c r="D75" s="11" t="s">
        <v>14</v>
      </c>
      <c r="E75" s="14" t="s">
        <v>13</v>
      </c>
      <c r="F75" s="11" t="s">
        <v>14</v>
      </c>
      <c r="G75" s="11" t="s">
        <v>14</v>
      </c>
      <c r="H75" s="11" t="s">
        <v>14</v>
      </c>
      <c r="I75" s="11" t="s">
        <v>14</v>
      </c>
    </row>
    <row r="76" spans="1:16" ht="11.25" thickBot="1">
      <c r="A76" s="3" t="s">
        <v>30</v>
      </c>
      <c r="D76" s="26">
        <f>D72+D73+D74+D36+D27</f>
        <v>241810560.72999996</v>
      </c>
      <c r="E76" s="16"/>
      <c r="F76" s="26">
        <f>F72+F73+F74+F36+F27</f>
        <v>2529420.7641726462</v>
      </c>
      <c r="G76" s="26">
        <f>G72+G73+G74+G36+G27</f>
        <v>12377848.49156395</v>
      </c>
      <c r="H76" s="26">
        <f>H72+H73+H74+H36+H27</f>
        <v>0</v>
      </c>
      <c r="I76" s="26">
        <f>I72+I73+I74+I36+I27</f>
        <v>226903291.47426337</v>
      </c>
      <c r="K76" s="36">
        <v>0</v>
      </c>
      <c r="L76" s="24" t="s">
        <v>40</v>
      </c>
      <c r="M76" s="37">
        <f>D76-SUM(F76:I76)</f>
        <v>0</v>
      </c>
    </row>
    <row r="77" spans="1:16">
      <c r="D77" s="16"/>
      <c r="E77" s="16"/>
      <c r="F77" s="16"/>
      <c r="G77" s="16"/>
      <c r="H77" s="16"/>
      <c r="I77" s="16"/>
    </row>
    <row r="78" spans="1:16">
      <c r="D78" s="16"/>
      <c r="E78" s="16"/>
      <c r="F78" s="16"/>
      <c r="G78" s="16"/>
      <c r="H78" s="16"/>
      <c r="I78" s="16"/>
    </row>
    <row r="79" spans="1:16" ht="11.25">
      <c r="A79" s="3" t="s">
        <v>31</v>
      </c>
      <c r="F79" s="6"/>
      <c r="G79" s="6"/>
      <c r="H79" s="6"/>
      <c r="I79" s="6"/>
      <c r="N79" s="29" t="s">
        <v>60</v>
      </c>
      <c r="O79" s="32">
        <v>24999835.973468848</v>
      </c>
      <c r="P79" s="26"/>
    </row>
    <row r="80" spans="1:16" ht="11.25">
      <c r="F80" s="6"/>
      <c r="G80" s="6"/>
      <c r="H80" s="6"/>
      <c r="I80" s="6"/>
      <c r="N80" s="29" t="s">
        <v>61</v>
      </c>
      <c r="O80" s="32">
        <v>0</v>
      </c>
      <c r="P80" s="26"/>
    </row>
    <row r="81" spans="1:16" customFormat="1" ht="11.25">
      <c r="A81" s="3"/>
      <c r="B81" s="3" t="s">
        <v>32</v>
      </c>
      <c r="D81" s="26">
        <f>SUM(F81:I81)</f>
        <v>24999835.973468848</v>
      </c>
      <c r="E81" s="16"/>
      <c r="F81" s="26">
        <f>O79</f>
        <v>24999835.973468848</v>
      </c>
      <c r="G81" s="6"/>
      <c r="H81" s="6"/>
      <c r="I81" s="6"/>
      <c r="J81" s="3"/>
      <c r="K81" s="18"/>
      <c r="L81" s="3"/>
      <c r="M81" s="3"/>
      <c r="N81" s="29" t="s">
        <v>62</v>
      </c>
      <c r="O81" s="32">
        <v>83304574.000558719</v>
      </c>
      <c r="P81" s="38"/>
    </row>
    <row r="82" spans="1:16" ht="11.25" hidden="1">
      <c r="A82"/>
      <c r="B82"/>
      <c r="C82"/>
      <c r="D82"/>
      <c r="E82"/>
      <c r="F82"/>
      <c r="G82"/>
      <c r="H82"/>
      <c r="I82"/>
      <c r="J82"/>
      <c r="K82" s="23"/>
      <c r="L82"/>
      <c r="M82"/>
      <c r="N82" s="29" t="s">
        <v>91</v>
      </c>
      <c r="O82" s="32">
        <v>0</v>
      </c>
      <c r="P82" s="26"/>
    </row>
    <row r="83" spans="1:16" ht="12" thickBot="1">
      <c r="B83" s="3" t="s">
        <v>33</v>
      </c>
      <c r="C83"/>
      <c r="D83" s="26">
        <f>SUM(F83:I83)</f>
        <v>0</v>
      </c>
      <c r="E83" s="16"/>
      <c r="F83" s="26">
        <f>O80</f>
        <v>0</v>
      </c>
      <c r="G83" s="6"/>
      <c r="H83" s="6"/>
      <c r="I83" s="6"/>
      <c r="N83" s="29" t="s">
        <v>63</v>
      </c>
      <c r="O83" s="32">
        <v>1038267.1499999999</v>
      </c>
      <c r="P83" s="26"/>
    </row>
    <row r="84" spans="1:16" ht="11.25" hidden="1" thickBot="1">
      <c r="C84"/>
      <c r="D84" s="16"/>
      <c r="E84" s="16"/>
      <c r="F84" s="6"/>
      <c r="G84" s="6"/>
      <c r="H84" s="6"/>
      <c r="I84" s="6"/>
      <c r="O84" s="32">
        <f>SUM(O79:O83)</f>
        <v>109342677.12402758</v>
      </c>
      <c r="P84" s="26"/>
    </row>
    <row r="85" spans="1:16" ht="11.25" thickBot="1">
      <c r="B85" s="3" t="s">
        <v>10</v>
      </c>
      <c r="C85"/>
      <c r="D85" s="26">
        <f>D90-(D81+D83+D87)</f>
        <v>84342841.02653116</v>
      </c>
      <c r="E85" s="16"/>
      <c r="F85" s="17"/>
      <c r="G85" s="6"/>
      <c r="H85" s="6"/>
      <c r="I85" s="26">
        <f>D85</f>
        <v>84342841.02653116</v>
      </c>
      <c r="N85" s="47" t="s">
        <v>40</v>
      </c>
      <c r="O85" s="37">
        <v>0</v>
      </c>
      <c r="P85" s="46"/>
    </row>
    <row r="86" spans="1:16" hidden="1">
      <c r="F86" s="6"/>
      <c r="G86" s="6"/>
      <c r="H86" s="6"/>
      <c r="I86" s="6"/>
    </row>
    <row r="87" spans="1:16" customFormat="1">
      <c r="A87" s="3"/>
      <c r="B87" t="s">
        <v>34</v>
      </c>
      <c r="C87" s="3"/>
      <c r="D87" s="26">
        <v>0</v>
      </c>
      <c r="E87" s="16"/>
      <c r="F87" s="6"/>
      <c r="H87" s="26">
        <f>D87</f>
        <v>0</v>
      </c>
      <c r="I87" s="6"/>
      <c r="J87" s="3"/>
      <c r="K87" s="3"/>
      <c r="L87" s="3"/>
      <c r="M87" s="3"/>
      <c r="N87" s="27"/>
    </row>
    <row r="88" spans="1:16">
      <c r="A88"/>
      <c r="B88"/>
      <c r="C88"/>
      <c r="D88"/>
      <c r="E88"/>
      <c r="F88"/>
      <c r="G88"/>
      <c r="H88"/>
      <c r="I88"/>
      <c r="J88"/>
      <c r="K88"/>
      <c r="L88"/>
      <c r="M88"/>
    </row>
    <row r="89" spans="1:16" ht="11.25" thickBot="1">
      <c r="D89" s="11" t="s">
        <v>14</v>
      </c>
      <c r="E89" s="14" t="s">
        <v>13</v>
      </c>
      <c r="F89" s="11" t="s">
        <v>14</v>
      </c>
      <c r="G89" s="11" t="s">
        <v>14</v>
      </c>
      <c r="H89" s="11" t="s">
        <v>14</v>
      </c>
      <c r="I89" s="11" t="s">
        <v>14</v>
      </c>
    </row>
    <row r="90" spans="1:16" customFormat="1" ht="11.25" thickBot="1">
      <c r="A90" s="3" t="s">
        <v>35</v>
      </c>
      <c r="B90" s="3"/>
      <c r="C90" s="3"/>
      <c r="D90" s="26">
        <v>109342677</v>
      </c>
      <c r="E90" s="16"/>
      <c r="F90" s="26">
        <f>SUM(F81:F87)</f>
        <v>24999835.973468848</v>
      </c>
      <c r="G90" s="26">
        <f>SUM(G81:G87)</f>
        <v>0</v>
      </c>
      <c r="H90" s="26">
        <f>SUM(H81:H87)</f>
        <v>0</v>
      </c>
      <c r="I90" s="26">
        <f>SUM(I81:I87)</f>
        <v>84342841.02653116</v>
      </c>
      <c r="J90" s="3"/>
      <c r="K90" s="36">
        <f>D90-(D81+D83+D85+D87)</f>
        <v>0</v>
      </c>
      <c r="L90" s="24" t="s">
        <v>40</v>
      </c>
      <c r="M90" s="37">
        <f>D90-SUM(F90:I90)</f>
        <v>0</v>
      </c>
      <c r="N90" s="27"/>
    </row>
    <row r="91" spans="1:16" customFormat="1">
      <c r="A91" s="3"/>
      <c r="B91" s="3"/>
      <c r="C91" s="3"/>
      <c r="D91" s="3"/>
      <c r="E91" s="3"/>
      <c r="G91" s="3"/>
      <c r="H91" s="3"/>
      <c r="I91" s="3"/>
      <c r="N91" s="27"/>
    </row>
    <row r="92" spans="1:16" customFormat="1">
      <c r="A92" s="3" t="s">
        <v>36</v>
      </c>
      <c r="B92" s="3"/>
      <c r="C92" s="3"/>
      <c r="D92" s="3"/>
      <c r="E92" s="3"/>
      <c r="G92" s="3"/>
      <c r="H92" s="3"/>
      <c r="I92" s="3"/>
      <c r="N92" s="27"/>
    </row>
    <row r="93" spans="1:16" customFormat="1" hidden="1">
      <c r="A93" s="3"/>
      <c r="B93" s="16" t="s">
        <v>98</v>
      </c>
      <c r="C93" s="3"/>
      <c r="D93" s="26">
        <v>0</v>
      </c>
      <c r="E93" s="16"/>
      <c r="G93" s="3"/>
      <c r="H93" s="26">
        <f t="shared" ref="H93:H107" si="1">D93</f>
        <v>0</v>
      </c>
      <c r="I93" s="2"/>
      <c r="N93" s="27"/>
    </row>
    <row r="94" spans="1:16" customFormat="1" hidden="1">
      <c r="A94" s="3"/>
      <c r="B94" s="16" t="s">
        <v>99</v>
      </c>
      <c r="C94" s="3"/>
      <c r="D94" s="26">
        <v>0</v>
      </c>
      <c r="E94" s="16"/>
      <c r="G94" s="3"/>
      <c r="H94" s="26">
        <f t="shared" si="1"/>
        <v>0</v>
      </c>
      <c r="I94" s="2"/>
      <c r="N94" s="27"/>
    </row>
    <row r="95" spans="1:16" customFormat="1">
      <c r="A95" s="3"/>
      <c r="B95" s="16" t="s">
        <v>100</v>
      </c>
      <c r="C95" s="3"/>
      <c r="D95" s="26">
        <v>7834973.8200000003</v>
      </c>
      <c r="E95" s="16"/>
      <c r="G95" s="3"/>
      <c r="H95" s="26">
        <f t="shared" si="1"/>
        <v>7834973.8200000003</v>
      </c>
      <c r="I95" s="2"/>
      <c r="N95" s="27"/>
    </row>
    <row r="96" spans="1:16" customFormat="1" hidden="1">
      <c r="A96" s="3"/>
      <c r="B96" s="16" t="s">
        <v>101</v>
      </c>
      <c r="C96" s="3"/>
      <c r="D96" s="26">
        <v>0</v>
      </c>
      <c r="E96" s="16"/>
      <c r="G96" s="3"/>
      <c r="H96" s="26">
        <f t="shared" si="1"/>
        <v>0</v>
      </c>
      <c r="I96" s="2"/>
      <c r="N96" s="27"/>
    </row>
    <row r="97" spans="1:14" customFormat="1">
      <c r="A97" s="3"/>
      <c r="B97" s="16" t="s">
        <v>66</v>
      </c>
      <c r="C97" s="3"/>
      <c r="D97" s="26">
        <v>50918245.159999996</v>
      </c>
      <c r="E97" s="16"/>
      <c r="G97" s="3"/>
      <c r="H97" s="26">
        <f t="shared" si="1"/>
        <v>50918245.159999996</v>
      </c>
      <c r="I97" s="2"/>
      <c r="N97" s="27"/>
    </row>
    <row r="98" spans="1:14" customFormat="1" hidden="1">
      <c r="A98" s="3"/>
      <c r="B98" s="16" t="s">
        <v>47</v>
      </c>
      <c r="C98" s="3"/>
      <c r="D98" s="26">
        <v>0</v>
      </c>
      <c r="E98" s="16"/>
      <c r="G98" s="3"/>
      <c r="H98" s="26">
        <f t="shared" si="1"/>
        <v>0</v>
      </c>
      <c r="I98" s="2"/>
      <c r="N98" s="27"/>
    </row>
    <row r="99" spans="1:14" customFormat="1" hidden="1">
      <c r="A99" s="3"/>
      <c r="B99" s="16" t="s">
        <v>102</v>
      </c>
      <c r="C99" s="3"/>
      <c r="D99" s="26">
        <v>0</v>
      </c>
      <c r="E99" s="16"/>
      <c r="G99" s="3"/>
      <c r="H99" s="26">
        <f t="shared" si="1"/>
        <v>0</v>
      </c>
      <c r="I99" s="2"/>
      <c r="N99" s="27"/>
    </row>
    <row r="100" spans="1:14" customFormat="1" hidden="1">
      <c r="A100" s="3"/>
      <c r="B100" s="16" t="s">
        <v>103</v>
      </c>
      <c r="C100" s="3"/>
      <c r="D100" s="26">
        <v>0</v>
      </c>
      <c r="E100" s="16"/>
      <c r="G100" s="3"/>
      <c r="H100" s="26">
        <f t="shared" si="1"/>
        <v>0</v>
      </c>
      <c r="I100" s="2"/>
      <c r="N100" s="27"/>
    </row>
    <row r="101" spans="1:14" customFormat="1" hidden="1">
      <c r="A101" s="3"/>
      <c r="B101" s="16" t="s">
        <v>104</v>
      </c>
      <c r="C101" s="3"/>
      <c r="D101" s="26">
        <v>0</v>
      </c>
      <c r="E101" s="16"/>
      <c r="G101" s="3"/>
      <c r="H101" s="26">
        <f t="shared" si="1"/>
        <v>0</v>
      </c>
      <c r="I101" s="2"/>
      <c r="N101" s="27"/>
    </row>
    <row r="102" spans="1:14" customFormat="1" hidden="1">
      <c r="A102" s="3"/>
      <c r="B102" s="16" t="s">
        <v>105</v>
      </c>
      <c r="C102" s="3"/>
      <c r="D102" s="26">
        <v>0</v>
      </c>
      <c r="E102" s="16"/>
      <c r="F102" s="14"/>
      <c r="G102" s="3"/>
      <c r="H102" s="26">
        <f t="shared" si="1"/>
        <v>0</v>
      </c>
      <c r="I102" s="2"/>
      <c r="N102" s="27"/>
    </row>
    <row r="103" spans="1:14" customFormat="1">
      <c r="A103" s="3"/>
      <c r="B103" s="16" t="s">
        <v>106</v>
      </c>
      <c r="C103" s="3"/>
      <c r="D103" s="26">
        <v>46003985.939999998</v>
      </c>
      <c r="E103" s="16"/>
      <c r="F103" s="14"/>
      <c r="G103" s="3"/>
      <c r="H103" s="26">
        <f t="shared" si="1"/>
        <v>46003985.939999998</v>
      </c>
      <c r="I103" s="2"/>
      <c r="N103" s="27"/>
    </row>
    <row r="104" spans="1:14" customFormat="1" hidden="1">
      <c r="A104" s="3"/>
      <c r="B104" s="16" t="s">
        <v>107</v>
      </c>
      <c r="C104" s="3"/>
      <c r="D104" s="26">
        <v>0</v>
      </c>
      <c r="E104" s="16"/>
      <c r="F104" s="14"/>
      <c r="G104" s="3"/>
      <c r="H104" s="26">
        <f t="shared" si="1"/>
        <v>0</v>
      </c>
      <c r="I104" s="2"/>
      <c r="N104" s="27"/>
    </row>
    <row r="105" spans="1:14" customFormat="1" hidden="1">
      <c r="A105" s="3"/>
      <c r="B105" s="16" t="s">
        <v>108</v>
      </c>
      <c r="C105" s="3"/>
      <c r="D105" s="26">
        <v>0</v>
      </c>
      <c r="E105" s="16"/>
      <c r="F105" s="14"/>
      <c r="G105" s="3"/>
      <c r="H105" s="26">
        <f t="shared" si="1"/>
        <v>0</v>
      </c>
      <c r="I105" s="2"/>
      <c r="N105" s="27"/>
    </row>
    <row r="106" spans="1:14" customFormat="1">
      <c r="A106" s="3"/>
      <c r="B106" s="16" t="s">
        <v>109</v>
      </c>
      <c r="C106" s="3"/>
      <c r="D106" s="26">
        <v>197122701.27000001</v>
      </c>
      <c r="E106" s="16"/>
      <c r="F106" s="14"/>
      <c r="G106" s="3"/>
      <c r="H106" s="26">
        <f t="shared" si="1"/>
        <v>197122701.27000001</v>
      </c>
      <c r="I106" s="2"/>
      <c r="N106" s="27"/>
    </row>
    <row r="107" spans="1:14" customFormat="1" hidden="1">
      <c r="A107" s="3"/>
      <c r="B107" s="16" t="s">
        <v>110</v>
      </c>
      <c r="C107" s="3"/>
      <c r="D107" s="26">
        <v>0</v>
      </c>
      <c r="E107" s="16"/>
      <c r="F107" s="14"/>
      <c r="G107" s="3"/>
      <c r="H107" s="26">
        <f t="shared" si="1"/>
        <v>0</v>
      </c>
      <c r="I107" s="2"/>
      <c r="N107" s="27"/>
    </row>
    <row r="108" spans="1:14" customFormat="1" hidden="1">
      <c r="A108" s="3"/>
      <c r="B108" s="16"/>
      <c r="C108" s="3"/>
      <c r="D108" s="26"/>
      <c r="E108" s="16"/>
      <c r="F108" s="14"/>
      <c r="G108" s="3"/>
      <c r="H108" s="26"/>
      <c r="I108" s="2"/>
      <c r="N108" s="27"/>
    </row>
    <row r="109" spans="1:14" customFormat="1" hidden="1">
      <c r="A109" s="3"/>
      <c r="B109" s="16" t="s">
        <v>111</v>
      </c>
      <c r="C109" s="3"/>
      <c r="D109" s="26">
        <v>0</v>
      </c>
      <c r="E109" s="16"/>
      <c r="F109" s="14"/>
      <c r="G109" s="3"/>
      <c r="H109" s="26">
        <f>D109</f>
        <v>0</v>
      </c>
      <c r="I109" s="2"/>
      <c r="N109" s="27"/>
    </row>
    <row r="110" spans="1:14" customFormat="1" hidden="1">
      <c r="A110" s="3"/>
      <c r="B110" s="16" t="s">
        <v>112</v>
      </c>
      <c r="C110" s="3"/>
      <c r="D110" s="26">
        <v>0</v>
      </c>
      <c r="E110" s="16"/>
      <c r="F110" s="14"/>
      <c r="G110" s="3"/>
      <c r="H110" s="26">
        <f>D110</f>
        <v>0</v>
      </c>
      <c r="I110" s="2"/>
      <c r="N110" s="27"/>
    </row>
    <row r="111" spans="1:14" customFormat="1" hidden="1">
      <c r="A111" s="3"/>
      <c r="B111" s="16" t="s">
        <v>113</v>
      </c>
      <c r="C111" s="3"/>
      <c r="D111" s="26">
        <v>0</v>
      </c>
      <c r="E111" s="16"/>
      <c r="F111" s="14"/>
      <c r="G111" s="3"/>
      <c r="H111" s="26">
        <f>D111</f>
        <v>0</v>
      </c>
      <c r="I111" s="2"/>
      <c r="N111" s="27"/>
    </row>
    <row r="112" spans="1:14" customFormat="1" hidden="1">
      <c r="A112" s="3"/>
      <c r="B112" s="16"/>
      <c r="C112" s="3"/>
      <c r="D112" s="26"/>
      <c r="E112" s="16"/>
      <c r="F112" s="14"/>
      <c r="G112" s="3"/>
      <c r="H112" s="26"/>
      <c r="I112" s="2"/>
      <c r="N112" s="27"/>
    </row>
    <row r="113" spans="1:14" customFormat="1" hidden="1">
      <c r="A113" s="3"/>
      <c r="B113" s="16" t="s">
        <v>114</v>
      </c>
      <c r="C113" s="3"/>
      <c r="D113" s="26">
        <v>0</v>
      </c>
      <c r="E113" s="16"/>
      <c r="F113" s="14"/>
      <c r="G113" s="3"/>
      <c r="H113" s="26">
        <f>D113</f>
        <v>0</v>
      </c>
      <c r="I113" s="2"/>
      <c r="N113" s="27"/>
    </row>
    <row r="114" spans="1:14" customFormat="1" ht="11.25" thickBot="1">
      <c r="A114" s="3"/>
      <c r="B114" s="3"/>
      <c r="C114" s="3"/>
      <c r="D114" s="11" t="s">
        <v>14</v>
      </c>
      <c r="E114" s="14" t="s">
        <v>13</v>
      </c>
      <c r="F114" s="11" t="s">
        <v>14</v>
      </c>
      <c r="G114" s="11" t="s">
        <v>14</v>
      </c>
      <c r="H114" s="11" t="s">
        <v>14</v>
      </c>
      <c r="I114" s="11" t="s">
        <v>14</v>
      </c>
      <c r="N114" s="27"/>
    </row>
    <row r="115" spans="1:14" customFormat="1" ht="11.25" thickBot="1">
      <c r="A115" s="3" t="s">
        <v>37</v>
      </c>
      <c r="B115" s="3"/>
      <c r="C115" s="3"/>
      <c r="D115" s="26">
        <f>SUM(D93:D113)</f>
        <v>301879906.19</v>
      </c>
      <c r="E115" s="16"/>
      <c r="F115" s="26">
        <f>SUM(F92:F113)</f>
        <v>0</v>
      </c>
      <c r="G115" s="26">
        <f>SUM(G92:G113)</f>
        <v>0</v>
      </c>
      <c r="H115" s="26">
        <f>SUM(H92:H113)</f>
        <v>301879906.19</v>
      </c>
      <c r="I115" s="26">
        <f>SUM(I92:I105)</f>
        <v>0</v>
      </c>
      <c r="K115" s="36">
        <v>0</v>
      </c>
      <c r="L115" s="24" t="s">
        <v>40</v>
      </c>
      <c r="M115" s="37">
        <f>D115-SUM(F115:I115)</f>
        <v>0</v>
      </c>
      <c r="N115" s="27"/>
    </row>
    <row r="116" spans="1:14" customFormat="1">
      <c r="A116" s="3"/>
      <c r="B116" s="3"/>
      <c r="C116" s="3"/>
      <c r="D116" s="7"/>
      <c r="E116" s="16"/>
      <c r="F116" s="16"/>
      <c r="G116" s="16"/>
      <c r="H116" s="16"/>
      <c r="I116" s="16"/>
      <c r="N116" s="27"/>
    </row>
    <row r="117" spans="1:14" customFormat="1">
      <c r="A117" s="3" t="s">
        <v>43</v>
      </c>
      <c r="B117" s="3"/>
      <c r="C117" s="3"/>
      <c r="D117" s="7"/>
      <c r="E117" s="16"/>
      <c r="F117" s="16"/>
      <c r="G117" s="16"/>
      <c r="H117" s="16"/>
      <c r="I117" s="16"/>
      <c r="N117" s="27"/>
    </row>
    <row r="118" spans="1:14" customFormat="1">
      <c r="A118" s="3"/>
      <c r="B118" s="16" t="s">
        <v>97</v>
      </c>
      <c r="C118" s="3"/>
      <c r="D118" s="26">
        <v>0</v>
      </c>
      <c r="E118" s="16"/>
      <c r="F118" s="14"/>
      <c r="G118" s="3"/>
      <c r="H118" s="26">
        <f>D118</f>
        <v>0</v>
      </c>
      <c r="I118" s="2"/>
      <c r="N118" s="27"/>
    </row>
    <row r="119" spans="1:14">
      <c r="D119" s="11" t="s">
        <v>14</v>
      </c>
      <c r="E119" s="14" t="s">
        <v>13</v>
      </c>
      <c r="F119" s="11" t="s">
        <v>14</v>
      </c>
      <c r="G119" s="11" t="s">
        <v>14</v>
      </c>
      <c r="H119" s="11" t="s">
        <v>14</v>
      </c>
      <c r="I119" s="11" t="s">
        <v>14</v>
      </c>
    </row>
    <row r="120" spans="1:14">
      <c r="A120" s="3" t="s">
        <v>44</v>
      </c>
      <c r="D120" s="26">
        <v>0</v>
      </c>
      <c r="E120" s="16"/>
      <c r="F120" s="26">
        <f>SUM(F118:F118)</f>
        <v>0</v>
      </c>
      <c r="G120" s="26">
        <f>SUM(G118:G118)</f>
        <v>0</v>
      </c>
      <c r="H120" s="26">
        <f>SUM(H118:H118)</f>
        <v>0</v>
      </c>
      <c r="I120" s="26">
        <f>SUM(I118:I118)</f>
        <v>0</v>
      </c>
    </row>
    <row r="121" spans="1:14" ht="11.25" thickBot="1">
      <c r="D121" s="19" t="s">
        <v>38</v>
      </c>
      <c r="E121" s="14" t="s">
        <v>13</v>
      </c>
      <c r="F121" s="19" t="s">
        <v>38</v>
      </c>
      <c r="G121" s="19" t="s">
        <v>38</v>
      </c>
      <c r="H121" s="19" t="s">
        <v>38</v>
      </c>
      <c r="I121" s="19" t="s">
        <v>38</v>
      </c>
    </row>
    <row r="122" spans="1:14" ht="11.25" thickBot="1">
      <c r="A122" s="3" t="s">
        <v>39</v>
      </c>
      <c r="D122" s="26">
        <f>D115+D90+D76+D120-D16</f>
        <v>579188723.00999999</v>
      </c>
      <c r="E122" s="16" t="s">
        <v>13</v>
      </c>
      <c r="F122" s="26">
        <f>F115+F90+F76+F120-F16</f>
        <v>14564456.737641495</v>
      </c>
      <c r="G122" s="26">
        <f>G115+G90+G76+G120-G16</f>
        <v>12377848.49156395</v>
      </c>
      <c r="H122" s="26">
        <f>H115+H90+H76+H120-H16</f>
        <v>301879906.19</v>
      </c>
      <c r="I122" s="26">
        <f>I115+I90+I76+I120-I16</f>
        <v>250366511.59079453</v>
      </c>
      <c r="K122" s="36">
        <v>0</v>
      </c>
      <c r="L122" s="24" t="s">
        <v>40</v>
      </c>
      <c r="M122" s="37">
        <f>D122-SUM(F122:I122)</f>
        <v>0</v>
      </c>
    </row>
    <row r="123" spans="1:14">
      <c r="D123" s="19" t="s">
        <v>38</v>
      </c>
      <c r="E123" s="14" t="s">
        <v>13</v>
      </c>
      <c r="F123" s="19" t="s">
        <v>38</v>
      </c>
      <c r="G123" s="19" t="s">
        <v>38</v>
      </c>
      <c r="H123" s="19" t="s">
        <v>38</v>
      </c>
      <c r="I123" s="19" t="s">
        <v>38</v>
      </c>
    </row>
  </sheetData>
  <mergeCells count="1">
    <mergeCell ref="A4:C4"/>
  </mergeCells>
  <pageMargins left="0.65" right="0.72" top="1" bottom="1" header="0.5" footer="0.5"/>
  <pageSetup scale="67" orientation="portrait" r:id="rId1"/>
  <headerFooter alignWithMargins="0">
    <oddHeader>&amp;L&amp;"Arial,Regular"&amp;10WA UE-130043
Bench Request 9&amp;R&amp;"Arial,Bold"&amp;10Attachment Bench Request 9</oddHeader>
    <oddFooter>&amp;L&amp;"Arial,Regular"&amp;10&amp;F&amp;C&amp;A</oddFooter>
  </headerFooter>
  <rowBreaks count="1" manualBreakCount="1">
    <brk id="69" max="8" man="1"/>
  </row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pageSetUpPr fitToPage="1"/>
  </sheetPr>
  <dimension ref="A1:K50"/>
  <sheetViews>
    <sheetView view="pageBreakPreview" zoomScale="85" zoomScaleNormal="100" zoomScaleSheetLayoutView="85" workbookViewId="0">
      <selection activeCell="T91" sqref="T91"/>
    </sheetView>
  </sheetViews>
  <sheetFormatPr defaultRowHeight="12.75"/>
  <cols>
    <col min="1" max="1" width="4.83203125" style="275" customWidth="1"/>
    <col min="2" max="2" width="8" style="275" customWidth="1"/>
    <col min="3" max="3" width="32.83203125" style="275" customWidth="1"/>
    <col min="4" max="4" width="12.33203125" style="275" customWidth="1"/>
    <col min="5" max="5" width="9.33203125" style="276"/>
    <col min="6" max="6" width="17" style="106" customWidth="1"/>
    <col min="7" max="7" width="9.33203125" style="276"/>
    <col min="8" max="8" width="12" style="276" bestFit="1" customWidth="1"/>
    <col min="9" max="9" width="15.33203125" style="276" bestFit="1" customWidth="1"/>
    <col min="10" max="16384" width="9.33203125" style="275"/>
  </cols>
  <sheetData>
    <row r="1" spans="1:10">
      <c r="A1" s="274" t="s">
        <v>118</v>
      </c>
      <c r="B1" s="274"/>
      <c r="I1" s="277" t="s">
        <v>272</v>
      </c>
      <c r="J1" s="296" t="s">
        <v>295</v>
      </c>
    </row>
    <row r="2" spans="1:10">
      <c r="A2" s="274" t="s">
        <v>255</v>
      </c>
      <c r="B2" s="274"/>
    </row>
    <row r="3" spans="1:10">
      <c r="A3" s="274" t="s">
        <v>318</v>
      </c>
      <c r="B3" s="274"/>
    </row>
    <row r="5" spans="1:10">
      <c r="F5" s="105" t="s">
        <v>274</v>
      </c>
      <c r="I5" s="276" t="s">
        <v>126</v>
      </c>
    </row>
    <row r="6" spans="1:10" ht="15">
      <c r="D6" s="279" t="s">
        <v>275</v>
      </c>
      <c r="E6" s="279" t="s">
        <v>276</v>
      </c>
      <c r="F6" s="280" t="s">
        <v>277</v>
      </c>
      <c r="G6" s="279" t="s">
        <v>278</v>
      </c>
      <c r="H6" s="279" t="s">
        <v>134</v>
      </c>
      <c r="I6" s="279" t="s">
        <v>279</v>
      </c>
      <c r="J6" s="279" t="s">
        <v>280</v>
      </c>
    </row>
    <row r="7" spans="1:10" ht="15">
      <c r="B7" s="274" t="s">
        <v>281</v>
      </c>
      <c r="C7" s="281"/>
      <c r="D7" s="279"/>
      <c r="E7" s="279"/>
      <c r="F7" s="280"/>
      <c r="G7" s="279"/>
      <c r="H7" s="279"/>
      <c r="I7" s="279"/>
      <c r="J7" s="279"/>
    </row>
    <row r="8" spans="1:10" ht="15">
      <c r="B8" s="274"/>
      <c r="C8" s="281"/>
      <c r="D8" s="279"/>
      <c r="E8" s="279"/>
      <c r="F8" s="280"/>
      <c r="G8" s="279"/>
      <c r="H8" s="279"/>
      <c r="I8" s="279"/>
      <c r="J8" s="279"/>
    </row>
    <row r="9" spans="1:10">
      <c r="B9" s="274" t="s">
        <v>137</v>
      </c>
      <c r="C9" s="281"/>
    </row>
    <row r="10" spans="1:10">
      <c r="B10" s="281" t="s">
        <v>138</v>
      </c>
      <c r="C10" s="281"/>
      <c r="D10" s="282" t="s">
        <v>139</v>
      </c>
      <c r="E10" s="283" t="s">
        <v>286</v>
      </c>
      <c r="F10" s="106">
        <f>'9.1 - Summary '!AO15</f>
        <v>0</v>
      </c>
      <c r="G10" s="276" t="s">
        <v>140</v>
      </c>
      <c r="H10" s="284">
        <v>0.2262649010137</v>
      </c>
      <c r="I10" s="276">
        <f>F10*H10</f>
        <v>0</v>
      </c>
      <c r="J10" s="276"/>
    </row>
    <row r="11" spans="1:10">
      <c r="B11" s="281" t="s">
        <v>141</v>
      </c>
      <c r="C11" s="281"/>
      <c r="D11" s="282" t="s">
        <v>139</v>
      </c>
      <c r="E11" s="283" t="s">
        <v>286</v>
      </c>
      <c r="F11" s="106">
        <f>'9.1 - Summary '!AO16</f>
        <v>-147029.28000000119</v>
      </c>
      <c r="G11" s="276" t="s">
        <v>140</v>
      </c>
      <c r="H11" s="284">
        <v>0.2262649010137</v>
      </c>
      <c r="I11" s="276">
        <f t="shared" ref="I11:I12" si="0">F11*H11</f>
        <v>-33267.565485315848</v>
      </c>
      <c r="J11" s="276"/>
    </row>
    <row r="12" spans="1:10">
      <c r="B12" s="281" t="s">
        <v>142</v>
      </c>
      <c r="C12" s="281"/>
      <c r="D12" s="282" t="s">
        <v>139</v>
      </c>
      <c r="E12" s="283" t="s">
        <v>286</v>
      </c>
      <c r="F12" s="106">
        <f>'9.1 - Summary '!AO17</f>
        <v>0</v>
      </c>
      <c r="G12" s="276" t="s">
        <v>143</v>
      </c>
      <c r="H12" s="284">
        <v>0.22648067236840891</v>
      </c>
      <c r="I12" s="276">
        <f t="shared" si="0"/>
        <v>0</v>
      </c>
    </row>
    <row r="13" spans="1:10">
      <c r="B13" s="281" t="s">
        <v>144</v>
      </c>
      <c r="C13" s="281"/>
      <c r="D13" s="282"/>
      <c r="E13" s="283"/>
      <c r="F13" s="285">
        <f>SUM(F10:F12)</f>
        <v>-147029.28000000119</v>
      </c>
      <c r="H13" s="284"/>
      <c r="I13" s="285">
        <f>SUM(I10:I12)</f>
        <v>-33267.565485315848</v>
      </c>
      <c r="J13" s="282" t="s">
        <v>337</v>
      </c>
    </row>
    <row r="14" spans="1:10">
      <c r="B14" s="281"/>
      <c r="C14" s="286"/>
      <c r="D14" s="282"/>
      <c r="E14" s="283"/>
      <c r="H14" s="284"/>
    </row>
    <row r="15" spans="1:10">
      <c r="B15" s="274" t="s">
        <v>145</v>
      </c>
      <c r="C15" s="286"/>
      <c r="D15" s="282"/>
      <c r="E15" s="283"/>
      <c r="H15" s="284"/>
    </row>
    <row r="16" spans="1:10">
      <c r="B16" s="281" t="s">
        <v>146</v>
      </c>
      <c r="C16" s="286"/>
      <c r="D16" s="282" t="s">
        <v>147</v>
      </c>
      <c r="E16" s="283" t="s">
        <v>286</v>
      </c>
      <c r="F16" s="106">
        <f>'9.1 - Summary '!AO21</f>
        <v>0</v>
      </c>
      <c r="G16" s="276" t="s">
        <v>140</v>
      </c>
      <c r="H16" s="284">
        <v>0.2262649010137</v>
      </c>
      <c r="I16" s="276">
        <f t="shared" ref="I16:I20" si="1">F16*H16</f>
        <v>0</v>
      </c>
      <c r="J16" s="276"/>
    </row>
    <row r="17" spans="2:10">
      <c r="B17" s="281" t="s">
        <v>148</v>
      </c>
      <c r="C17" s="286"/>
      <c r="D17" s="282" t="s">
        <v>147</v>
      </c>
      <c r="E17" s="283" t="s">
        <v>286</v>
      </c>
      <c r="F17" s="106">
        <f>'9.1 - Summary '!AO22</f>
        <v>0</v>
      </c>
      <c r="G17" s="276" t="s">
        <v>143</v>
      </c>
      <c r="H17" s="284">
        <v>0.22648067236840891</v>
      </c>
      <c r="I17" s="276">
        <f t="shared" si="1"/>
        <v>0</v>
      </c>
      <c r="J17" s="276"/>
    </row>
    <row r="18" spans="2:10">
      <c r="B18" s="281" t="s">
        <v>149</v>
      </c>
      <c r="C18" s="286"/>
      <c r="D18" s="282" t="s">
        <v>147</v>
      </c>
      <c r="E18" s="283" t="s">
        <v>286</v>
      </c>
      <c r="F18" s="106">
        <f>'9.1 - Summary '!AO23</f>
        <v>0</v>
      </c>
      <c r="G18" s="276" t="s">
        <v>140</v>
      </c>
      <c r="H18" s="284">
        <v>0.2262649010137</v>
      </c>
      <c r="I18" s="276">
        <f t="shared" si="1"/>
        <v>0</v>
      </c>
      <c r="J18" s="276"/>
    </row>
    <row r="19" spans="2:10">
      <c r="B19" s="281" t="s">
        <v>150</v>
      </c>
      <c r="C19" s="286"/>
      <c r="D19" s="282" t="s">
        <v>147</v>
      </c>
      <c r="E19" s="283" t="s">
        <v>286</v>
      </c>
      <c r="F19" s="106">
        <f>'9.1 - Summary '!AO24</f>
        <v>1403944.3299999833</v>
      </c>
      <c r="G19" s="276" t="s">
        <v>140</v>
      </c>
      <c r="H19" s="284">
        <v>0.2262649010137</v>
      </c>
      <c r="I19" s="276">
        <f t="shared" si="1"/>
        <v>317663.32485619158</v>
      </c>
      <c r="J19" s="276"/>
    </row>
    <row r="20" spans="2:10">
      <c r="B20" s="281" t="s">
        <v>151</v>
      </c>
      <c r="C20" s="281"/>
      <c r="D20" s="282" t="s">
        <v>147</v>
      </c>
      <c r="E20" s="283" t="s">
        <v>286</v>
      </c>
      <c r="F20" s="106">
        <f>'9.1 - Summary '!AO25</f>
        <v>0</v>
      </c>
      <c r="G20" s="276" t="s">
        <v>140</v>
      </c>
      <c r="H20" s="284">
        <v>0.2262649010137</v>
      </c>
      <c r="I20" s="276">
        <f t="shared" si="1"/>
        <v>0</v>
      </c>
    </row>
    <row r="21" spans="2:10">
      <c r="B21" s="281" t="s">
        <v>152</v>
      </c>
      <c r="C21" s="281"/>
      <c r="D21" s="282"/>
      <c r="E21" s="283"/>
      <c r="F21" s="285">
        <f>SUM(F16:F20)</f>
        <v>1403944.3299999833</v>
      </c>
      <c r="H21" s="284"/>
      <c r="I21" s="285">
        <f>SUM(I16:I20)</f>
        <v>317663.32485619158</v>
      </c>
      <c r="J21" s="282" t="s">
        <v>337</v>
      </c>
    </row>
    <row r="22" spans="2:10">
      <c r="B22" s="281"/>
      <c r="C22" s="281"/>
      <c r="D22" s="282"/>
      <c r="E22" s="283"/>
      <c r="H22" s="284"/>
    </row>
    <row r="23" spans="2:10">
      <c r="B23" s="274" t="s">
        <v>153</v>
      </c>
      <c r="C23" s="281"/>
      <c r="D23" s="282"/>
      <c r="E23" s="283"/>
      <c r="H23" s="284"/>
      <c r="J23" s="276"/>
    </row>
    <row r="24" spans="2:10">
      <c r="B24" s="281" t="s">
        <v>154</v>
      </c>
      <c r="C24" s="281"/>
      <c r="D24" s="282" t="s">
        <v>155</v>
      </c>
      <c r="E24" s="283" t="s">
        <v>286</v>
      </c>
      <c r="F24" s="106">
        <f>'9.1 - Summary '!AO29</f>
        <v>0</v>
      </c>
      <c r="G24" s="276" t="s">
        <v>140</v>
      </c>
      <c r="H24" s="284">
        <v>0.2262649010137</v>
      </c>
      <c r="I24" s="276">
        <f t="shared" ref="I24:I26" si="2">F24*H24</f>
        <v>0</v>
      </c>
      <c r="J24" s="276"/>
    </row>
    <row r="25" spans="2:10">
      <c r="B25" s="281" t="s">
        <v>156</v>
      </c>
      <c r="C25" s="286"/>
      <c r="D25" s="282" t="s">
        <v>155</v>
      </c>
      <c r="E25" s="283" t="s">
        <v>286</v>
      </c>
      <c r="F25" s="106">
        <f>'9.1 - Summary '!AO30</f>
        <v>0</v>
      </c>
      <c r="G25" s="276" t="s">
        <v>140</v>
      </c>
      <c r="H25" s="284">
        <v>0.2262649010137</v>
      </c>
      <c r="I25" s="276">
        <f t="shared" si="2"/>
        <v>0</v>
      </c>
      <c r="J25" s="276"/>
    </row>
    <row r="26" spans="2:10">
      <c r="B26" s="281" t="s">
        <v>157</v>
      </c>
      <c r="C26" s="286"/>
      <c r="D26" s="282" t="s">
        <v>155</v>
      </c>
      <c r="E26" s="283" t="s">
        <v>286</v>
      </c>
      <c r="F26" s="106">
        <f>'9.1 - Summary '!AO31</f>
        <v>0</v>
      </c>
      <c r="G26" s="276" t="s">
        <v>143</v>
      </c>
      <c r="H26" s="284">
        <v>0.22648067236840891</v>
      </c>
      <c r="I26" s="276">
        <f t="shared" si="2"/>
        <v>0</v>
      </c>
      <c r="J26" s="276"/>
    </row>
    <row r="27" spans="2:10">
      <c r="B27" s="281" t="s">
        <v>158</v>
      </c>
      <c r="C27" s="281"/>
      <c r="D27" s="282"/>
      <c r="E27" s="283"/>
      <c r="F27" s="285">
        <f>SUM(F24:F26)</f>
        <v>0</v>
      </c>
      <c r="H27" s="284"/>
      <c r="I27" s="285">
        <f>SUM(I24:I26)</f>
        <v>0</v>
      </c>
      <c r="J27" s="282" t="s">
        <v>337</v>
      </c>
    </row>
    <row r="28" spans="2:10">
      <c r="B28" s="281"/>
      <c r="C28" s="281"/>
      <c r="D28" s="282"/>
      <c r="E28" s="283"/>
      <c r="H28" s="284"/>
    </row>
    <row r="29" spans="2:10">
      <c r="B29" s="274" t="s">
        <v>159</v>
      </c>
      <c r="C29" s="274"/>
      <c r="D29" s="282"/>
      <c r="E29" s="283"/>
      <c r="H29" s="284"/>
      <c r="J29" s="276"/>
    </row>
    <row r="30" spans="2:10">
      <c r="B30" s="281" t="s">
        <v>160</v>
      </c>
      <c r="C30" s="274"/>
      <c r="D30" s="282" t="s">
        <v>161</v>
      </c>
      <c r="E30" s="283" t="s">
        <v>286</v>
      </c>
      <c r="F30" s="106">
        <f>'9.1 - Summary '!AO35</f>
        <v>426115.93000000715</v>
      </c>
      <c r="G30" s="276" t="s">
        <v>143</v>
      </c>
      <c r="H30" s="284">
        <v>0.22648067236840891</v>
      </c>
      <c r="I30" s="276">
        <f t="shared" ref="I30:I31" si="3">F30*H30</f>
        <v>96507.02233329149</v>
      </c>
      <c r="J30" s="276"/>
    </row>
    <row r="31" spans="2:10">
      <c r="B31" s="281" t="s">
        <v>162</v>
      </c>
      <c r="C31" s="274"/>
      <c r="D31" s="282" t="s">
        <v>163</v>
      </c>
      <c r="E31" s="283" t="s">
        <v>286</v>
      </c>
      <c r="F31" s="106">
        <f>'9.1 - Summary '!AO36</f>
        <v>47881.740000009537</v>
      </c>
      <c r="G31" s="276" t="s">
        <v>143</v>
      </c>
      <c r="H31" s="284">
        <v>0.22648067236840891</v>
      </c>
      <c r="I31" s="276">
        <f t="shared" si="3"/>
        <v>10844.288669371499</v>
      </c>
    </row>
    <row r="32" spans="2:10">
      <c r="B32" s="281" t="s">
        <v>164</v>
      </c>
      <c r="C32" s="274"/>
      <c r="D32" s="282"/>
      <c r="E32" s="283"/>
      <c r="F32" s="285">
        <f>SUM(F30:F31)</f>
        <v>473997.67000001669</v>
      </c>
      <c r="H32" s="287"/>
      <c r="I32" s="285">
        <f>SUM(I30:I31)</f>
        <v>107351.31100266299</v>
      </c>
      <c r="J32" s="282" t="s">
        <v>337</v>
      </c>
    </row>
    <row r="33" spans="1:11">
      <c r="B33" s="291"/>
      <c r="C33" s="274"/>
      <c r="D33" s="282"/>
      <c r="E33" s="283"/>
      <c r="H33" s="287"/>
      <c r="I33" s="106"/>
      <c r="J33" s="276"/>
    </row>
    <row r="34" spans="1:11">
      <c r="B34" s="288" t="s">
        <v>284</v>
      </c>
      <c r="C34" s="274"/>
      <c r="D34" s="282"/>
      <c r="E34" s="283"/>
      <c r="F34" s="285">
        <f>-F13+F21+F27+F32</f>
        <v>2024971.2800000012</v>
      </c>
      <c r="H34" s="287"/>
      <c r="I34" s="285">
        <f>-I13+I21+I27+I32</f>
        <v>458282.20134417043</v>
      </c>
      <c r="J34" s="276"/>
    </row>
    <row r="35" spans="1:11">
      <c r="C35" s="274"/>
      <c r="F35" s="289"/>
      <c r="J35" s="276"/>
    </row>
    <row r="36" spans="1:11">
      <c r="C36" s="274"/>
      <c r="F36" s="289"/>
      <c r="J36" s="276"/>
    </row>
    <row r="37" spans="1:11">
      <c r="C37" s="274"/>
      <c r="F37" s="289"/>
      <c r="J37" s="276"/>
    </row>
    <row r="42" spans="1:11" ht="13.5" thickBot="1">
      <c r="B42" s="290" t="s">
        <v>283</v>
      </c>
    </row>
    <row r="43" spans="1:11" ht="12.75" customHeight="1">
      <c r="A43" s="359" t="s">
        <v>347</v>
      </c>
      <c r="B43" s="360"/>
      <c r="C43" s="360"/>
      <c r="D43" s="360"/>
      <c r="E43" s="360"/>
      <c r="F43" s="360"/>
      <c r="G43" s="360"/>
      <c r="H43" s="360"/>
      <c r="I43" s="360"/>
      <c r="J43" s="361"/>
      <c r="K43" s="292"/>
    </row>
    <row r="44" spans="1:11">
      <c r="A44" s="362"/>
      <c r="B44" s="363"/>
      <c r="C44" s="363"/>
      <c r="D44" s="363"/>
      <c r="E44" s="363"/>
      <c r="F44" s="363"/>
      <c r="G44" s="363"/>
      <c r="H44" s="363"/>
      <c r="I44" s="363"/>
      <c r="J44" s="364"/>
      <c r="K44" s="292"/>
    </row>
    <row r="45" spans="1:11">
      <c r="A45" s="362"/>
      <c r="B45" s="363"/>
      <c r="C45" s="363"/>
      <c r="D45" s="363"/>
      <c r="E45" s="363"/>
      <c r="F45" s="363"/>
      <c r="G45" s="363"/>
      <c r="H45" s="363"/>
      <c r="I45" s="363"/>
      <c r="J45" s="364"/>
      <c r="K45" s="292"/>
    </row>
    <row r="46" spans="1:11">
      <c r="A46" s="362"/>
      <c r="B46" s="363"/>
      <c r="C46" s="363"/>
      <c r="D46" s="363"/>
      <c r="E46" s="363"/>
      <c r="F46" s="363"/>
      <c r="G46" s="363"/>
      <c r="H46" s="363"/>
      <c r="I46" s="363"/>
      <c r="J46" s="364"/>
      <c r="K46" s="292"/>
    </row>
    <row r="47" spans="1:11">
      <c r="A47" s="362"/>
      <c r="B47" s="363"/>
      <c r="C47" s="363"/>
      <c r="D47" s="363"/>
      <c r="E47" s="363"/>
      <c r="F47" s="363"/>
      <c r="G47" s="363"/>
      <c r="H47" s="363"/>
      <c r="I47" s="363"/>
      <c r="J47" s="364"/>
      <c r="K47" s="292"/>
    </row>
    <row r="48" spans="1:11">
      <c r="A48" s="362"/>
      <c r="B48" s="363"/>
      <c r="C48" s="363"/>
      <c r="D48" s="363"/>
      <c r="E48" s="363"/>
      <c r="F48" s="363"/>
      <c r="G48" s="363"/>
      <c r="H48" s="363"/>
      <c r="I48" s="363"/>
      <c r="J48" s="364"/>
      <c r="K48" s="292"/>
    </row>
    <row r="49" spans="1:11">
      <c r="A49" s="362"/>
      <c r="B49" s="363"/>
      <c r="C49" s="363"/>
      <c r="D49" s="363"/>
      <c r="E49" s="363"/>
      <c r="F49" s="363"/>
      <c r="G49" s="363"/>
      <c r="H49" s="363"/>
      <c r="I49" s="363"/>
      <c r="J49" s="364"/>
      <c r="K49" s="292"/>
    </row>
    <row r="50" spans="1:11" ht="13.5" thickBot="1">
      <c r="A50" s="365"/>
      <c r="B50" s="366"/>
      <c r="C50" s="366"/>
      <c r="D50" s="366"/>
      <c r="E50" s="366"/>
      <c r="F50" s="366"/>
      <c r="G50" s="366"/>
      <c r="H50" s="366"/>
      <c r="I50" s="366"/>
      <c r="J50" s="367"/>
      <c r="K50" s="292"/>
    </row>
  </sheetData>
  <mergeCells count="1">
    <mergeCell ref="A43:J50"/>
  </mergeCells>
  <conditionalFormatting sqref="B9:B26">
    <cfRule type="cellIs" dxfId="44" priority="3" stopIfTrue="1" operator="equal">
      <formula>"Adjustment to Income/Expense/Rate Base:"</formula>
    </cfRule>
  </conditionalFormatting>
  <conditionalFormatting sqref="B20:B22">
    <cfRule type="cellIs" dxfId="43" priority="2" stopIfTrue="1" operator="equal">
      <formula>"Title"</formula>
    </cfRule>
  </conditionalFormatting>
  <conditionalFormatting sqref="B27:B34">
    <cfRule type="cellIs" dxfId="42" priority="1" stopIfTrue="1" operator="equal">
      <formula>"Adjustment to Income/Expense/Rate Base:"</formula>
    </cfRule>
  </conditionalFormatting>
  <pageMargins left="0.65" right="0.72" top="1" bottom="1" header="0.5" footer="0.5"/>
  <pageSetup scale="77" orientation="portrait" r:id="rId1"/>
  <headerFooter alignWithMargins="0">
    <oddHeader>&amp;L&amp;"Arial,Regular"&amp;10WA UE-130043
Bench Request 9&amp;R&amp;"Arial,Bold"&amp;10Attachment Bench Request 9</oddHeader>
    <oddFooter>&amp;L&amp;"Arial,Regular"&amp;10&amp;F&amp;C&amp;A</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S123"/>
  <sheetViews>
    <sheetView view="pageBreakPreview" zoomScale="85" zoomScaleNormal="85" zoomScaleSheetLayoutView="85" workbookViewId="0">
      <pane xSplit="3" ySplit="6" topLeftCell="D7" activePane="bottomRight" state="frozen"/>
      <selection activeCell="T91" sqref="T91"/>
      <selection pane="topRight" activeCell="T91" sqref="T91"/>
      <selection pane="bottomLeft" activeCell="T91" sqref="T91"/>
      <selection pane="bottomRight" activeCell="T91" sqref="T91"/>
    </sheetView>
  </sheetViews>
  <sheetFormatPr defaultColWidth="11" defaultRowHeight="10.5"/>
  <cols>
    <col min="1" max="1" width="3" style="3" customWidth="1"/>
    <col min="2" max="2" width="2.6640625" style="3" customWidth="1"/>
    <col min="3" max="3" width="33.1640625" style="3" customWidth="1"/>
    <col min="4" max="4" width="13.83203125" style="3" customWidth="1"/>
    <col min="5" max="5" width="2.33203125" style="3" customWidth="1"/>
    <col min="6" max="6" width="15.83203125" style="3" customWidth="1"/>
    <col min="7" max="8" width="13.33203125" style="3" bestFit="1" customWidth="1"/>
    <col min="9" max="9" width="13.83203125" style="3" bestFit="1" customWidth="1"/>
    <col min="10" max="10" width="11" style="3" customWidth="1"/>
    <col min="11" max="11" width="14.5" style="3" customWidth="1"/>
    <col min="12" max="12" width="11" style="3" customWidth="1"/>
    <col min="13" max="13" width="14.1640625" style="3" bestFit="1" customWidth="1"/>
    <col min="14" max="14" width="20.1640625" style="27" bestFit="1" customWidth="1"/>
    <col min="15" max="15" width="15" style="3" bestFit="1" customWidth="1"/>
    <col min="16" max="16" width="14.6640625" style="3" bestFit="1" customWidth="1"/>
    <col min="17" max="16384" width="11" style="3"/>
  </cols>
  <sheetData>
    <row r="1" spans="1:14">
      <c r="A1" s="4" t="s">
        <v>118</v>
      </c>
      <c r="D1"/>
      <c r="E1" s="9"/>
      <c r="F1" s="8" t="s">
        <v>42</v>
      </c>
    </row>
    <row r="2" spans="1:14">
      <c r="A2" s="20"/>
      <c r="D2"/>
      <c r="E2" s="9"/>
      <c r="F2" s="9" t="s">
        <v>0</v>
      </c>
      <c r="K2" s="50"/>
    </row>
    <row r="3" spans="1:14">
      <c r="A3" s="5" t="s">
        <v>52</v>
      </c>
      <c r="D3" s="10"/>
      <c r="E3" s="10"/>
      <c r="F3" s="8" t="s">
        <v>1</v>
      </c>
    </row>
    <row r="4" spans="1:14">
      <c r="A4" s="358">
        <v>41974</v>
      </c>
      <c r="B4" s="358"/>
      <c r="C4" s="358"/>
      <c r="D4" s="10"/>
      <c r="E4" s="10"/>
      <c r="F4" s="9"/>
    </row>
    <row r="5" spans="1:14">
      <c r="B5" s="5"/>
      <c r="D5" s="11" t="s">
        <v>2</v>
      </c>
      <c r="E5" s="11"/>
      <c r="F5" s="12" t="s">
        <v>3</v>
      </c>
      <c r="G5" s="12" t="s">
        <v>3</v>
      </c>
      <c r="H5" s="12"/>
      <c r="I5" s="12"/>
    </row>
    <row r="6" spans="1:14" s="11" customFormat="1">
      <c r="A6" s="3"/>
      <c r="B6" s="3"/>
      <c r="C6" s="3"/>
      <c r="D6" s="41" t="s">
        <v>117</v>
      </c>
      <c r="E6" s="15"/>
      <c r="F6" s="13" t="s">
        <v>4</v>
      </c>
      <c r="G6" s="13" t="s">
        <v>5</v>
      </c>
      <c r="H6" s="13" t="s">
        <v>6</v>
      </c>
      <c r="I6" s="13" t="s">
        <v>7</v>
      </c>
      <c r="N6" s="28"/>
    </row>
    <row r="7" spans="1:14">
      <c r="A7" s="3" t="s">
        <v>8</v>
      </c>
      <c r="F7" s="6"/>
      <c r="G7" s="6"/>
      <c r="H7" s="6"/>
      <c r="I7" s="6"/>
    </row>
    <row r="8" spans="1:14">
      <c r="B8" t="s">
        <v>9</v>
      </c>
      <c r="D8" s="26">
        <v>12964800</v>
      </c>
      <c r="E8" s="16"/>
      <c r="F8" s="26">
        <f>D8</f>
        <v>12964800</v>
      </c>
      <c r="G8"/>
      <c r="H8"/>
      <c r="I8"/>
    </row>
    <row r="9" spans="1:14" hidden="1">
      <c r="B9"/>
      <c r="D9" s="16"/>
      <c r="E9" s="16"/>
      <c r="F9" s="1"/>
      <c r="G9" s="6"/>
      <c r="H9" s="6"/>
      <c r="I9" s="6"/>
    </row>
    <row r="10" spans="1:14">
      <c r="B10" t="s">
        <v>10</v>
      </c>
      <c r="D10" s="26">
        <v>60716777.469999999</v>
      </c>
      <c r="E10" s="16"/>
      <c r="F10" s="1"/>
      <c r="G10" s="6"/>
      <c r="H10" s="6"/>
      <c r="I10" s="26">
        <f>D10</f>
        <v>60716777.469999999</v>
      </c>
    </row>
    <row r="11" spans="1:14" hidden="1">
      <c r="B11"/>
      <c r="D11" s="16"/>
      <c r="E11" s="16"/>
      <c r="F11" s="1"/>
      <c r="G11" s="6"/>
      <c r="H11" s="6"/>
      <c r="I11" s="6"/>
    </row>
    <row r="12" spans="1:14" hidden="1">
      <c r="B12" t="s">
        <v>11</v>
      </c>
      <c r="D12" s="26">
        <v>0</v>
      </c>
      <c r="E12" s="16"/>
      <c r="F12" s="26">
        <f>D12</f>
        <v>0</v>
      </c>
      <c r="G12" s="6"/>
      <c r="H12" s="6"/>
      <c r="I12" s="6"/>
    </row>
    <row r="13" spans="1:14" hidden="1">
      <c r="C13"/>
      <c r="D13" s="16"/>
      <c r="E13" s="16"/>
      <c r="F13" s="6"/>
      <c r="G13" s="6"/>
      <c r="H13" s="6"/>
      <c r="I13" s="6"/>
    </row>
    <row r="14" spans="1:14" hidden="1">
      <c r="B14" s="3" t="s">
        <v>12</v>
      </c>
      <c r="C14"/>
      <c r="D14" s="26">
        <v>0</v>
      </c>
      <c r="E14" s="16"/>
      <c r="F14" s="6"/>
      <c r="G14" s="6"/>
      <c r="H14" s="26">
        <f>D14</f>
        <v>0</v>
      </c>
      <c r="I14" s="6"/>
    </row>
    <row r="15" spans="1:14" ht="11.25" thickBot="1">
      <c r="D15" s="11" t="s">
        <v>14</v>
      </c>
      <c r="E15" s="14" t="s">
        <v>13</v>
      </c>
      <c r="F15" s="11" t="s">
        <v>14</v>
      </c>
      <c r="G15" s="11" t="s">
        <v>14</v>
      </c>
      <c r="H15" s="11" t="s">
        <v>14</v>
      </c>
      <c r="I15" s="11" t="s">
        <v>14</v>
      </c>
    </row>
    <row r="16" spans="1:14" ht="11.25" thickBot="1">
      <c r="A16" s="3" t="s">
        <v>15</v>
      </c>
      <c r="D16" s="26">
        <f>SUM(D8:D14)</f>
        <v>73681577.469999999</v>
      </c>
      <c r="E16" s="16"/>
      <c r="F16" s="26">
        <f>SUM(F8:F14)</f>
        <v>12964800</v>
      </c>
      <c r="G16" s="26">
        <f>SUM(G8:G14)</f>
        <v>0</v>
      </c>
      <c r="H16" s="26">
        <f>SUM(H8:H14)</f>
        <v>0</v>
      </c>
      <c r="I16" s="26">
        <f>SUM(I8:I14)</f>
        <v>60716777.469999999</v>
      </c>
      <c r="K16" s="36">
        <v>0</v>
      </c>
      <c r="L16" s="24" t="s">
        <v>40</v>
      </c>
      <c r="M16" s="37">
        <f>D16-SUM(F16:I16)</f>
        <v>0</v>
      </c>
    </row>
    <row r="17" spans="1:19">
      <c r="D17" s="16"/>
      <c r="E17" s="16"/>
      <c r="F17" s="16"/>
      <c r="G17" s="16"/>
      <c r="H17" s="16"/>
      <c r="I17" s="16"/>
      <c r="P17" s="8" t="s">
        <v>67</v>
      </c>
    </row>
    <row r="18" spans="1:19">
      <c r="D18"/>
      <c r="E18" s="6"/>
      <c r="F18" s="6"/>
      <c r="G18" s="6"/>
      <c r="H18" s="6"/>
      <c r="I18" s="6"/>
      <c r="N18" s="39"/>
      <c r="O18" s="35"/>
      <c r="P18" s="48">
        <f>+A4</f>
        <v>41974</v>
      </c>
    </row>
    <row r="19" spans="1:19" ht="11.25">
      <c r="A19" s="3" t="s">
        <v>16</v>
      </c>
      <c r="D19" s="16"/>
      <c r="E19" s="16"/>
      <c r="F19" s="45"/>
      <c r="G19" s="6"/>
      <c r="H19" s="6"/>
      <c r="I19" s="6"/>
      <c r="N19" s="29" t="s">
        <v>56</v>
      </c>
      <c r="O19" s="42">
        <v>0.42634034956164213</v>
      </c>
      <c r="P19" s="16">
        <v>14785516.07</v>
      </c>
      <c r="Q19" s="44"/>
      <c r="R19" s="30"/>
      <c r="S19" s="16"/>
    </row>
    <row r="20" spans="1:19" ht="11.25" hidden="1">
      <c r="B20"/>
      <c r="C20" s="3" t="s">
        <v>17</v>
      </c>
      <c r="D20" s="26">
        <v>0</v>
      </c>
      <c r="E20" s="16"/>
      <c r="F20" s="26">
        <f>D20</f>
        <v>0</v>
      </c>
      <c r="G20" s="6"/>
      <c r="H20" s="6"/>
      <c r="I20" s="6"/>
      <c r="N20" s="29" t="s">
        <v>58</v>
      </c>
      <c r="O20" s="42">
        <f>1-O19</f>
        <v>0.57365965043835787</v>
      </c>
      <c r="P20" s="16">
        <v>19894560.739999998</v>
      </c>
      <c r="Q20" s="44"/>
      <c r="R20" s="30"/>
      <c r="S20" s="16"/>
    </row>
    <row r="21" spans="1:19" ht="11.25" hidden="1">
      <c r="B21"/>
      <c r="C21" s="3" t="s">
        <v>18</v>
      </c>
      <c r="D21" s="26">
        <v>0</v>
      </c>
      <c r="E21" s="16"/>
      <c r="F21" s="26">
        <f>D21-G21</f>
        <v>0</v>
      </c>
      <c r="G21" s="26">
        <v>0</v>
      </c>
      <c r="H21" s="6"/>
      <c r="I21" s="6"/>
      <c r="N21" s="29" t="s">
        <v>57</v>
      </c>
      <c r="O21" s="42">
        <f>IFERROR(P21/(P21+P22),0)</f>
        <v>0</v>
      </c>
      <c r="P21" s="16">
        <v>0</v>
      </c>
      <c r="Q21" s="44"/>
      <c r="R21" s="30"/>
      <c r="S21" s="16"/>
    </row>
    <row r="22" spans="1:19" ht="11.25">
      <c r="B22"/>
      <c r="C22" s="3" t="s">
        <v>19</v>
      </c>
      <c r="D22" s="26">
        <v>-148246.80999999959</v>
      </c>
      <c r="E22" s="16"/>
      <c r="F22" s="26">
        <f>D22*0.3</f>
        <v>-44474.042999999874</v>
      </c>
      <c r="G22" s="26">
        <f>D22*0.7</f>
        <v>-103772.7669999997</v>
      </c>
      <c r="H22" s="6"/>
      <c r="I22" s="6"/>
      <c r="N22" s="29" t="s">
        <v>59</v>
      </c>
      <c r="O22" s="42">
        <f>1-O21</f>
        <v>1</v>
      </c>
      <c r="P22" s="16">
        <v>0</v>
      </c>
      <c r="Q22" s="44"/>
      <c r="R22" s="30"/>
      <c r="S22" s="16"/>
    </row>
    <row r="23" spans="1:19">
      <c r="B23"/>
      <c r="C23" s="3" t="s">
        <v>20</v>
      </c>
      <c r="D23" s="26">
        <v>270000</v>
      </c>
      <c r="E23" s="16"/>
      <c r="F23" s="26">
        <f>D23*0.2073628</f>
        <v>55987.956000000006</v>
      </c>
      <c r="G23" s="26">
        <f>D23-F23</f>
        <v>214012.04399999999</v>
      </c>
      <c r="H23" s="6"/>
      <c r="I23" s="6"/>
    </row>
    <row r="24" spans="1:19">
      <c r="B24"/>
      <c r="C24" s="3" t="s">
        <v>21</v>
      </c>
      <c r="D24" s="26">
        <f>N27</f>
        <v>76897305.959999993</v>
      </c>
      <c r="E24" s="16"/>
      <c r="F24" s="31">
        <f>(N25+N24*O19)*K24</f>
        <v>2517906.851172646</v>
      </c>
      <c r="G24" s="31">
        <f>(N25+N24*O19)*L24</f>
        <v>12267609.214563949</v>
      </c>
      <c r="H24" s="6"/>
      <c r="I24" s="31">
        <f>(N26+N24*O20)</f>
        <v>62111789.894263402</v>
      </c>
      <c r="K24" s="25">
        <v>0.17029549999999999</v>
      </c>
      <c r="L24" s="25">
        <f>1-K24</f>
        <v>0.82970450000000007</v>
      </c>
      <c r="N24" s="26">
        <v>34680076.799999997</v>
      </c>
      <c r="O24" t="s">
        <v>53</v>
      </c>
    </row>
    <row r="25" spans="1:19">
      <c r="B25"/>
      <c r="C25" s="49" t="s">
        <v>90</v>
      </c>
      <c r="D25" s="26">
        <v>0</v>
      </c>
      <c r="E25" s="16"/>
      <c r="F25" s="6"/>
      <c r="G25" s="26">
        <f>D25</f>
        <v>0</v>
      </c>
      <c r="H25" s="6"/>
      <c r="I25" s="26"/>
      <c r="N25" s="26">
        <v>0</v>
      </c>
      <c r="O25" t="s">
        <v>50</v>
      </c>
    </row>
    <row r="26" spans="1:19">
      <c r="B26" s="40" t="s">
        <v>65</v>
      </c>
      <c r="C26" s="14"/>
      <c r="D26" s="11" t="s">
        <v>14</v>
      </c>
      <c r="E26" s="14" t="s">
        <v>13</v>
      </c>
      <c r="F26" s="11" t="s">
        <v>14</v>
      </c>
      <c r="G26" s="11" t="s">
        <v>14</v>
      </c>
      <c r="H26" s="11" t="s">
        <v>14</v>
      </c>
      <c r="I26" s="11" t="s">
        <v>14</v>
      </c>
      <c r="K26" s="25"/>
      <c r="L26" s="25"/>
      <c r="N26" s="43">
        <v>42217229.159999996</v>
      </c>
      <c r="O26" t="s">
        <v>49</v>
      </c>
    </row>
    <row r="27" spans="1:19">
      <c r="B27" s="3" t="s">
        <v>22</v>
      </c>
      <c r="C27"/>
      <c r="D27" s="26">
        <f>SUM(D20:D26)</f>
        <v>77019059.149999991</v>
      </c>
      <c r="E27" s="16"/>
      <c r="F27" s="26">
        <f>SUM(F20:F26)</f>
        <v>2529420.7641726462</v>
      </c>
      <c r="G27" s="26">
        <f>SUM(G20:G26)</f>
        <v>12377848.49156395</v>
      </c>
      <c r="H27" s="26">
        <f>SUM(H20:H26)</f>
        <v>0</v>
      </c>
      <c r="I27" s="26">
        <f>SUM(I20:I26)</f>
        <v>62111789.894263402</v>
      </c>
      <c r="K27" s="25"/>
      <c r="L27" s="25"/>
      <c r="N27" s="26">
        <f>SUM(N24:N26)</f>
        <v>76897305.959999993</v>
      </c>
      <c r="O27"/>
    </row>
    <row r="28" spans="1:19" ht="12.75">
      <c r="D28" s="1"/>
      <c r="E28" s="16"/>
      <c r="F28" s="1"/>
      <c r="G28" s="1"/>
      <c r="H28" s="6"/>
      <c r="I28" s="6"/>
      <c r="K28" s="25"/>
      <c r="L28" s="25"/>
      <c r="N28" s="34"/>
      <c r="O28" s="32"/>
    </row>
    <row r="29" spans="1:19" hidden="1">
      <c r="B29"/>
      <c r="C29" s="3" t="s">
        <v>41</v>
      </c>
      <c r="D29" s="26">
        <v>0</v>
      </c>
      <c r="E29" s="16"/>
      <c r="F29" s="26"/>
      <c r="G29" s="26">
        <f>D29</f>
        <v>0</v>
      </c>
      <c r="H29" s="6"/>
      <c r="I29" s="6"/>
      <c r="K29" s="25"/>
      <c r="L29" s="25"/>
      <c r="N29" s="26">
        <v>0</v>
      </c>
      <c r="O29" t="s">
        <v>54</v>
      </c>
    </row>
    <row r="30" spans="1:19" hidden="1">
      <c r="B30"/>
      <c r="C30" s="3" t="s">
        <v>23</v>
      </c>
      <c r="D30" s="26">
        <v>0</v>
      </c>
      <c r="E30" s="16"/>
      <c r="F30" s="26"/>
      <c r="G30" s="26">
        <f>D30</f>
        <v>0</v>
      </c>
      <c r="H30" s="6"/>
      <c r="I30" s="6"/>
      <c r="K30" s="25"/>
      <c r="L30" s="25"/>
      <c r="M30" s="21"/>
      <c r="N30" s="26">
        <v>0</v>
      </c>
      <c r="O30" t="s">
        <v>51</v>
      </c>
    </row>
    <row r="31" spans="1:19" hidden="1">
      <c r="B31"/>
      <c r="C31" s="3" t="s">
        <v>24</v>
      </c>
      <c r="D31" s="26">
        <f>N32</f>
        <v>0</v>
      </c>
      <c r="E31" s="16"/>
      <c r="F31" s="31">
        <f>(N30+N29*O21)*K31</f>
        <v>0</v>
      </c>
      <c r="G31" s="31">
        <f>(N30+N29*O21)*L31</f>
        <v>0</v>
      </c>
      <c r="H31" s="6"/>
      <c r="I31" s="31">
        <f>(N31+N29*O22)</f>
        <v>0</v>
      </c>
      <c r="K31" s="25">
        <v>0.7</v>
      </c>
      <c r="L31" s="25">
        <f>1-K31</f>
        <v>0.30000000000000004</v>
      </c>
      <c r="N31" s="43">
        <v>0</v>
      </c>
      <c r="O31" t="s">
        <v>48</v>
      </c>
    </row>
    <row r="32" spans="1:19" hidden="1">
      <c r="B32"/>
      <c r="C32" s="3" t="s">
        <v>25</v>
      </c>
      <c r="D32" s="26">
        <v>0</v>
      </c>
      <c r="E32" s="16"/>
      <c r="F32" s="26">
        <f>D32</f>
        <v>0</v>
      </c>
      <c r="G32" s="26">
        <v>0</v>
      </c>
      <c r="H32" s="6"/>
      <c r="I32" s="6"/>
      <c r="N32" s="33">
        <f>SUM(N29:N31)</f>
        <v>0</v>
      </c>
      <c r="O32"/>
    </row>
    <row r="33" spans="2:18" hidden="1">
      <c r="B33"/>
      <c r="C33" s="3" t="s">
        <v>89</v>
      </c>
      <c r="D33" s="26">
        <v>0</v>
      </c>
      <c r="E33" s="16"/>
      <c r="F33" s="6"/>
      <c r="G33" s="26">
        <f>D33</f>
        <v>0</v>
      </c>
      <c r="H33" s="6"/>
      <c r="I33" s="6"/>
      <c r="N33" s="33"/>
      <c r="O33"/>
    </row>
    <row r="34" spans="2:18" hidden="1">
      <c r="B34"/>
      <c r="C34" s="3" t="s">
        <v>26</v>
      </c>
      <c r="D34" s="26">
        <v>0</v>
      </c>
      <c r="E34" s="16"/>
      <c r="F34" s="26">
        <v>0</v>
      </c>
      <c r="G34" s="26">
        <v>0</v>
      </c>
      <c r="H34" s="6"/>
      <c r="I34" s="6"/>
    </row>
    <row r="35" spans="2:18" hidden="1">
      <c r="B35" s="40" t="s">
        <v>65</v>
      </c>
      <c r="C35" s="14"/>
      <c r="D35" s="11" t="s">
        <v>14</v>
      </c>
      <c r="E35" s="14" t="s">
        <v>13</v>
      </c>
      <c r="F35" s="11" t="s">
        <v>14</v>
      </c>
      <c r="G35" s="11" t="s">
        <v>14</v>
      </c>
      <c r="H35" s="11" t="s">
        <v>14</v>
      </c>
      <c r="I35" s="11" t="s">
        <v>14</v>
      </c>
      <c r="R35" s="30"/>
    </row>
    <row r="36" spans="2:18" hidden="1">
      <c r="B36" s="3" t="s">
        <v>27</v>
      </c>
      <c r="C36"/>
      <c r="D36" s="26">
        <f>SUM(D29:D35)</f>
        <v>0</v>
      </c>
      <c r="E36" s="16"/>
      <c r="F36" s="26">
        <f>SUM(F29:F35)</f>
        <v>0</v>
      </c>
      <c r="G36" s="26">
        <f>SUM(G29:G35)</f>
        <v>0</v>
      </c>
      <c r="H36" s="26">
        <f>SUM(H29:H35)</f>
        <v>0</v>
      </c>
      <c r="I36" s="26">
        <f>SUM(I29:I35)</f>
        <v>0</v>
      </c>
    </row>
    <row r="37" spans="2:18">
      <c r="D37" s="16"/>
      <c r="E37" s="16"/>
      <c r="F37" s="6"/>
      <c r="G37" s="6"/>
      <c r="H37" s="6"/>
      <c r="I37" s="6"/>
      <c r="N37" s="3"/>
    </row>
    <row r="38" spans="2:18" hidden="1">
      <c r="B38"/>
      <c r="C38" s="3" t="s">
        <v>68</v>
      </c>
      <c r="D38" s="26">
        <v>0</v>
      </c>
      <c r="E38" s="16"/>
      <c r="F38" s="6"/>
      <c r="G38" s="6"/>
      <c r="H38" s="6"/>
      <c r="I38" s="26">
        <f t="shared" ref="I38:I65" si="0">IF(K38="Post Merger",D38,0)</f>
        <v>0</v>
      </c>
      <c r="K38" s="3" t="s">
        <v>10</v>
      </c>
    </row>
    <row r="39" spans="2:18" hidden="1">
      <c r="B39"/>
      <c r="C39" s="3" t="s">
        <v>55</v>
      </c>
      <c r="D39" s="26">
        <v>0</v>
      </c>
      <c r="E39" s="16"/>
      <c r="F39" s="6"/>
      <c r="G39" s="6"/>
      <c r="H39" s="6"/>
      <c r="I39" s="26">
        <f t="shared" si="0"/>
        <v>0</v>
      </c>
      <c r="K39" s="3" t="s">
        <v>10</v>
      </c>
    </row>
    <row r="40" spans="2:18" hidden="1">
      <c r="B40"/>
      <c r="C40" s="3" t="s">
        <v>69</v>
      </c>
      <c r="D40" s="26">
        <v>0</v>
      </c>
      <c r="E40" s="16"/>
      <c r="F40" s="6"/>
      <c r="G40" s="6"/>
      <c r="H40" s="6"/>
      <c r="I40" s="26">
        <f t="shared" si="0"/>
        <v>0</v>
      </c>
      <c r="K40" s="3" t="s">
        <v>10</v>
      </c>
    </row>
    <row r="41" spans="2:18" hidden="1">
      <c r="B41"/>
      <c r="C41" s="3" t="s">
        <v>88</v>
      </c>
      <c r="D41" s="26">
        <v>0</v>
      </c>
      <c r="E41" s="16"/>
      <c r="F41" s="6"/>
      <c r="G41" s="6"/>
      <c r="H41" s="6"/>
      <c r="I41" s="26">
        <f t="shared" si="0"/>
        <v>0</v>
      </c>
      <c r="K41" s="3" t="s">
        <v>10</v>
      </c>
    </row>
    <row r="42" spans="2:18" hidden="1">
      <c r="B42"/>
      <c r="C42" s="3" t="s">
        <v>70</v>
      </c>
      <c r="D42" s="26">
        <v>0</v>
      </c>
      <c r="E42" s="16"/>
      <c r="F42" s="6"/>
      <c r="G42" s="6"/>
      <c r="H42" s="6"/>
      <c r="I42" s="26">
        <f t="shared" si="0"/>
        <v>0</v>
      </c>
      <c r="K42" s="3" t="s">
        <v>10</v>
      </c>
    </row>
    <row r="43" spans="2:18">
      <c r="B43"/>
      <c r="C43" s="3" t="s">
        <v>71</v>
      </c>
      <c r="D43" s="26">
        <v>4575693.2</v>
      </c>
      <c r="E43" s="16"/>
      <c r="F43" s="6"/>
      <c r="G43" s="6"/>
      <c r="H43" s="6"/>
      <c r="I43" s="26">
        <f t="shared" si="0"/>
        <v>4575693.2</v>
      </c>
      <c r="K43" s="3" t="s">
        <v>10</v>
      </c>
    </row>
    <row r="44" spans="2:18" hidden="1">
      <c r="B44"/>
      <c r="C44" s="3" t="s">
        <v>72</v>
      </c>
      <c r="D44" s="26">
        <v>0</v>
      </c>
      <c r="E44" s="16"/>
      <c r="F44" s="6"/>
      <c r="G44" s="6"/>
      <c r="H44" s="6"/>
      <c r="I44" s="26">
        <f t="shared" si="0"/>
        <v>0</v>
      </c>
      <c r="K44" s="3" t="s">
        <v>10</v>
      </c>
    </row>
    <row r="45" spans="2:18">
      <c r="B45"/>
      <c r="C45" s="3" t="s">
        <v>46</v>
      </c>
      <c r="D45" s="26">
        <v>8005931.2199999997</v>
      </c>
      <c r="E45" s="16"/>
      <c r="F45" s="6"/>
      <c r="G45" s="6"/>
      <c r="H45" s="6"/>
      <c r="I45" s="26">
        <f t="shared" si="0"/>
        <v>8005931.2199999997</v>
      </c>
      <c r="K45" s="3" t="s">
        <v>10</v>
      </c>
    </row>
    <row r="46" spans="2:18">
      <c r="B46"/>
      <c r="C46" s="3" t="s">
        <v>73</v>
      </c>
      <c r="D46" s="26">
        <v>84292451.859999999</v>
      </c>
      <c r="E46" s="16"/>
      <c r="F46" s="6"/>
      <c r="G46" s="6"/>
      <c r="H46" s="6"/>
      <c r="I46" s="26">
        <f t="shared" si="0"/>
        <v>84292451.859999999</v>
      </c>
      <c r="K46" s="3" t="s">
        <v>10</v>
      </c>
    </row>
    <row r="47" spans="2:18" hidden="1">
      <c r="B47"/>
      <c r="C47" s="3" t="s">
        <v>74</v>
      </c>
      <c r="D47" s="26">
        <v>0</v>
      </c>
      <c r="E47" s="16"/>
      <c r="F47" s="6"/>
      <c r="G47" s="6"/>
      <c r="H47" s="6"/>
      <c r="I47" s="26">
        <f t="shared" si="0"/>
        <v>0</v>
      </c>
      <c r="K47" s="3" t="s">
        <v>10</v>
      </c>
    </row>
    <row r="48" spans="2:18" hidden="1">
      <c r="B48"/>
      <c r="C48" s="3" t="s">
        <v>75</v>
      </c>
      <c r="D48" s="26">
        <v>0</v>
      </c>
      <c r="E48" s="16"/>
      <c r="F48" s="6"/>
      <c r="G48" s="6"/>
      <c r="H48" s="6"/>
      <c r="I48" s="26">
        <f t="shared" si="0"/>
        <v>0</v>
      </c>
      <c r="K48" s="3" t="s">
        <v>10</v>
      </c>
    </row>
    <row r="49" spans="2:11" hidden="1">
      <c r="B49"/>
      <c r="C49" s="3" t="s">
        <v>45</v>
      </c>
      <c r="D49" s="26">
        <v>0</v>
      </c>
      <c r="E49" s="16"/>
      <c r="F49" s="6"/>
      <c r="G49" s="6"/>
      <c r="H49" s="6"/>
      <c r="I49" s="26">
        <f t="shared" si="0"/>
        <v>0</v>
      </c>
      <c r="K49" s="3" t="s">
        <v>10</v>
      </c>
    </row>
    <row r="50" spans="2:11" hidden="1">
      <c r="B50"/>
      <c r="C50" s="22" t="s">
        <v>76</v>
      </c>
      <c r="D50" s="26">
        <v>0</v>
      </c>
      <c r="E50" s="16"/>
      <c r="F50" s="6"/>
      <c r="G50" s="6"/>
      <c r="H50" s="6"/>
      <c r="I50" s="26">
        <f t="shared" si="0"/>
        <v>0</v>
      </c>
      <c r="K50" s="3" t="s">
        <v>10</v>
      </c>
    </row>
    <row r="51" spans="2:11" hidden="1">
      <c r="B51"/>
      <c r="C51" s="3" t="s">
        <v>77</v>
      </c>
      <c r="D51" s="26">
        <v>0</v>
      </c>
      <c r="E51" s="16"/>
      <c r="F51" s="6"/>
      <c r="G51" s="6"/>
      <c r="H51" s="6"/>
      <c r="I51" s="26">
        <f t="shared" si="0"/>
        <v>0</v>
      </c>
      <c r="K51" s="3" t="s">
        <v>10</v>
      </c>
    </row>
    <row r="52" spans="2:11" hidden="1">
      <c r="B52"/>
      <c r="C52" s="3" t="s">
        <v>78</v>
      </c>
      <c r="D52" s="26">
        <v>0</v>
      </c>
      <c r="E52" s="16"/>
      <c r="F52" s="6"/>
      <c r="G52" s="6"/>
      <c r="H52" s="6"/>
      <c r="I52" s="26">
        <f t="shared" si="0"/>
        <v>0</v>
      </c>
      <c r="K52" s="3" t="s">
        <v>10</v>
      </c>
    </row>
    <row r="53" spans="2:11" hidden="1">
      <c r="B53"/>
      <c r="C53" s="3" t="s">
        <v>79</v>
      </c>
      <c r="D53" s="26">
        <v>0</v>
      </c>
      <c r="E53" s="16"/>
      <c r="F53" s="6"/>
      <c r="G53" s="6"/>
      <c r="H53" s="6"/>
      <c r="I53" s="26">
        <f t="shared" si="0"/>
        <v>0</v>
      </c>
      <c r="K53" s="3" t="s">
        <v>10</v>
      </c>
    </row>
    <row r="54" spans="2:11" hidden="1">
      <c r="B54"/>
      <c r="C54" s="3" t="s">
        <v>80</v>
      </c>
      <c r="D54" s="26">
        <v>0</v>
      </c>
      <c r="E54" s="16"/>
      <c r="F54" s="6"/>
      <c r="G54" s="6"/>
      <c r="H54" s="6"/>
      <c r="I54" s="26">
        <f t="shared" si="0"/>
        <v>0</v>
      </c>
      <c r="K54" s="3" t="s">
        <v>10</v>
      </c>
    </row>
    <row r="55" spans="2:11" hidden="1">
      <c r="B55"/>
      <c r="C55" s="3" t="s">
        <v>81</v>
      </c>
      <c r="D55" s="26">
        <v>0</v>
      </c>
      <c r="E55" s="16"/>
      <c r="F55" s="6"/>
      <c r="G55" s="6"/>
      <c r="H55" s="6"/>
      <c r="I55" s="26">
        <f t="shared" si="0"/>
        <v>0</v>
      </c>
      <c r="K55" s="3" t="s">
        <v>10</v>
      </c>
    </row>
    <row r="56" spans="2:11" hidden="1">
      <c r="B56"/>
      <c r="C56" s="3" t="s">
        <v>82</v>
      </c>
      <c r="D56" s="26">
        <v>0</v>
      </c>
      <c r="E56" s="16"/>
      <c r="F56" s="6"/>
      <c r="G56" s="6"/>
      <c r="H56" s="6"/>
      <c r="I56" s="26">
        <f t="shared" si="0"/>
        <v>0</v>
      </c>
      <c r="K56" s="3" t="s">
        <v>10</v>
      </c>
    </row>
    <row r="57" spans="2:11" hidden="1">
      <c r="B57"/>
      <c r="C57" s="27" t="s">
        <v>83</v>
      </c>
      <c r="D57" s="26">
        <v>0</v>
      </c>
      <c r="E57" s="16"/>
      <c r="F57" s="6"/>
      <c r="G57" s="6"/>
      <c r="H57" s="6"/>
      <c r="I57" s="26">
        <f t="shared" si="0"/>
        <v>0</v>
      </c>
      <c r="K57" s="3" t="s">
        <v>10</v>
      </c>
    </row>
    <row r="58" spans="2:11" hidden="1">
      <c r="B58"/>
      <c r="C58" s="27" t="s">
        <v>92</v>
      </c>
      <c r="D58" s="26">
        <v>0</v>
      </c>
      <c r="E58" s="16"/>
      <c r="F58" s="6"/>
      <c r="G58" s="6"/>
      <c r="H58" s="6"/>
      <c r="I58" s="26">
        <f t="shared" si="0"/>
        <v>0</v>
      </c>
      <c r="K58" s="3" t="s">
        <v>10</v>
      </c>
    </row>
    <row r="59" spans="2:11" hidden="1">
      <c r="B59"/>
      <c r="C59" s="3" t="s">
        <v>84</v>
      </c>
      <c r="D59" s="26">
        <v>0</v>
      </c>
      <c r="E59" s="16"/>
      <c r="F59" s="6"/>
      <c r="G59" s="6"/>
      <c r="H59" s="6"/>
      <c r="I59" s="26">
        <f t="shared" si="0"/>
        <v>0</v>
      </c>
      <c r="K59" s="3" t="s">
        <v>10</v>
      </c>
    </row>
    <row r="60" spans="2:11" hidden="1">
      <c r="B60"/>
      <c r="C60" s="3" t="s">
        <v>95</v>
      </c>
      <c r="D60" s="26">
        <v>0</v>
      </c>
      <c r="E60" s="16"/>
      <c r="F60" s="6"/>
      <c r="G60" s="6"/>
      <c r="H60" s="6"/>
      <c r="I60" s="26">
        <f t="shared" si="0"/>
        <v>0</v>
      </c>
      <c r="K60" s="3" t="s">
        <v>10</v>
      </c>
    </row>
    <row r="61" spans="2:11" hidden="1">
      <c r="B61"/>
      <c r="C61" s="3" t="s">
        <v>85</v>
      </c>
      <c r="D61" s="26">
        <v>0</v>
      </c>
      <c r="E61" s="16"/>
      <c r="F61" s="6"/>
      <c r="G61" s="6"/>
      <c r="H61" s="6"/>
      <c r="I61" s="26">
        <f t="shared" si="0"/>
        <v>0</v>
      </c>
      <c r="K61" s="3" t="s">
        <v>10</v>
      </c>
    </row>
    <row r="62" spans="2:11" hidden="1">
      <c r="B62"/>
      <c r="C62" s="3" t="s">
        <v>86</v>
      </c>
      <c r="D62" s="26">
        <v>0</v>
      </c>
      <c r="E62" s="16"/>
      <c r="F62" s="6"/>
      <c r="G62" s="6"/>
      <c r="H62" s="6"/>
      <c r="I62" s="26">
        <f t="shared" si="0"/>
        <v>0</v>
      </c>
      <c r="K62" s="3" t="s">
        <v>10</v>
      </c>
    </row>
    <row r="63" spans="2:11" hidden="1">
      <c r="B63"/>
      <c r="C63" s="3" t="s">
        <v>94</v>
      </c>
      <c r="D63" s="26">
        <v>0</v>
      </c>
      <c r="E63" s="16"/>
      <c r="F63" s="6"/>
      <c r="G63" s="6"/>
      <c r="H63" s="6"/>
      <c r="I63" s="26">
        <f t="shared" si="0"/>
        <v>0</v>
      </c>
      <c r="K63" s="3" t="s">
        <v>10</v>
      </c>
    </row>
    <row r="64" spans="2:11" hidden="1">
      <c r="B64"/>
      <c r="C64" s="27" t="s">
        <v>87</v>
      </c>
      <c r="D64" s="26">
        <v>0</v>
      </c>
      <c r="E64" s="16"/>
      <c r="F64" s="6"/>
      <c r="G64" s="6"/>
      <c r="H64" s="6"/>
      <c r="I64" s="26">
        <f t="shared" si="0"/>
        <v>0</v>
      </c>
      <c r="K64" s="3" t="s">
        <v>10</v>
      </c>
    </row>
    <row r="65" spans="1:16" hidden="1">
      <c r="B65"/>
      <c r="C65" s="3" t="s">
        <v>93</v>
      </c>
      <c r="D65" s="26">
        <v>0</v>
      </c>
      <c r="E65" s="16"/>
      <c r="F65" s="6"/>
      <c r="G65" s="6"/>
      <c r="H65" s="6"/>
      <c r="I65" s="26">
        <f t="shared" si="0"/>
        <v>0</v>
      </c>
      <c r="K65" s="3" t="s">
        <v>10</v>
      </c>
    </row>
    <row r="66" spans="1:16" ht="11.25" thickBot="1">
      <c r="B66"/>
      <c r="C66" s="27"/>
      <c r="D66" s="26"/>
      <c r="E66" s="16"/>
      <c r="F66" s="6"/>
      <c r="G66" s="6"/>
      <c r="H66" s="6"/>
      <c r="I66" s="26"/>
    </row>
    <row r="67" spans="1:16" hidden="1">
      <c r="B67" s="22" t="s">
        <v>64</v>
      </c>
      <c r="C67" s="27"/>
      <c r="D67" s="26"/>
      <c r="E67" s="16"/>
      <c r="F67" s="6"/>
      <c r="G67" s="6"/>
      <c r="H67" s="6"/>
      <c r="I67" s="26"/>
    </row>
    <row r="68" spans="1:16" ht="11.25" hidden="1" thickBot="1">
      <c r="B68"/>
      <c r="C68" s="3" t="s">
        <v>96</v>
      </c>
      <c r="D68" s="26">
        <v>0</v>
      </c>
      <c r="E68" s="16"/>
      <c r="F68" s="6"/>
      <c r="G68" s="6"/>
      <c r="H68" s="6"/>
      <c r="I68" s="26">
        <f>IF(K68="Post Merger",D68,0)</f>
        <v>0</v>
      </c>
      <c r="K68" s="3" t="s">
        <v>10</v>
      </c>
    </row>
    <row r="69" spans="1:16" ht="11.25" thickBot="1">
      <c r="B69"/>
      <c r="D69" s="16"/>
      <c r="E69" s="16"/>
      <c r="F69" s="6"/>
      <c r="G69" s="6"/>
      <c r="H69" s="6"/>
      <c r="I69" s="6"/>
      <c r="K69" s="36">
        <v>0</v>
      </c>
      <c r="L69" s="24" t="s">
        <v>40</v>
      </c>
      <c r="M69" s="37">
        <v>0</v>
      </c>
    </row>
    <row r="70" spans="1:16">
      <c r="B70"/>
      <c r="C70" t="s">
        <v>115</v>
      </c>
      <c r="D70" s="26">
        <v>68757299.959999993</v>
      </c>
      <c r="E70" s="16"/>
      <c r="F70" s="6"/>
      <c r="G70" s="6"/>
      <c r="H70" s="6"/>
      <c r="I70" s="26">
        <f>D70</f>
        <v>68757299.959999993</v>
      </c>
    </row>
    <row r="71" spans="1:16" ht="11.25" thickBot="1">
      <c r="B71" s="40" t="s">
        <v>65</v>
      </c>
      <c r="C71" s="14"/>
      <c r="D71" s="11" t="s">
        <v>14</v>
      </c>
      <c r="E71" s="14" t="s">
        <v>13</v>
      </c>
      <c r="F71" s="11" t="s">
        <v>14</v>
      </c>
      <c r="G71" s="11" t="s">
        <v>14</v>
      </c>
      <c r="H71" s="11" t="s">
        <v>14</v>
      </c>
      <c r="I71" s="11" t="s">
        <v>14</v>
      </c>
    </row>
    <row r="72" spans="1:16" ht="11.25" thickBot="1">
      <c r="B72" s="3" t="s">
        <v>28</v>
      </c>
      <c r="C72"/>
      <c r="D72" s="26">
        <f>SUM(D38:D70)</f>
        <v>165631376.24000001</v>
      </c>
      <c r="E72" s="16"/>
      <c r="F72" s="26">
        <f>SUM(F38:F70)</f>
        <v>0</v>
      </c>
      <c r="G72" s="26">
        <f>SUM(G38:G70)</f>
        <v>0</v>
      </c>
      <c r="H72" s="26">
        <f>SUM(H38:H70)</f>
        <v>0</v>
      </c>
      <c r="I72" s="26">
        <f>SUM(I38:I70)</f>
        <v>165631376.24000001</v>
      </c>
      <c r="K72" s="36"/>
      <c r="L72" s="24" t="s">
        <v>40</v>
      </c>
      <c r="M72" s="37">
        <f>D72-SUM(F72:I72)</f>
        <v>0</v>
      </c>
    </row>
    <row r="73" spans="1:16">
      <c r="B73" s="3" t="s">
        <v>116</v>
      </c>
      <c r="D73" s="26">
        <v>663166.31000000006</v>
      </c>
      <c r="E73" s="16"/>
      <c r="F73" s="14"/>
      <c r="H73" s="26"/>
      <c r="I73" s="26">
        <f>D73</f>
        <v>663166.31000000006</v>
      </c>
      <c r="J73"/>
      <c r="K73"/>
      <c r="L73"/>
      <c r="M73"/>
    </row>
    <row r="74" spans="1:16">
      <c r="B74" s="3" t="s">
        <v>29</v>
      </c>
      <c r="C74"/>
      <c r="D74" s="26">
        <v>0</v>
      </c>
      <c r="E74" s="16"/>
      <c r="F74" s="26"/>
      <c r="G74" s="26"/>
      <c r="H74" s="26">
        <f>D74</f>
        <v>0</v>
      </c>
      <c r="I74" s="6"/>
    </row>
    <row r="75" spans="1:16" ht="11.25" thickBot="1">
      <c r="D75" s="11" t="s">
        <v>14</v>
      </c>
      <c r="E75" s="14" t="s">
        <v>13</v>
      </c>
      <c r="F75" s="11" t="s">
        <v>14</v>
      </c>
      <c r="G75" s="11" t="s">
        <v>14</v>
      </c>
      <c r="H75" s="11" t="s">
        <v>14</v>
      </c>
      <c r="I75" s="11" t="s">
        <v>14</v>
      </c>
    </row>
    <row r="76" spans="1:16" ht="11.25" thickBot="1">
      <c r="A76" s="3" t="s">
        <v>30</v>
      </c>
      <c r="D76" s="26">
        <f>D72+D73+D74+D36+D27</f>
        <v>243313601.69999999</v>
      </c>
      <c r="E76" s="16"/>
      <c r="F76" s="26">
        <f>F72+F73+F74+F36+F27</f>
        <v>2529420.7641726462</v>
      </c>
      <c r="G76" s="26">
        <f>G72+G73+G74+G36+G27</f>
        <v>12377848.49156395</v>
      </c>
      <c r="H76" s="26">
        <f>H72+H73+H74+H36+H27</f>
        <v>0</v>
      </c>
      <c r="I76" s="26">
        <f>I72+I73+I74+I36+I27</f>
        <v>228406332.4442634</v>
      </c>
      <c r="K76" s="36">
        <v>0</v>
      </c>
      <c r="L76" s="24" t="s">
        <v>40</v>
      </c>
      <c r="M76" s="37">
        <f>D76-SUM(F76:I76)</f>
        <v>0</v>
      </c>
    </row>
    <row r="77" spans="1:16">
      <c r="D77" s="16"/>
      <c r="E77" s="16"/>
      <c r="F77" s="16"/>
      <c r="G77" s="16"/>
      <c r="H77" s="16"/>
      <c r="I77" s="16"/>
    </row>
    <row r="78" spans="1:16">
      <c r="D78" s="16"/>
      <c r="E78" s="16"/>
      <c r="F78" s="16"/>
      <c r="G78" s="16"/>
      <c r="H78" s="16"/>
      <c r="I78" s="16"/>
    </row>
    <row r="79" spans="1:16" ht="11.25">
      <c r="A79" s="3" t="s">
        <v>31</v>
      </c>
      <c r="F79" s="6"/>
      <c r="G79" s="6"/>
      <c r="H79" s="6"/>
      <c r="I79" s="6"/>
      <c r="N79" s="29" t="s">
        <v>60</v>
      </c>
      <c r="O79" s="32">
        <v>24999835.973468848</v>
      </c>
      <c r="P79" s="26"/>
    </row>
    <row r="80" spans="1:16" ht="11.25">
      <c r="F80" s="6"/>
      <c r="G80" s="6"/>
      <c r="H80" s="6"/>
      <c r="I80" s="6"/>
      <c r="N80" s="29" t="s">
        <v>61</v>
      </c>
      <c r="O80" s="32">
        <v>0</v>
      </c>
      <c r="P80" s="26"/>
    </row>
    <row r="81" spans="1:16" customFormat="1" ht="11.25">
      <c r="A81" s="3"/>
      <c r="B81" s="3" t="s">
        <v>32</v>
      </c>
      <c r="D81" s="26">
        <f>SUM(F81:I81)</f>
        <v>24999835.973468848</v>
      </c>
      <c r="E81" s="16"/>
      <c r="F81" s="26">
        <f>O79</f>
        <v>24999835.973468848</v>
      </c>
      <c r="G81" s="6"/>
      <c r="H81" s="6"/>
      <c r="I81" s="6"/>
      <c r="J81" s="3"/>
      <c r="K81" s="18"/>
      <c r="L81" s="3"/>
      <c r="M81" s="3"/>
      <c r="N81" s="29" t="s">
        <v>62</v>
      </c>
      <c r="O81" s="32">
        <v>83304574.000558719</v>
      </c>
      <c r="P81" s="38"/>
    </row>
    <row r="82" spans="1:16" ht="11.25" hidden="1">
      <c r="A82"/>
      <c r="B82"/>
      <c r="C82"/>
      <c r="D82"/>
      <c r="E82"/>
      <c r="F82"/>
      <c r="G82"/>
      <c r="H82"/>
      <c r="I82"/>
      <c r="J82"/>
      <c r="K82" s="23"/>
      <c r="L82"/>
      <c r="M82"/>
      <c r="N82" s="29" t="s">
        <v>91</v>
      </c>
      <c r="O82" s="32">
        <v>0</v>
      </c>
      <c r="P82" s="26"/>
    </row>
    <row r="83" spans="1:16" ht="12" thickBot="1">
      <c r="B83" s="3" t="s">
        <v>33</v>
      </c>
      <c r="C83"/>
      <c r="D83" s="26">
        <f>SUM(F83:I83)</f>
        <v>0</v>
      </c>
      <c r="E83" s="16"/>
      <c r="F83" s="26">
        <f>O80</f>
        <v>0</v>
      </c>
      <c r="G83" s="6"/>
      <c r="H83" s="6"/>
      <c r="I83" s="6"/>
      <c r="N83" s="29" t="s">
        <v>63</v>
      </c>
      <c r="O83" s="32">
        <v>1038267.1499999999</v>
      </c>
      <c r="P83" s="26"/>
    </row>
    <row r="84" spans="1:16" ht="11.25" hidden="1" thickBot="1">
      <c r="C84"/>
      <c r="D84" s="16"/>
      <c r="E84" s="16"/>
      <c r="F84" s="6"/>
      <c r="G84" s="6"/>
      <c r="H84" s="6"/>
      <c r="I84" s="6"/>
      <c r="O84" s="32">
        <f>SUM(O79:O83)</f>
        <v>109342677.12402758</v>
      </c>
      <c r="P84" s="26"/>
    </row>
    <row r="85" spans="1:16" ht="11.25" thickBot="1">
      <c r="B85" s="3" t="s">
        <v>10</v>
      </c>
      <c r="C85"/>
      <c r="D85" s="26">
        <f>D90-(D81+D83+D87)</f>
        <v>84342841.02653116</v>
      </c>
      <c r="E85" s="16"/>
      <c r="F85" s="17"/>
      <c r="G85" s="6"/>
      <c r="H85" s="6"/>
      <c r="I85" s="26">
        <f>D85</f>
        <v>84342841.02653116</v>
      </c>
      <c r="N85" s="47" t="s">
        <v>40</v>
      </c>
      <c r="O85" s="37">
        <v>0</v>
      </c>
      <c r="P85" s="46"/>
    </row>
    <row r="86" spans="1:16" hidden="1">
      <c r="F86" s="6"/>
      <c r="G86" s="6"/>
      <c r="H86" s="6"/>
      <c r="I86" s="6"/>
    </row>
    <row r="87" spans="1:16" customFormat="1">
      <c r="A87" s="3"/>
      <c r="B87" t="s">
        <v>34</v>
      </c>
      <c r="C87" s="3"/>
      <c r="D87" s="26">
        <v>0</v>
      </c>
      <c r="E87" s="16"/>
      <c r="F87" s="6"/>
      <c r="H87" s="26">
        <f>D87</f>
        <v>0</v>
      </c>
      <c r="I87" s="6"/>
      <c r="J87" s="3"/>
      <c r="K87" s="3"/>
      <c r="L87" s="3"/>
      <c r="M87" s="3"/>
      <c r="N87" s="27"/>
    </row>
    <row r="88" spans="1:16">
      <c r="A88"/>
      <c r="B88"/>
      <c r="C88"/>
      <c r="D88"/>
      <c r="E88"/>
      <c r="F88"/>
      <c r="G88"/>
      <c r="H88"/>
      <c r="I88"/>
      <c r="J88"/>
      <c r="K88"/>
      <c r="L88"/>
      <c r="M88"/>
    </row>
    <row r="89" spans="1:16" ht="11.25" thickBot="1">
      <c r="D89" s="11" t="s">
        <v>14</v>
      </c>
      <c r="E89" s="14" t="s">
        <v>13</v>
      </c>
      <c r="F89" s="11" t="s">
        <v>14</v>
      </c>
      <c r="G89" s="11" t="s">
        <v>14</v>
      </c>
      <c r="H89" s="11" t="s">
        <v>14</v>
      </c>
      <c r="I89" s="11" t="s">
        <v>14</v>
      </c>
    </row>
    <row r="90" spans="1:16" customFormat="1" ht="11.25" thickBot="1">
      <c r="A90" s="3" t="s">
        <v>35</v>
      </c>
      <c r="B90" s="3"/>
      <c r="C90" s="3"/>
      <c r="D90" s="26">
        <v>109342677</v>
      </c>
      <c r="E90" s="16"/>
      <c r="F90" s="26">
        <f>SUM(F81:F87)</f>
        <v>24999835.973468848</v>
      </c>
      <c r="G90" s="26">
        <f>SUM(G81:G87)</f>
        <v>0</v>
      </c>
      <c r="H90" s="26">
        <f>SUM(H81:H87)</f>
        <v>0</v>
      </c>
      <c r="I90" s="26">
        <f>SUM(I81:I87)</f>
        <v>84342841.02653116</v>
      </c>
      <c r="J90" s="3"/>
      <c r="K90" s="36">
        <f>D90-(D81+D83+D85+D87)</f>
        <v>0</v>
      </c>
      <c r="L90" s="24" t="s">
        <v>40</v>
      </c>
      <c r="M90" s="37">
        <f>D90-SUM(F90:I90)</f>
        <v>0</v>
      </c>
      <c r="N90" s="27"/>
    </row>
    <row r="91" spans="1:16" customFormat="1">
      <c r="A91" s="3"/>
      <c r="B91" s="3"/>
      <c r="C91" s="3"/>
      <c r="D91" s="3"/>
      <c r="E91" s="3"/>
      <c r="G91" s="3"/>
      <c r="H91" s="3"/>
      <c r="I91" s="3"/>
      <c r="N91" s="27"/>
    </row>
    <row r="92" spans="1:16" customFormat="1">
      <c r="A92" s="3" t="s">
        <v>36</v>
      </c>
      <c r="B92" s="3"/>
      <c r="C92" s="3"/>
      <c r="D92" s="3"/>
      <c r="E92" s="3"/>
      <c r="G92" s="3"/>
      <c r="H92" s="3"/>
      <c r="I92" s="3"/>
      <c r="N92" s="27"/>
    </row>
    <row r="93" spans="1:16" customFormat="1" hidden="1">
      <c r="A93" s="3"/>
      <c r="B93" s="16" t="s">
        <v>98</v>
      </c>
      <c r="C93" s="3"/>
      <c r="D93" s="26">
        <v>0</v>
      </c>
      <c r="E93" s="16"/>
      <c r="G93" s="3"/>
      <c r="H93" s="26">
        <f t="shared" ref="H93:H107" si="1">D93</f>
        <v>0</v>
      </c>
      <c r="I93" s="2"/>
      <c r="N93" s="27"/>
    </row>
    <row r="94" spans="1:16" customFormat="1" hidden="1">
      <c r="A94" s="3"/>
      <c r="B94" s="16" t="s">
        <v>99</v>
      </c>
      <c r="C94" s="3"/>
      <c r="D94" s="26">
        <v>0</v>
      </c>
      <c r="E94" s="16"/>
      <c r="G94" s="3"/>
      <c r="H94" s="26">
        <f t="shared" si="1"/>
        <v>0</v>
      </c>
      <c r="I94" s="2"/>
      <c r="N94" s="27"/>
    </row>
    <row r="95" spans="1:16" customFormat="1">
      <c r="A95" s="3"/>
      <c r="B95" s="16" t="s">
        <v>100</v>
      </c>
      <c r="C95" s="3"/>
      <c r="D95" s="26">
        <v>8022141.3700000001</v>
      </c>
      <c r="E95" s="16"/>
      <c r="G95" s="3"/>
      <c r="H95" s="26">
        <f t="shared" si="1"/>
        <v>8022141.3700000001</v>
      </c>
      <c r="I95" s="2"/>
      <c r="N95" s="27"/>
    </row>
    <row r="96" spans="1:16" customFormat="1" hidden="1">
      <c r="A96" s="3"/>
      <c r="B96" s="16" t="s">
        <v>101</v>
      </c>
      <c r="C96" s="3"/>
      <c r="D96" s="26">
        <v>0</v>
      </c>
      <c r="E96" s="16"/>
      <c r="G96" s="3"/>
      <c r="H96" s="26">
        <f t="shared" si="1"/>
        <v>0</v>
      </c>
      <c r="I96" s="2"/>
      <c r="N96" s="27"/>
    </row>
    <row r="97" spans="1:14" customFormat="1">
      <c r="A97" s="3"/>
      <c r="B97" s="16" t="s">
        <v>66</v>
      </c>
      <c r="C97" s="3"/>
      <c r="D97" s="26">
        <v>50830295.850000001</v>
      </c>
      <c r="E97" s="16"/>
      <c r="G97" s="3"/>
      <c r="H97" s="26">
        <f t="shared" si="1"/>
        <v>50830295.850000001</v>
      </c>
      <c r="I97" s="2"/>
      <c r="N97" s="27"/>
    </row>
    <row r="98" spans="1:14" customFormat="1" hidden="1">
      <c r="A98" s="3"/>
      <c r="B98" s="16" t="s">
        <v>47</v>
      </c>
      <c r="C98" s="3"/>
      <c r="D98" s="26">
        <v>0</v>
      </c>
      <c r="E98" s="16"/>
      <c r="G98" s="3"/>
      <c r="H98" s="26">
        <f t="shared" si="1"/>
        <v>0</v>
      </c>
      <c r="I98" s="2"/>
      <c r="N98" s="27"/>
    </row>
    <row r="99" spans="1:14" customFormat="1" hidden="1">
      <c r="A99" s="3"/>
      <c r="B99" s="16" t="s">
        <v>102</v>
      </c>
      <c r="C99" s="3"/>
      <c r="D99" s="26">
        <v>0</v>
      </c>
      <c r="E99" s="16"/>
      <c r="G99" s="3"/>
      <c r="H99" s="26">
        <f t="shared" si="1"/>
        <v>0</v>
      </c>
      <c r="I99" s="2"/>
      <c r="N99" s="27"/>
    </row>
    <row r="100" spans="1:14" customFormat="1" hidden="1">
      <c r="A100" s="3"/>
      <c r="B100" s="16" t="s">
        <v>103</v>
      </c>
      <c r="C100" s="3"/>
      <c r="D100" s="26">
        <v>0</v>
      </c>
      <c r="E100" s="16"/>
      <c r="G100" s="3"/>
      <c r="H100" s="26">
        <f t="shared" si="1"/>
        <v>0</v>
      </c>
      <c r="I100" s="2"/>
      <c r="N100" s="27"/>
    </row>
    <row r="101" spans="1:14" customFormat="1" hidden="1">
      <c r="A101" s="3"/>
      <c r="B101" s="16" t="s">
        <v>104</v>
      </c>
      <c r="C101" s="3"/>
      <c r="D101" s="26">
        <v>0</v>
      </c>
      <c r="E101" s="16"/>
      <c r="G101" s="3"/>
      <c r="H101" s="26">
        <f t="shared" si="1"/>
        <v>0</v>
      </c>
      <c r="I101" s="2"/>
      <c r="N101" s="27"/>
    </row>
    <row r="102" spans="1:14" customFormat="1" hidden="1">
      <c r="A102" s="3"/>
      <c r="B102" s="16" t="s">
        <v>105</v>
      </c>
      <c r="C102" s="3"/>
      <c r="D102" s="26">
        <v>0</v>
      </c>
      <c r="E102" s="16"/>
      <c r="F102" s="14"/>
      <c r="G102" s="3"/>
      <c r="H102" s="26">
        <f t="shared" si="1"/>
        <v>0</v>
      </c>
      <c r="I102" s="2"/>
      <c r="N102" s="27"/>
    </row>
    <row r="103" spans="1:14" customFormat="1">
      <c r="A103" s="3"/>
      <c r="B103" s="16" t="s">
        <v>106</v>
      </c>
      <c r="C103" s="3"/>
      <c r="D103" s="26">
        <v>46139816.990000002</v>
      </c>
      <c r="E103" s="16"/>
      <c r="F103" s="14"/>
      <c r="G103" s="3"/>
      <c r="H103" s="26">
        <f t="shared" si="1"/>
        <v>46139816.990000002</v>
      </c>
      <c r="I103" s="2"/>
      <c r="N103" s="27"/>
    </row>
    <row r="104" spans="1:14" customFormat="1" hidden="1">
      <c r="A104" s="3"/>
      <c r="B104" s="16" t="s">
        <v>107</v>
      </c>
      <c r="C104" s="3"/>
      <c r="D104" s="26">
        <v>0</v>
      </c>
      <c r="E104" s="16"/>
      <c r="F104" s="14"/>
      <c r="G104" s="3"/>
      <c r="H104" s="26">
        <f t="shared" si="1"/>
        <v>0</v>
      </c>
      <c r="I104" s="2"/>
      <c r="N104" s="27"/>
    </row>
    <row r="105" spans="1:14" customFormat="1" hidden="1">
      <c r="A105" s="3"/>
      <c r="B105" s="16" t="s">
        <v>108</v>
      </c>
      <c r="C105" s="3"/>
      <c r="D105" s="26">
        <v>0</v>
      </c>
      <c r="E105" s="16"/>
      <c r="F105" s="14"/>
      <c r="G105" s="3"/>
      <c r="H105" s="26">
        <f t="shared" si="1"/>
        <v>0</v>
      </c>
      <c r="I105" s="2"/>
      <c r="N105" s="27"/>
    </row>
    <row r="106" spans="1:14" customFormat="1">
      <c r="A106" s="3"/>
      <c r="B106" s="16" t="s">
        <v>109</v>
      </c>
      <c r="C106" s="3"/>
      <c r="D106" s="26">
        <v>198700578.69</v>
      </c>
      <c r="E106" s="16"/>
      <c r="F106" s="14"/>
      <c r="G106" s="3"/>
      <c r="H106" s="26">
        <f t="shared" si="1"/>
        <v>198700578.69</v>
      </c>
      <c r="I106" s="2"/>
      <c r="N106" s="27"/>
    </row>
    <row r="107" spans="1:14" customFormat="1" hidden="1">
      <c r="A107" s="3"/>
      <c r="B107" s="16" t="s">
        <v>110</v>
      </c>
      <c r="C107" s="3"/>
      <c r="D107" s="26">
        <v>0</v>
      </c>
      <c r="E107" s="16"/>
      <c r="F107" s="14"/>
      <c r="G107" s="3"/>
      <c r="H107" s="26">
        <f t="shared" si="1"/>
        <v>0</v>
      </c>
      <c r="I107" s="2"/>
      <c r="N107" s="27"/>
    </row>
    <row r="108" spans="1:14" customFormat="1" hidden="1">
      <c r="A108" s="3"/>
      <c r="B108" s="16"/>
      <c r="C108" s="3"/>
      <c r="D108" s="26"/>
      <c r="E108" s="16"/>
      <c r="F108" s="14"/>
      <c r="G108" s="3"/>
      <c r="H108" s="26"/>
      <c r="I108" s="2"/>
      <c r="N108" s="27"/>
    </row>
    <row r="109" spans="1:14" customFormat="1" hidden="1">
      <c r="A109" s="3"/>
      <c r="B109" s="16" t="s">
        <v>111</v>
      </c>
      <c r="C109" s="3"/>
      <c r="D109" s="26">
        <v>0</v>
      </c>
      <c r="E109" s="16"/>
      <c r="F109" s="14"/>
      <c r="G109" s="3"/>
      <c r="H109" s="26">
        <f>D109</f>
        <v>0</v>
      </c>
      <c r="I109" s="2"/>
      <c r="N109" s="27"/>
    </row>
    <row r="110" spans="1:14" customFormat="1" hidden="1">
      <c r="A110" s="3"/>
      <c r="B110" s="16" t="s">
        <v>112</v>
      </c>
      <c r="C110" s="3"/>
      <c r="D110" s="26">
        <v>0</v>
      </c>
      <c r="E110" s="16"/>
      <c r="F110" s="14"/>
      <c r="G110" s="3"/>
      <c r="H110" s="26">
        <f>D110</f>
        <v>0</v>
      </c>
      <c r="I110" s="2"/>
      <c r="N110" s="27"/>
    </row>
    <row r="111" spans="1:14" customFormat="1" hidden="1">
      <c r="A111" s="3"/>
      <c r="B111" s="16" t="s">
        <v>113</v>
      </c>
      <c r="C111" s="3"/>
      <c r="D111" s="26">
        <v>0</v>
      </c>
      <c r="E111" s="16"/>
      <c r="F111" s="14"/>
      <c r="G111" s="3"/>
      <c r="H111" s="26">
        <f>D111</f>
        <v>0</v>
      </c>
      <c r="I111" s="2"/>
      <c r="N111" s="27"/>
    </row>
    <row r="112" spans="1:14" customFormat="1" hidden="1">
      <c r="A112" s="3"/>
      <c r="B112" s="16"/>
      <c r="C112" s="3"/>
      <c r="D112" s="26"/>
      <c r="E112" s="16"/>
      <c r="F112" s="14"/>
      <c r="G112" s="3"/>
      <c r="H112" s="26"/>
      <c r="I112" s="2"/>
      <c r="N112" s="27"/>
    </row>
    <row r="113" spans="1:14" customFormat="1" hidden="1">
      <c r="A113" s="3"/>
      <c r="B113" s="16" t="s">
        <v>114</v>
      </c>
      <c r="C113" s="3"/>
      <c r="D113" s="26">
        <v>0</v>
      </c>
      <c r="E113" s="16"/>
      <c r="F113" s="14"/>
      <c r="G113" s="3"/>
      <c r="H113" s="26">
        <f>D113</f>
        <v>0</v>
      </c>
      <c r="I113" s="2"/>
      <c r="N113" s="27"/>
    </row>
    <row r="114" spans="1:14" customFormat="1" ht="11.25" thickBot="1">
      <c r="A114" s="3"/>
      <c r="B114" s="3"/>
      <c r="C114" s="3"/>
      <c r="D114" s="11" t="s">
        <v>14</v>
      </c>
      <c r="E114" s="14" t="s">
        <v>13</v>
      </c>
      <c r="F114" s="11" t="s">
        <v>14</v>
      </c>
      <c r="G114" s="11" t="s">
        <v>14</v>
      </c>
      <c r="H114" s="11" t="s">
        <v>14</v>
      </c>
      <c r="I114" s="11" t="s">
        <v>14</v>
      </c>
      <c r="N114" s="27"/>
    </row>
    <row r="115" spans="1:14" customFormat="1" ht="11.25" thickBot="1">
      <c r="A115" s="3" t="s">
        <v>37</v>
      </c>
      <c r="B115" s="3"/>
      <c r="C115" s="3"/>
      <c r="D115" s="26">
        <f>SUM(D93:D113)</f>
        <v>303692832.89999998</v>
      </c>
      <c r="E115" s="16"/>
      <c r="F115" s="26">
        <f>SUM(F92:F113)</f>
        <v>0</v>
      </c>
      <c r="G115" s="26">
        <f>SUM(G92:G113)</f>
        <v>0</v>
      </c>
      <c r="H115" s="26">
        <f>SUM(H92:H113)</f>
        <v>303692832.89999998</v>
      </c>
      <c r="I115" s="26">
        <f>SUM(I92:I105)</f>
        <v>0</v>
      </c>
      <c r="K115" s="36">
        <v>0</v>
      </c>
      <c r="L115" s="24" t="s">
        <v>40</v>
      </c>
      <c r="M115" s="37">
        <f>D115-SUM(F115:I115)</f>
        <v>0</v>
      </c>
      <c r="N115" s="27"/>
    </row>
    <row r="116" spans="1:14" customFormat="1">
      <c r="A116" s="3"/>
      <c r="B116" s="3"/>
      <c r="C116" s="3"/>
      <c r="D116" s="7"/>
      <c r="E116" s="16"/>
      <c r="F116" s="16"/>
      <c r="G116" s="16"/>
      <c r="H116" s="16"/>
      <c r="I116" s="16"/>
      <c r="N116" s="27"/>
    </row>
    <row r="117" spans="1:14" customFormat="1">
      <c r="A117" s="3" t="s">
        <v>43</v>
      </c>
      <c r="B117" s="3"/>
      <c r="C117" s="3"/>
      <c r="D117" s="7"/>
      <c r="E117" s="16"/>
      <c r="F117" s="16"/>
      <c r="G117" s="16"/>
      <c r="H117" s="16"/>
      <c r="I117" s="16"/>
      <c r="N117" s="27"/>
    </row>
    <row r="118" spans="1:14" customFormat="1">
      <c r="A118" s="3"/>
      <c r="B118" s="16" t="s">
        <v>97</v>
      </c>
      <c r="C118" s="3"/>
      <c r="D118" s="26">
        <v>0</v>
      </c>
      <c r="E118" s="16"/>
      <c r="F118" s="14"/>
      <c r="G118" s="3"/>
      <c r="H118" s="26">
        <f>D118</f>
        <v>0</v>
      </c>
      <c r="I118" s="2"/>
      <c r="N118" s="27"/>
    </row>
    <row r="119" spans="1:14">
      <c r="D119" s="11" t="s">
        <v>14</v>
      </c>
      <c r="E119" s="14" t="s">
        <v>13</v>
      </c>
      <c r="F119" s="11" t="s">
        <v>14</v>
      </c>
      <c r="G119" s="11" t="s">
        <v>14</v>
      </c>
      <c r="H119" s="11" t="s">
        <v>14</v>
      </c>
      <c r="I119" s="11" t="s">
        <v>14</v>
      </c>
    </row>
    <row r="120" spans="1:14">
      <c r="A120" s="3" t="s">
        <v>44</v>
      </c>
      <c r="D120" s="26">
        <v>0</v>
      </c>
      <c r="E120" s="16"/>
      <c r="F120" s="26">
        <f>SUM(F118:F118)</f>
        <v>0</v>
      </c>
      <c r="G120" s="26">
        <f>SUM(G118:G118)</f>
        <v>0</v>
      </c>
      <c r="H120" s="26">
        <f>SUM(H118:H118)</f>
        <v>0</v>
      </c>
      <c r="I120" s="26">
        <f>SUM(I118:I118)</f>
        <v>0</v>
      </c>
    </row>
    <row r="121" spans="1:14" ht="11.25" thickBot="1">
      <c r="D121" s="19" t="s">
        <v>38</v>
      </c>
      <c r="E121" s="14" t="s">
        <v>13</v>
      </c>
      <c r="F121" s="19" t="s">
        <v>38</v>
      </c>
      <c r="G121" s="19" t="s">
        <v>38</v>
      </c>
      <c r="H121" s="19" t="s">
        <v>38</v>
      </c>
      <c r="I121" s="19" t="s">
        <v>38</v>
      </c>
    </row>
    <row r="122" spans="1:14" ht="11.25" thickBot="1">
      <c r="A122" s="3" t="s">
        <v>39</v>
      </c>
      <c r="D122" s="26">
        <f>D115+D90+D76+D120-D16</f>
        <v>582667534.12999988</v>
      </c>
      <c r="E122" s="16" t="s">
        <v>13</v>
      </c>
      <c r="F122" s="26">
        <f>F115+F90+F76+F120-F16</f>
        <v>14564456.737641495</v>
      </c>
      <c r="G122" s="26">
        <f>G115+G90+G76+G120-G16</f>
        <v>12377848.49156395</v>
      </c>
      <c r="H122" s="26">
        <f>H115+H90+H76+H120-H16</f>
        <v>303692832.89999998</v>
      </c>
      <c r="I122" s="26">
        <f>I115+I90+I76+I120-I16</f>
        <v>252032396.00079456</v>
      </c>
      <c r="K122" s="36">
        <v>0</v>
      </c>
      <c r="L122" s="24" t="s">
        <v>40</v>
      </c>
      <c r="M122" s="37">
        <f>D122-SUM(F122:I122)</f>
        <v>0</v>
      </c>
    </row>
    <row r="123" spans="1:14">
      <c r="D123" s="19" t="s">
        <v>38</v>
      </c>
      <c r="E123" s="14" t="s">
        <v>13</v>
      </c>
      <c r="F123" s="19" t="s">
        <v>38</v>
      </c>
      <c r="G123" s="19" t="s">
        <v>38</v>
      </c>
      <c r="H123" s="19" t="s">
        <v>38</v>
      </c>
      <c r="I123" s="19" t="s">
        <v>38</v>
      </c>
    </row>
  </sheetData>
  <mergeCells count="1">
    <mergeCell ref="A4:C4"/>
  </mergeCells>
  <pageMargins left="0.65" right="0.72" top="1" bottom="1" header="0.5" footer="0.5"/>
  <pageSetup scale="67" orientation="portrait" r:id="rId1"/>
  <headerFooter alignWithMargins="0">
    <oddHeader>&amp;L&amp;"Arial,Regular"&amp;10WA UE-130043
Bench Request 9&amp;R&amp;"Arial,Bold"&amp;10Attachment Bench Request 9</oddHeader>
    <oddFooter>&amp;L&amp;"Arial,Regular"&amp;10&amp;F&amp;C&amp;A</oddFooter>
  </headerFooter>
  <rowBreaks count="1" manualBreakCount="1">
    <brk id="69" max="8" man="1"/>
  </row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pageSetUpPr fitToPage="1"/>
  </sheetPr>
  <dimension ref="A1:K50"/>
  <sheetViews>
    <sheetView view="pageBreakPreview" zoomScale="85" zoomScaleNormal="100" zoomScaleSheetLayoutView="85" workbookViewId="0">
      <selection activeCell="T91" sqref="T91"/>
    </sheetView>
  </sheetViews>
  <sheetFormatPr defaultRowHeight="12.75"/>
  <cols>
    <col min="1" max="1" width="4.83203125" style="275" customWidth="1"/>
    <col min="2" max="2" width="8" style="275" customWidth="1"/>
    <col min="3" max="3" width="32.83203125" style="275" customWidth="1"/>
    <col min="4" max="4" width="12.33203125" style="275" customWidth="1"/>
    <col min="5" max="5" width="9.33203125" style="276"/>
    <col min="6" max="6" width="17" style="106" customWidth="1"/>
    <col min="7" max="7" width="9.33203125" style="276"/>
    <col min="8" max="8" width="12" style="276" bestFit="1" customWidth="1"/>
    <col min="9" max="9" width="15.33203125" style="276" bestFit="1" customWidth="1"/>
    <col min="10" max="16384" width="9.33203125" style="275"/>
  </cols>
  <sheetData>
    <row r="1" spans="1:10">
      <c r="A1" s="274" t="s">
        <v>118</v>
      </c>
      <c r="B1" s="274"/>
      <c r="I1" s="277" t="s">
        <v>272</v>
      </c>
      <c r="J1" s="296" t="s">
        <v>296</v>
      </c>
    </row>
    <row r="2" spans="1:10">
      <c r="A2" s="274" t="s">
        <v>255</v>
      </c>
      <c r="B2" s="274"/>
    </row>
    <row r="3" spans="1:10">
      <c r="A3" s="274" t="s">
        <v>319</v>
      </c>
      <c r="B3" s="274"/>
    </row>
    <row r="5" spans="1:10">
      <c r="F5" s="105" t="s">
        <v>274</v>
      </c>
      <c r="I5" s="276" t="s">
        <v>126</v>
      </c>
    </row>
    <row r="6" spans="1:10" ht="15">
      <c r="D6" s="279" t="s">
        <v>275</v>
      </c>
      <c r="E6" s="279" t="s">
        <v>276</v>
      </c>
      <c r="F6" s="280" t="s">
        <v>277</v>
      </c>
      <c r="G6" s="279" t="s">
        <v>278</v>
      </c>
      <c r="H6" s="279" t="s">
        <v>134</v>
      </c>
      <c r="I6" s="279" t="s">
        <v>279</v>
      </c>
      <c r="J6" s="279" t="s">
        <v>280</v>
      </c>
    </row>
    <row r="7" spans="1:10" ht="15">
      <c r="B7" s="274" t="s">
        <v>281</v>
      </c>
      <c r="C7" s="281"/>
      <c r="D7" s="279"/>
      <c r="E7" s="279"/>
      <c r="F7" s="280"/>
      <c r="G7" s="279"/>
      <c r="H7" s="279"/>
      <c r="I7" s="279"/>
      <c r="J7" s="279"/>
    </row>
    <row r="8" spans="1:10" ht="15">
      <c r="B8" s="274"/>
      <c r="C8" s="281"/>
      <c r="D8" s="279"/>
      <c r="E8" s="279"/>
      <c r="F8" s="280"/>
      <c r="G8" s="279"/>
      <c r="H8" s="279"/>
      <c r="I8" s="279"/>
      <c r="J8" s="279"/>
    </row>
    <row r="9" spans="1:10">
      <c r="B9" s="274" t="s">
        <v>137</v>
      </c>
      <c r="C9" s="281"/>
    </row>
    <row r="10" spans="1:10">
      <c r="B10" s="281" t="s">
        <v>138</v>
      </c>
      <c r="C10" s="281"/>
      <c r="D10" s="282" t="s">
        <v>139</v>
      </c>
      <c r="E10" s="283" t="s">
        <v>286</v>
      </c>
      <c r="F10" s="106">
        <f>'9.1 - Summary '!AR15</f>
        <v>0</v>
      </c>
      <c r="G10" s="276" t="s">
        <v>140</v>
      </c>
      <c r="H10" s="284">
        <v>0.2262649010137</v>
      </c>
      <c r="I10" s="276">
        <f>F10*H10</f>
        <v>0</v>
      </c>
      <c r="J10" s="276"/>
    </row>
    <row r="11" spans="1:10">
      <c r="B11" s="281" t="s">
        <v>141</v>
      </c>
      <c r="C11" s="281"/>
      <c r="D11" s="282" t="s">
        <v>139</v>
      </c>
      <c r="E11" s="283" t="s">
        <v>286</v>
      </c>
      <c r="F11" s="106">
        <f>'9.1 - Summary '!AR16</f>
        <v>0</v>
      </c>
      <c r="G11" s="276" t="s">
        <v>140</v>
      </c>
      <c r="H11" s="284">
        <v>0.2262649010137</v>
      </c>
      <c r="I11" s="276">
        <f t="shared" ref="I11:I12" si="0">F11*H11</f>
        <v>0</v>
      </c>
      <c r="J11" s="276"/>
    </row>
    <row r="12" spans="1:10">
      <c r="B12" s="281" t="s">
        <v>142</v>
      </c>
      <c r="C12" s="281"/>
      <c r="D12" s="282" t="s">
        <v>139</v>
      </c>
      <c r="E12" s="283" t="s">
        <v>286</v>
      </c>
      <c r="F12" s="106">
        <f>'9.1 - Summary '!AR17</f>
        <v>0</v>
      </c>
      <c r="G12" s="276" t="s">
        <v>143</v>
      </c>
      <c r="H12" s="284">
        <v>0.22648067236840891</v>
      </c>
      <c r="I12" s="276">
        <f t="shared" si="0"/>
        <v>0</v>
      </c>
    </row>
    <row r="13" spans="1:10">
      <c r="B13" s="281" t="s">
        <v>144</v>
      </c>
      <c r="C13" s="281"/>
      <c r="D13" s="282"/>
      <c r="E13" s="283"/>
      <c r="F13" s="285">
        <f>SUM(F10:F12)</f>
        <v>0</v>
      </c>
      <c r="H13" s="284"/>
      <c r="I13" s="285">
        <f>SUM(I10:I12)</f>
        <v>0</v>
      </c>
      <c r="J13" s="282" t="s">
        <v>337</v>
      </c>
    </row>
    <row r="14" spans="1:10">
      <c r="B14" s="281"/>
      <c r="C14" s="286"/>
      <c r="D14" s="282"/>
      <c r="E14" s="283"/>
      <c r="H14" s="284"/>
    </row>
    <row r="15" spans="1:10">
      <c r="B15" s="274" t="s">
        <v>145</v>
      </c>
      <c r="C15" s="286"/>
      <c r="D15" s="282"/>
      <c r="E15" s="283"/>
      <c r="H15" s="284"/>
    </row>
    <row r="16" spans="1:10">
      <c r="B16" s="281" t="s">
        <v>146</v>
      </c>
      <c r="C16" s="286"/>
      <c r="D16" s="282" t="s">
        <v>147</v>
      </c>
      <c r="E16" s="283" t="s">
        <v>286</v>
      </c>
      <c r="F16" s="106">
        <f>'9.1 - Summary '!AR21</f>
        <v>0</v>
      </c>
      <c r="G16" s="276" t="s">
        <v>140</v>
      </c>
      <c r="H16" s="284">
        <v>0.2262649010137</v>
      </c>
      <c r="I16" s="276">
        <f t="shared" ref="I16:I20" si="1">F16*H16</f>
        <v>0</v>
      </c>
      <c r="J16" s="276"/>
    </row>
    <row r="17" spans="2:10">
      <c r="B17" s="281" t="s">
        <v>148</v>
      </c>
      <c r="C17" s="286"/>
      <c r="D17" s="282" t="s">
        <v>147</v>
      </c>
      <c r="E17" s="283" t="s">
        <v>286</v>
      </c>
      <c r="F17" s="106">
        <f>'9.1 - Summary '!AR22</f>
        <v>0</v>
      </c>
      <c r="G17" s="276" t="s">
        <v>143</v>
      </c>
      <c r="H17" s="284">
        <v>0.22648067236840891</v>
      </c>
      <c r="I17" s="276">
        <f t="shared" si="1"/>
        <v>0</v>
      </c>
      <c r="J17" s="276"/>
    </row>
    <row r="18" spans="2:10">
      <c r="B18" s="281" t="s">
        <v>149</v>
      </c>
      <c r="C18" s="286"/>
      <c r="D18" s="282" t="s">
        <v>147</v>
      </c>
      <c r="E18" s="283" t="s">
        <v>286</v>
      </c>
      <c r="F18" s="106">
        <f>'9.1 - Summary '!AR23</f>
        <v>0</v>
      </c>
      <c r="G18" s="276" t="s">
        <v>140</v>
      </c>
      <c r="H18" s="284">
        <v>0.2262649010137</v>
      </c>
      <c r="I18" s="276">
        <f t="shared" si="1"/>
        <v>0</v>
      </c>
      <c r="J18" s="276"/>
    </row>
    <row r="19" spans="2:10">
      <c r="B19" s="281" t="s">
        <v>150</v>
      </c>
      <c r="C19" s="286"/>
      <c r="D19" s="282" t="s">
        <v>147</v>
      </c>
      <c r="E19" s="283" t="s">
        <v>286</v>
      </c>
      <c r="F19" s="106">
        <f>'9.1 - Summary '!AR24</f>
        <v>0</v>
      </c>
      <c r="G19" s="276" t="s">
        <v>140</v>
      </c>
      <c r="H19" s="284">
        <v>0.2262649010137</v>
      </c>
      <c r="I19" s="276">
        <f t="shared" si="1"/>
        <v>0</v>
      </c>
      <c r="J19" s="276"/>
    </row>
    <row r="20" spans="2:10">
      <c r="B20" s="281" t="s">
        <v>151</v>
      </c>
      <c r="C20" s="281"/>
      <c r="D20" s="282" t="s">
        <v>147</v>
      </c>
      <c r="E20" s="283" t="s">
        <v>286</v>
      </c>
      <c r="F20" s="106">
        <f>'9.1 - Summary '!AR25</f>
        <v>0</v>
      </c>
      <c r="G20" s="276" t="s">
        <v>140</v>
      </c>
      <c r="H20" s="284">
        <v>0.2262649010137</v>
      </c>
      <c r="I20" s="276">
        <f t="shared" si="1"/>
        <v>0</v>
      </c>
    </row>
    <row r="21" spans="2:10">
      <c r="B21" s="281" t="s">
        <v>152</v>
      </c>
      <c r="C21" s="281"/>
      <c r="D21" s="282"/>
      <c r="E21" s="283"/>
      <c r="F21" s="285">
        <f>SUM(F16:F20)</f>
        <v>0</v>
      </c>
      <c r="H21" s="284"/>
      <c r="I21" s="285">
        <f>SUM(I16:I20)</f>
        <v>0</v>
      </c>
      <c r="J21" s="282" t="s">
        <v>337</v>
      </c>
    </row>
    <row r="22" spans="2:10">
      <c r="B22" s="281"/>
      <c r="C22" s="281"/>
      <c r="D22" s="282"/>
      <c r="E22" s="283"/>
      <c r="H22" s="284"/>
    </row>
    <row r="23" spans="2:10">
      <c r="B23" s="274" t="s">
        <v>153</v>
      </c>
      <c r="C23" s="281"/>
      <c r="D23" s="282"/>
      <c r="E23" s="283"/>
      <c r="H23" s="284"/>
      <c r="J23" s="276"/>
    </row>
    <row r="24" spans="2:10">
      <c r="B24" s="281" t="s">
        <v>154</v>
      </c>
      <c r="C24" s="281"/>
      <c r="D24" s="282" t="s">
        <v>155</v>
      </c>
      <c r="E24" s="283" t="s">
        <v>286</v>
      </c>
      <c r="F24" s="106">
        <f>'9.1 - Summary '!AR29</f>
        <v>0</v>
      </c>
      <c r="G24" s="276" t="s">
        <v>140</v>
      </c>
      <c r="H24" s="284">
        <v>0.2262649010137</v>
      </c>
      <c r="I24" s="276">
        <f t="shared" ref="I24:I26" si="2">F24*H24</f>
        <v>0</v>
      </c>
      <c r="J24" s="276"/>
    </row>
    <row r="25" spans="2:10">
      <c r="B25" s="281" t="s">
        <v>156</v>
      </c>
      <c r="C25" s="286"/>
      <c r="D25" s="282" t="s">
        <v>155</v>
      </c>
      <c r="E25" s="283" t="s">
        <v>286</v>
      </c>
      <c r="F25" s="106">
        <f>'9.1 - Summary '!AR30</f>
        <v>0</v>
      </c>
      <c r="G25" s="276" t="s">
        <v>140</v>
      </c>
      <c r="H25" s="284">
        <v>0.2262649010137</v>
      </c>
      <c r="I25" s="276">
        <f t="shared" si="2"/>
        <v>0</v>
      </c>
      <c r="J25" s="276"/>
    </row>
    <row r="26" spans="2:10">
      <c r="B26" s="281" t="s">
        <v>157</v>
      </c>
      <c r="C26" s="286"/>
      <c r="D26" s="282" t="s">
        <v>155</v>
      </c>
      <c r="E26" s="283" t="s">
        <v>286</v>
      </c>
      <c r="F26" s="106">
        <f>'9.1 - Summary '!AR31</f>
        <v>0</v>
      </c>
      <c r="G26" s="276" t="s">
        <v>143</v>
      </c>
      <c r="H26" s="284">
        <v>0.22648067236840891</v>
      </c>
      <c r="I26" s="276">
        <f t="shared" si="2"/>
        <v>0</v>
      </c>
      <c r="J26" s="276"/>
    </row>
    <row r="27" spans="2:10">
      <c r="B27" s="281" t="s">
        <v>158</v>
      </c>
      <c r="C27" s="281"/>
      <c r="D27" s="282"/>
      <c r="E27" s="283"/>
      <c r="F27" s="285">
        <f>SUM(F24:F26)</f>
        <v>0</v>
      </c>
      <c r="H27" s="284"/>
      <c r="I27" s="285">
        <f>SUM(I24:I26)</f>
        <v>0</v>
      </c>
      <c r="J27" s="282" t="s">
        <v>337</v>
      </c>
    </row>
    <row r="28" spans="2:10">
      <c r="B28" s="281"/>
      <c r="C28" s="281"/>
      <c r="D28" s="282"/>
      <c r="E28" s="283"/>
      <c r="H28" s="284"/>
    </row>
    <row r="29" spans="2:10">
      <c r="B29" s="274" t="s">
        <v>159</v>
      </c>
      <c r="C29" s="274"/>
      <c r="D29" s="282"/>
      <c r="E29" s="283"/>
      <c r="H29" s="284"/>
      <c r="J29" s="276"/>
    </row>
    <row r="30" spans="2:10">
      <c r="B30" s="281" t="s">
        <v>160</v>
      </c>
      <c r="C30" s="274"/>
      <c r="D30" s="282" t="s">
        <v>161</v>
      </c>
      <c r="E30" s="283" t="s">
        <v>286</v>
      </c>
      <c r="F30" s="106">
        <f>'9.1 - Summary '!AR35</f>
        <v>0</v>
      </c>
      <c r="G30" s="276" t="s">
        <v>143</v>
      </c>
      <c r="H30" s="284">
        <v>0.22648067236840891</v>
      </c>
      <c r="I30" s="276">
        <f t="shared" ref="I30:I31" si="3">F30*H30</f>
        <v>0</v>
      </c>
      <c r="J30" s="276"/>
    </row>
    <row r="31" spans="2:10">
      <c r="B31" s="281" t="s">
        <v>162</v>
      </c>
      <c r="C31" s="274"/>
      <c r="D31" s="282" t="s">
        <v>163</v>
      </c>
      <c r="E31" s="283" t="s">
        <v>286</v>
      </c>
      <c r="F31" s="106">
        <f>'9.1 - Summary '!AR36</f>
        <v>-53220</v>
      </c>
      <c r="G31" s="276" t="s">
        <v>143</v>
      </c>
      <c r="H31" s="284">
        <v>0.22648067236840891</v>
      </c>
      <c r="I31" s="276">
        <f t="shared" si="3"/>
        <v>-12053.301383446722</v>
      </c>
    </row>
    <row r="32" spans="2:10">
      <c r="B32" s="281" t="s">
        <v>164</v>
      </c>
      <c r="C32" s="274"/>
      <c r="D32" s="282"/>
      <c r="E32" s="283"/>
      <c r="F32" s="285">
        <f>SUM(F30:F31)</f>
        <v>-53220</v>
      </c>
      <c r="H32" s="287"/>
      <c r="I32" s="285">
        <f>SUM(I30:I31)</f>
        <v>-12053.301383446722</v>
      </c>
      <c r="J32" s="282" t="s">
        <v>337</v>
      </c>
    </row>
    <row r="33" spans="1:11">
      <c r="B33" s="291"/>
      <c r="C33" s="274"/>
      <c r="D33" s="282"/>
      <c r="E33" s="283"/>
      <c r="H33" s="287"/>
      <c r="I33" s="106"/>
      <c r="J33" s="276"/>
    </row>
    <row r="34" spans="1:11">
      <c r="B34" s="288" t="s">
        <v>284</v>
      </c>
      <c r="C34" s="274"/>
      <c r="D34" s="282"/>
      <c r="E34" s="283"/>
      <c r="F34" s="285">
        <f>-F13+F21+F27+F32</f>
        <v>-53220</v>
      </c>
      <c r="H34" s="287"/>
      <c r="I34" s="285">
        <f>-I13+I21+I27+I32</f>
        <v>-12053.301383446722</v>
      </c>
      <c r="J34" s="276"/>
    </row>
    <row r="35" spans="1:11">
      <c r="C35" s="274"/>
      <c r="F35" s="289"/>
      <c r="J35" s="276"/>
    </row>
    <row r="36" spans="1:11">
      <c r="C36" s="274"/>
      <c r="F36" s="289"/>
      <c r="J36" s="276"/>
    </row>
    <row r="37" spans="1:11">
      <c r="C37" s="274"/>
      <c r="F37" s="289"/>
      <c r="J37" s="276"/>
    </row>
    <row r="42" spans="1:11" ht="13.5" thickBot="1">
      <c r="B42" s="290" t="s">
        <v>283</v>
      </c>
    </row>
    <row r="43" spans="1:11" ht="12.75" customHeight="1">
      <c r="A43" s="359" t="s">
        <v>349</v>
      </c>
      <c r="B43" s="360"/>
      <c r="C43" s="360"/>
      <c r="D43" s="360"/>
      <c r="E43" s="360"/>
      <c r="F43" s="360"/>
      <c r="G43" s="360"/>
      <c r="H43" s="360"/>
      <c r="I43" s="360"/>
      <c r="J43" s="361"/>
      <c r="K43" s="292"/>
    </row>
    <row r="44" spans="1:11">
      <c r="A44" s="362"/>
      <c r="B44" s="363"/>
      <c r="C44" s="363"/>
      <c r="D44" s="363"/>
      <c r="E44" s="363"/>
      <c r="F44" s="363"/>
      <c r="G44" s="363"/>
      <c r="H44" s="363"/>
      <c r="I44" s="363"/>
      <c r="J44" s="364"/>
      <c r="K44" s="292"/>
    </row>
    <row r="45" spans="1:11">
      <c r="A45" s="362"/>
      <c r="B45" s="363"/>
      <c r="C45" s="363"/>
      <c r="D45" s="363"/>
      <c r="E45" s="363"/>
      <c r="F45" s="363"/>
      <c r="G45" s="363"/>
      <c r="H45" s="363"/>
      <c r="I45" s="363"/>
      <c r="J45" s="364"/>
      <c r="K45" s="292"/>
    </row>
    <row r="46" spans="1:11">
      <c r="A46" s="362"/>
      <c r="B46" s="363"/>
      <c r="C46" s="363"/>
      <c r="D46" s="363"/>
      <c r="E46" s="363"/>
      <c r="F46" s="363"/>
      <c r="G46" s="363"/>
      <c r="H46" s="363"/>
      <c r="I46" s="363"/>
      <c r="J46" s="364"/>
      <c r="K46" s="292"/>
    </row>
    <row r="47" spans="1:11">
      <c r="A47" s="362"/>
      <c r="B47" s="363"/>
      <c r="C47" s="363"/>
      <c r="D47" s="363"/>
      <c r="E47" s="363"/>
      <c r="F47" s="363"/>
      <c r="G47" s="363"/>
      <c r="H47" s="363"/>
      <c r="I47" s="363"/>
      <c r="J47" s="364"/>
      <c r="K47" s="292"/>
    </row>
    <row r="48" spans="1:11">
      <c r="A48" s="362"/>
      <c r="B48" s="363"/>
      <c r="C48" s="363"/>
      <c r="D48" s="363"/>
      <c r="E48" s="363"/>
      <c r="F48" s="363"/>
      <c r="G48" s="363"/>
      <c r="H48" s="363"/>
      <c r="I48" s="363"/>
      <c r="J48" s="364"/>
      <c r="K48" s="292"/>
    </row>
    <row r="49" spans="1:11">
      <c r="A49" s="362"/>
      <c r="B49" s="363"/>
      <c r="C49" s="363"/>
      <c r="D49" s="363"/>
      <c r="E49" s="363"/>
      <c r="F49" s="363"/>
      <c r="G49" s="363"/>
      <c r="H49" s="363"/>
      <c r="I49" s="363"/>
      <c r="J49" s="364"/>
      <c r="K49" s="292"/>
    </row>
    <row r="50" spans="1:11" ht="13.5" thickBot="1">
      <c r="A50" s="365"/>
      <c r="B50" s="366"/>
      <c r="C50" s="366"/>
      <c r="D50" s="366"/>
      <c r="E50" s="366"/>
      <c r="F50" s="366"/>
      <c r="G50" s="366"/>
      <c r="H50" s="366"/>
      <c r="I50" s="366"/>
      <c r="J50" s="367"/>
      <c r="K50" s="292"/>
    </row>
  </sheetData>
  <mergeCells count="1">
    <mergeCell ref="A43:J50"/>
  </mergeCells>
  <conditionalFormatting sqref="B9:B26">
    <cfRule type="cellIs" dxfId="41" priority="3" stopIfTrue="1" operator="equal">
      <formula>"Adjustment to Income/Expense/Rate Base:"</formula>
    </cfRule>
  </conditionalFormatting>
  <conditionalFormatting sqref="B20:B22">
    <cfRule type="cellIs" dxfId="40" priority="2" stopIfTrue="1" operator="equal">
      <formula>"Title"</formula>
    </cfRule>
  </conditionalFormatting>
  <conditionalFormatting sqref="B27:B34">
    <cfRule type="cellIs" dxfId="39" priority="1" stopIfTrue="1" operator="equal">
      <formula>"Adjustment to Income/Expense/Rate Base:"</formula>
    </cfRule>
  </conditionalFormatting>
  <pageMargins left="0.65" right="0.72" top="1" bottom="1" header="0.5" footer="0.5"/>
  <pageSetup scale="77" orientation="portrait" r:id="rId1"/>
  <headerFooter alignWithMargins="0">
    <oddHeader>&amp;L&amp;"Arial,Regular"&amp;10WA UE-130043
Bench Request 9&amp;R&amp;"Arial,Bold"&amp;10Attachment Bench Request 9</oddHeader>
    <oddFooter>&amp;L&amp;"Arial,Regular"&amp;10&amp;F&amp;C&amp;A</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S123"/>
  <sheetViews>
    <sheetView view="pageBreakPreview" zoomScale="85" zoomScaleNormal="85" zoomScaleSheetLayoutView="85" workbookViewId="0">
      <pane xSplit="3" ySplit="6" topLeftCell="D7" activePane="bottomRight" state="frozen"/>
      <selection activeCell="T91" sqref="T91"/>
      <selection pane="topRight" activeCell="T91" sqref="T91"/>
      <selection pane="bottomLeft" activeCell="T91" sqref="T91"/>
      <selection pane="bottomRight" activeCell="T91" sqref="T91"/>
    </sheetView>
  </sheetViews>
  <sheetFormatPr defaultColWidth="11" defaultRowHeight="10.5"/>
  <cols>
    <col min="1" max="1" width="3" style="3" customWidth="1"/>
    <col min="2" max="2" width="2.6640625" style="3" customWidth="1"/>
    <col min="3" max="3" width="33.1640625" style="3" customWidth="1"/>
    <col min="4" max="4" width="13.83203125" style="3" customWidth="1"/>
    <col min="5" max="5" width="2.33203125" style="3" customWidth="1"/>
    <col min="6" max="6" width="15.83203125" style="3" customWidth="1"/>
    <col min="7" max="8" width="13.33203125" style="3" bestFit="1" customWidth="1"/>
    <col min="9" max="9" width="13.83203125" style="3" bestFit="1" customWidth="1"/>
    <col min="10" max="10" width="11" style="3" customWidth="1"/>
    <col min="11" max="11" width="14.5" style="3" customWidth="1"/>
    <col min="12" max="12" width="11" style="3" customWidth="1"/>
    <col min="13" max="13" width="14.1640625" style="3" bestFit="1" customWidth="1"/>
    <col min="14" max="14" width="20.1640625" style="27" bestFit="1" customWidth="1"/>
    <col min="15" max="15" width="15" style="3" bestFit="1" customWidth="1"/>
    <col min="16" max="16" width="14.6640625" style="3" bestFit="1" customWidth="1"/>
    <col min="17" max="16384" width="11" style="3"/>
  </cols>
  <sheetData>
    <row r="1" spans="1:14">
      <c r="A1" s="4" t="s">
        <v>118</v>
      </c>
      <c r="D1"/>
      <c r="E1" s="9"/>
      <c r="F1" s="8" t="s">
        <v>42</v>
      </c>
    </row>
    <row r="2" spans="1:14">
      <c r="A2" s="20"/>
      <c r="D2"/>
      <c r="E2" s="9"/>
      <c r="F2" s="9" t="s">
        <v>0</v>
      </c>
      <c r="K2" s="50"/>
    </row>
    <row r="3" spans="1:14">
      <c r="A3" s="5" t="s">
        <v>52</v>
      </c>
      <c r="D3" s="10"/>
      <c r="E3" s="10"/>
      <c r="F3" s="8" t="s">
        <v>1</v>
      </c>
    </row>
    <row r="4" spans="1:14">
      <c r="A4" s="358">
        <v>41974</v>
      </c>
      <c r="B4" s="358"/>
      <c r="C4" s="358"/>
      <c r="D4" s="10"/>
      <c r="E4" s="10"/>
      <c r="F4" s="9"/>
    </row>
    <row r="5" spans="1:14">
      <c r="B5" s="5"/>
      <c r="D5" s="11" t="s">
        <v>2</v>
      </c>
      <c r="E5" s="11"/>
      <c r="F5" s="12" t="s">
        <v>3</v>
      </c>
      <c r="G5" s="12" t="s">
        <v>3</v>
      </c>
      <c r="H5" s="12"/>
      <c r="I5" s="12"/>
    </row>
    <row r="6" spans="1:14" s="11" customFormat="1">
      <c r="A6" s="3"/>
      <c r="B6" s="3"/>
      <c r="C6" s="3"/>
      <c r="D6" s="41" t="s">
        <v>117</v>
      </c>
      <c r="E6" s="15"/>
      <c r="F6" s="13" t="s">
        <v>4</v>
      </c>
      <c r="G6" s="13" t="s">
        <v>5</v>
      </c>
      <c r="H6" s="13" t="s">
        <v>6</v>
      </c>
      <c r="I6" s="13" t="s">
        <v>7</v>
      </c>
      <c r="N6" s="28"/>
    </row>
    <row r="7" spans="1:14">
      <c r="A7" s="3" t="s">
        <v>8</v>
      </c>
      <c r="F7" s="6"/>
      <c r="G7" s="6"/>
      <c r="H7" s="6"/>
      <c r="I7" s="6"/>
    </row>
    <row r="8" spans="1:14">
      <c r="B8" t="s">
        <v>9</v>
      </c>
      <c r="D8" s="26">
        <v>12964800</v>
      </c>
      <c r="E8" s="16"/>
      <c r="F8" s="26">
        <f>D8</f>
        <v>12964800</v>
      </c>
      <c r="G8"/>
      <c r="H8"/>
      <c r="I8"/>
    </row>
    <row r="9" spans="1:14" hidden="1">
      <c r="B9"/>
      <c r="D9" s="16"/>
      <c r="E9" s="16"/>
      <c r="F9" s="1"/>
      <c r="G9" s="6"/>
      <c r="H9" s="6"/>
      <c r="I9" s="6"/>
    </row>
    <row r="10" spans="1:14">
      <c r="B10" t="s">
        <v>10</v>
      </c>
      <c r="D10" s="26">
        <v>60863806.75</v>
      </c>
      <c r="E10" s="16"/>
      <c r="F10" s="1"/>
      <c r="G10" s="6"/>
      <c r="H10" s="6"/>
      <c r="I10" s="26">
        <f>D10</f>
        <v>60863806.75</v>
      </c>
    </row>
    <row r="11" spans="1:14" hidden="1">
      <c r="B11"/>
      <c r="D11" s="16"/>
      <c r="E11" s="16"/>
      <c r="F11" s="1"/>
      <c r="G11" s="6"/>
      <c r="H11" s="6"/>
      <c r="I11" s="6"/>
    </row>
    <row r="12" spans="1:14" hidden="1">
      <c r="B12" t="s">
        <v>11</v>
      </c>
      <c r="D12" s="26">
        <v>0</v>
      </c>
      <c r="E12" s="16"/>
      <c r="F12" s="26">
        <f>D12</f>
        <v>0</v>
      </c>
      <c r="G12" s="6"/>
      <c r="H12" s="6"/>
      <c r="I12" s="6"/>
    </row>
    <row r="13" spans="1:14" hidden="1">
      <c r="C13"/>
      <c r="D13" s="16"/>
      <c r="E13" s="16"/>
      <c r="F13" s="6"/>
      <c r="G13" s="6"/>
      <c r="H13" s="6"/>
      <c r="I13" s="6"/>
    </row>
    <row r="14" spans="1:14" hidden="1">
      <c r="B14" s="3" t="s">
        <v>12</v>
      </c>
      <c r="C14"/>
      <c r="D14" s="26">
        <v>0</v>
      </c>
      <c r="E14" s="16"/>
      <c r="F14" s="6"/>
      <c r="G14" s="6"/>
      <c r="H14" s="26">
        <f>D14</f>
        <v>0</v>
      </c>
      <c r="I14" s="6"/>
    </row>
    <row r="15" spans="1:14" ht="11.25" thickBot="1">
      <c r="D15" s="11" t="s">
        <v>14</v>
      </c>
      <c r="E15" s="14" t="s">
        <v>13</v>
      </c>
      <c r="F15" s="11" t="s">
        <v>14</v>
      </c>
      <c r="G15" s="11" t="s">
        <v>14</v>
      </c>
      <c r="H15" s="11" t="s">
        <v>14</v>
      </c>
      <c r="I15" s="11" t="s">
        <v>14</v>
      </c>
    </row>
    <row r="16" spans="1:14" ht="11.25" thickBot="1">
      <c r="A16" s="3" t="s">
        <v>15</v>
      </c>
      <c r="D16" s="26">
        <f>SUM(D8:D14)</f>
        <v>73828606.75</v>
      </c>
      <c r="E16" s="16"/>
      <c r="F16" s="26">
        <f>SUM(F8:F14)</f>
        <v>12964800</v>
      </c>
      <c r="G16" s="26">
        <f>SUM(G8:G14)</f>
        <v>0</v>
      </c>
      <c r="H16" s="26">
        <f>SUM(H8:H14)</f>
        <v>0</v>
      </c>
      <c r="I16" s="26">
        <f>SUM(I8:I14)</f>
        <v>60863806.75</v>
      </c>
      <c r="K16" s="36">
        <v>0</v>
      </c>
      <c r="L16" s="24" t="s">
        <v>40</v>
      </c>
      <c r="M16" s="37">
        <f>D16-SUM(F16:I16)</f>
        <v>0</v>
      </c>
    </row>
    <row r="17" spans="1:19">
      <c r="D17" s="16"/>
      <c r="E17" s="16"/>
      <c r="F17" s="16"/>
      <c r="G17" s="16"/>
      <c r="H17" s="16"/>
      <c r="I17" s="16"/>
      <c r="P17" s="8" t="s">
        <v>67</v>
      </c>
    </row>
    <row r="18" spans="1:19">
      <c r="D18"/>
      <c r="E18" s="6"/>
      <c r="F18" s="6"/>
      <c r="G18" s="6"/>
      <c r="H18" s="6"/>
      <c r="I18" s="6"/>
      <c r="N18" s="39"/>
      <c r="O18" s="35"/>
      <c r="P18" s="48">
        <f>+A4</f>
        <v>41974</v>
      </c>
    </row>
    <row r="19" spans="1:19" ht="11.25">
      <c r="A19" s="3" t="s">
        <v>16</v>
      </c>
      <c r="D19" s="16"/>
      <c r="E19" s="16"/>
      <c r="F19" s="45"/>
      <c r="G19" s="6"/>
      <c r="H19" s="6"/>
      <c r="I19" s="6"/>
      <c r="N19" s="29" t="s">
        <v>56</v>
      </c>
      <c r="O19" s="42">
        <v>0.42634034956164213</v>
      </c>
      <c r="P19" s="16">
        <v>14785516.07</v>
      </c>
      <c r="Q19" s="44"/>
      <c r="R19" s="30"/>
      <c r="S19" s="16"/>
    </row>
    <row r="20" spans="1:19" ht="11.25" hidden="1">
      <c r="B20"/>
      <c r="C20" s="3" t="s">
        <v>17</v>
      </c>
      <c r="D20" s="26">
        <v>0</v>
      </c>
      <c r="E20" s="16"/>
      <c r="F20" s="26">
        <f>D20</f>
        <v>0</v>
      </c>
      <c r="G20" s="6"/>
      <c r="H20" s="6"/>
      <c r="I20" s="6"/>
      <c r="N20" s="29" t="s">
        <v>58</v>
      </c>
      <c r="O20" s="42">
        <f>1-O19</f>
        <v>0.57365965043835787</v>
      </c>
      <c r="P20" s="16">
        <v>19894560.739999998</v>
      </c>
      <c r="Q20" s="44"/>
      <c r="R20" s="30"/>
      <c r="S20" s="16"/>
    </row>
    <row r="21" spans="1:19" ht="11.25" hidden="1">
      <c r="B21"/>
      <c r="C21" s="3" t="s">
        <v>18</v>
      </c>
      <c r="D21" s="26">
        <v>0</v>
      </c>
      <c r="E21" s="16"/>
      <c r="F21" s="26">
        <f>D21-G21</f>
        <v>0</v>
      </c>
      <c r="G21" s="26">
        <v>0</v>
      </c>
      <c r="H21" s="6"/>
      <c r="I21" s="6"/>
      <c r="N21" s="29" t="s">
        <v>57</v>
      </c>
      <c r="O21" s="42">
        <f>IFERROR(P21/(P21+P22),0)</f>
        <v>0</v>
      </c>
      <c r="P21" s="16">
        <v>0</v>
      </c>
      <c r="Q21" s="44"/>
      <c r="R21" s="30"/>
      <c r="S21" s="16"/>
    </row>
    <row r="22" spans="1:19" ht="11.25">
      <c r="B22"/>
      <c r="C22" s="3" t="s">
        <v>19</v>
      </c>
      <c r="D22" s="26">
        <v>-148246.80999999959</v>
      </c>
      <c r="E22" s="16"/>
      <c r="F22" s="26">
        <f>D22*0.3</f>
        <v>-44474.042999999874</v>
      </c>
      <c r="G22" s="26">
        <f>D22*0.7</f>
        <v>-103772.7669999997</v>
      </c>
      <c r="H22" s="6"/>
      <c r="I22" s="6"/>
      <c r="N22" s="29" t="s">
        <v>59</v>
      </c>
      <c r="O22" s="42">
        <f>1-O21</f>
        <v>1</v>
      </c>
      <c r="P22" s="16">
        <v>0</v>
      </c>
      <c r="Q22" s="44"/>
      <c r="R22" s="30"/>
      <c r="S22" s="16"/>
    </row>
    <row r="23" spans="1:19">
      <c r="B23"/>
      <c r="C23" s="3" t="s">
        <v>20</v>
      </c>
      <c r="D23" s="26">
        <v>270000</v>
      </c>
      <c r="E23" s="16"/>
      <c r="F23" s="26">
        <f>D23*0.2073628</f>
        <v>55987.956000000006</v>
      </c>
      <c r="G23" s="26">
        <f>D23-F23</f>
        <v>214012.04399999999</v>
      </c>
      <c r="H23" s="6"/>
      <c r="I23" s="6"/>
    </row>
    <row r="24" spans="1:19">
      <c r="B24"/>
      <c r="C24" s="3" t="s">
        <v>21</v>
      </c>
      <c r="D24" s="26">
        <f>N27</f>
        <v>76897305.959999993</v>
      </c>
      <c r="E24" s="16"/>
      <c r="F24" s="31">
        <f>(N25+N24*O19)*K24</f>
        <v>2517906.851172646</v>
      </c>
      <c r="G24" s="31">
        <f>(N25+N24*O19)*L24</f>
        <v>12267609.214563949</v>
      </c>
      <c r="H24" s="6"/>
      <c r="I24" s="31">
        <f>(N26+N24*O20)</f>
        <v>62111789.894263402</v>
      </c>
      <c r="K24" s="25">
        <v>0.17029549999999999</v>
      </c>
      <c r="L24" s="25">
        <f>1-K24</f>
        <v>0.82970450000000007</v>
      </c>
      <c r="N24" s="26">
        <v>34680076.799999997</v>
      </c>
      <c r="O24" t="s">
        <v>53</v>
      </c>
    </row>
    <row r="25" spans="1:19">
      <c r="B25"/>
      <c r="C25" s="49" t="s">
        <v>90</v>
      </c>
      <c r="D25" s="26">
        <v>0</v>
      </c>
      <c r="E25" s="16"/>
      <c r="F25" s="6"/>
      <c r="G25" s="26">
        <f>D25</f>
        <v>0</v>
      </c>
      <c r="H25" s="6"/>
      <c r="I25" s="26"/>
      <c r="N25" s="26">
        <v>0</v>
      </c>
      <c r="O25" t="s">
        <v>50</v>
      </c>
    </row>
    <row r="26" spans="1:19">
      <c r="B26" s="40" t="s">
        <v>65</v>
      </c>
      <c r="C26" s="14"/>
      <c r="D26" s="11" t="s">
        <v>14</v>
      </c>
      <c r="E26" s="14" t="s">
        <v>13</v>
      </c>
      <c r="F26" s="11" t="s">
        <v>14</v>
      </c>
      <c r="G26" s="11" t="s">
        <v>14</v>
      </c>
      <c r="H26" s="11" t="s">
        <v>14</v>
      </c>
      <c r="I26" s="11" t="s">
        <v>14</v>
      </c>
      <c r="K26" s="25"/>
      <c r="L26" s="25"/>
      <c r="N26" s="43">
        <v>42217229.159999996</v>
      </c>
      <c r="O26" t="s">
        <v>49</v>
      </c>
    </row>
    <row r="27" spans="1:19">
      <c r="B27" s="3" t="s">
        <v>22</v>
      </c>
      <c r="C27"/>
      <c r="D27" s="26">
        <f>SUM(D20:D26)</f>
        <v>77019059.149999991</v>
      </c>
      <c r="E27" s="16"/>
      <c r="F27" s="26">
        <f>SUM(F20:F26)</f>
        <v>2529420.7641726462</v>
      </c>
      <c r="G27" s="26">
        <f>SUM(G20:G26)</f>
        <v>12377848.49156395</v>
      </c>
      <c r="H27" s="26">
        <f>SUM(H20:H26)</f>
        <v>0</v>
      </c>
      <c r="I27" s="26">
        <f>SUM(I20:I26)</f>
        <v>62111789.894263402</v>
      </c>
      <c r="K27" s="25"/>
      <c r="L27" s="25"/>
      <c r="N27" s="26">
        <f>SUM(N24:N26)</f>
        <v>76897305.959999993</v>
      </c>
      <c r="O27"/>
    </row>
    <row r="28" spans="1:19" ht="12.75">
      <c r="D28" s="1"/>
      <c r="E28" s="16"/>
      <c r="F28" s="1"/>
      <c r="G28" s="1"/>
      <c r="H28" s="6"/>
      <c r="I28" s="6"/>
      <c r="K28" s="25"/>
      <c r="L28" s="25"/>
      <c r="N28" s="34"/>
      <c r="O28" s="32"/>
    </row>
    <row r="29" spans="1:19" hidden="1">
      <c r="B29"/>
      <c r="C29" s="3" t="s">
        <v>41</v>
      </c>
      <c r="D29" s="26">
        <v>0</v>
      </c>
      <c r="E29" s="16"/>
      <c r="F29" s="26"/>
      <c r="G29" s="26">
        <f>D29</f>
        <v>0</v>
      </c>
      <c r="H29" s="6"/>
      <c r="I29" s="6"/>
      <c r="K29" s="25"/>
      <c r="L29" s="25"/>
      <c r="N29" s="26">
        <v>0</v>
      </c>
      <c r="O29" t="s">
        <v>54</v>
      </c>
    </row>
    <row r="30" spans="1:19" hidden="1">
      <c r="B30"/>
      <c r="C30" s="3" t="s">
        <v>23</v>
      </c>
      <c r="D30" s="26">
        <v>0</v>
      </c>
      <c r="E30" s="16"/>
      <c r="F30" s="26"/>
      <c r="G30" s="26">
        <f>D30</f>
        <v>0</v>
      </c>
      <c r="H30" s="6"/>
      <c r="I30" s="6"/>
      <c r="K30" s="25"/>
      <c r="L30" s="25"/>
      <c r="M30" s="21"/>
      <c r="N30" s="26">
        <v>0</v>
      </c>
      <c r="O30" t="s">
        <v>51</v>
      </c>
    </row>
    <row r="31" spans="1:19" hidden="1">
      <c r="B31"/>
      <c r="C31" s="3" t="s">
        <v>24</v>
      </c>
      <c r="D31" s="26">
        <f>N32</f>
        <v>0</v>
      </c>
      <c r="E31" s="16"/>
      <c r="F31" s="31">
        <f>(N30+N29*O21)*K31</f>
        <v>0</v>
      </c>
      <c r="G31" s="31">
        <f>(N30+N29*O21)*L31</f>
        <v>0</v>
      </c>
      <c r="H31" s="6"/>
      <c r="I31" s="31">
        <f>(N31+N29*O22)</f>
        <v>0</v>
      </c>
      <c r="K31" s="25">
        <v>0.7</v>
      </c>
      <c r="L31" s="25">
        <f>1-K31</f>
        <v>0.30000000000000004</v>
      </c>
      <c r="N31" s="43">
        <v>0</v>
      </c>
      <c r="O31" t="s">
        <v>48</v>
      </c>
    </row>
    <row r="32" spans="1:19" hidden="1">
      <c r="B32"/>
      <c r="C32" s="3" t="s">
        <v>25</v>
      </c>
      <c r="D32" s="26">
        <v>0</v>
      </c>
      <c r="E32" s="16"/>
      <c r="F32" s="26">
        <f>D32</f>
        <v>0</v>
      </c>
      <c r="G32" s="26">
        <v>0</v>
      </c>
      <c r="H32" s="6"/>
      <c r="I32" s="6"/>
      <c r="N32" s="33">
        <f>SUM(N29:N31)</f>
        <v>0</v>
      </c>
      <c r="O32"/>
    </row>
    <row r="33" spans="2:18" hidden="1">
      <c r="B33"/>
      <c r="C33" s="3" t="s">
        <v>89</v>
      </c>
      <c r="D33" s="26">
        <v>0</v>
      </c>
      <c r="E33" s="16"/>
      <c r="F33" s="6"/>
      <c r="G33" s="26">
        <f>D33</f>
        <v>0</v>
      </c>
      <c r="H33" s="6"/>
      <c r="I33" s="6"/>
      <c r="N33" s="33"/>
      <c r="O33"/>
    </row>
    <row r="34" spans="2:18" hidden="1">
      <c r="B34"/>
      <c r="C34" s="3" t="s">
        <v>26</v>
      </c>
      <c r="D34" s="26">
        <v>0</v>
      </c>
      <c r="E34" s="16"/>
      <c r="F34" s="26">
        <v>0</v>
      </c>
      <c r="G34" s="26">
        <v>0</v>
      </c>
      <c r="H34" s="6"/>
      <c r="I34" s="6"/>
    </row>
    <row r="35" spans="2:18" hidden="1">
      <c r="B35" s="40" t="s">
        <v>65</v>
      </c>
      <c r="C35" s="14"/>
      <c r="D35" s="11" t="s">
        <v>14</v>
      </c>
      <c r="E35" s="14" t="s">
        <v>13</v>
      </c>
      <c r="F35" s="11" t="s">
        <v>14</v>
      </c>
      <c r="G35" s="11" t="s">
        <v>14</v>
      </c>
      <c r="H35" s="11" t="s">
        <v>14</v>
      </c>
      <c r="I35" s="11" t="s">
        <v>14</v>
      </c>
      <c r="R35" s="30"/>
    </row>
    <row r="36" spans="2:18" hidden="1">
      <c r="B36" s="3" t="s">
        <v>27</v>
      </c>
      <c r="C36"/>
      <c r="D36" s="26">
        <f>SUM(D29:D35)</f>
        <v>0</v>
      </c>
      <c r="E36" s="16"/>
      <c r="F36" s="26">
        <f>SUM(F29:F35)</f>
        <v>0</v>
      </c>
      <c r="G36" s="26">
        <f>SUM(G29:G35)</f>
        <v>0</v>
      </c>
      <c r="H36" s="26">
        <f>SUM(H29:H35)</f>
        <v>0</v>
      </c>
      <c r="I36" s="26">
        <f>SUM(I29:I35)</f>
        <v>0</v>
      </c>
    </row>
    <row r="37" spans="2:18">
      <c r="D37" s="16"/>
      <c r="E37" s="16"/>
      <c r="F37" s="6"/>
      <c r="G37" s="6"/>
      <c r="H37" s="6"/>
      <c r="I37" s="6"/>
      <c r="N37" s="3"/>
    </row>
    <row r="38" spans="2:18" hidden="1">
      <c r="B38"/>
      <c r="C38" s="3" t="s">
        <v>68</v>
      </c>
      <c r="D38" s="26">
        <v>0</v>
      </c>
      <c r="E38" s="16"/>
      <c r="F38" s="6"/>
      <c r="G38" s="6"/>
      <c r="H38" s="6"/>
      <c r="I38" s="26">
        <f t="shared" ref="I38:I65" si="0">IF(K38="Post Merger",D38,0)</f>
        <v>0</v>
      </c>
      <c r="K38" s="3" t="s">
        <v>10</v>
      </c>
    </row>
    <row r="39" spans="2:18" hidden="1">
      <c r="B39"/>
      <c r="C39" s="3" t="s">
        <v>55</v>
      </c>
      <c r="D39" s="26">
        <v>0</v>
      </c>
      <c r="E39" s="16"/>
      <c r="F39" s="6"/>
      <c r="G39" s="6"/>
      <c r="H39" s="6"/>
      <c r="I39" s="26">
        <f t="shared" si="0"/>
        <v>0</v>
      </c>
      <c r="K39" s="3" t="s">
        <v>10</v>
      </c>
    </row>
    <row r="40" spans="2:18" hidden="1">
      <c r="B40"/>
      <c r="C40" s="3" t="s">
        <v>69</v>
      </c>
      <c r="D40" s="26">
        <v>0</v>
      </c>
      <c r="E40" s="16"/>
      <c r="F40" s="6"/>
      <c r="G40" s="6"/>
      <c r="H40" s="6"/>
      <c r="I40" s="26">
        <f t="shared" si="0"/>
        <v>0</v>
      </c>
      <c r="K40" s="3" t="s">
        <v>10</v>
      </c>
    </row>
    <row r="41" spans="2:18" hidden="1">
      <c r="B41"/>
      <c r="C41" s="3" t="s">
        <v>88</v>
      </c>
      <c r="D41" s="26">
        <v>0</v>
      </c>
      <c r="E41" s="16"/>
      <c r="F41" s="6"/>
      <c r="G41" s="6"/>
      <c r="H41" s="6"/>
      <c r="I41" s="26">
        <f t="shared" si="0"/>
        <v>0</v>
      </c>
      <c r="K41" s="3" t="s">
        <v>10</v>
      </c>
    </row>
    <row r="42" spans="2:18" hidden="1">
      <c r="B42"/>
      <c r="C42" s="3" t="s">
        <v>70</v>
      </c>
      <c r="D42" s="26">
        <v>0</v>
      </c>
      <c r="E42" s="16"/>
      <c r="F42" s="6"/>
      <c r="G42" s="6"/>
      <c r="H42" s="6"/>
      <c r="I42" s="26">
        <f t="shared" si="0"/>
        <v>0</v>
      </c>
      <c r="K42" s="3" t="s">
        <v>10</v>
      </c>
    </row>
    <row r="43" spans="2:18">
      <c r="B43"/>
      <c r="C43" s="3" t="s">
        <v>71</v>
      </c>
      <c r="D43" s="26">
        <v>4575693.2</v>
      </c>
      <c r="E43" s="16"/>
      <c r="F43" s="6"/>
      <c r="G43" s="6"/>
      <c r="H43" s="6"/>
      <c r="I43" s="26">
        <f t="shared" si="0"/>
        <v>4575693.2</v>
      </c>
      <c r="K43" s="3" t="s">
        <v>10</v>
      </c>
    </row>
    <row r="44" spans="2:18" hidden="1">
      <c r="B44"/>
      <c r="C44" s="3" t="s">
        <v>72</v>
      </c>
      <c r="D44" s="26">
        <v>0</v>
      </c>
      <c r="E44" s="16"/>
      <c r="F44" s="6"/>
      <c r="G44" s="6"/>
      <c r="H44" s="6"/>
      <c r="I44" s="26">
        <f t="shared" si="0"/>
        <v>0</v>
      </c>
      <c r="K44" s="3" t="s">
        <v>10</v>
      </c>
    </row>
    <row r="45" spans="2:18">
      <c r="B45"/>
      <c r="C45" s="3" t="s">
        <v>46</v>
      </c>
      <c r="D45" s="26">
        <v>8005931.2199999997</v>
      </c>
      <c r="E45" s="16"/>
      <c r="F45" s="6"/>
      <c r="G45" s="6"/>
      <c r="H45" s="6"/>
      <c r="I45" s="26">
        <f t="shared" si="0"/>
        <v>8005931.2199999997</v>
      </c>
      <c r="K45" s="3" t="s">
        <v>10</v>
      </c>
    </row>
    <row r="46" spans="2:18">
      <c r="B46"/>
      <c r="C46" s="3" t="s">
        <v>73</v>
      </c>
      <c r="D46" s="26">
        <v>84152812.780000001</v>
      </c>
      <c r="E46" s="16"/>
      <c r="F46" s="6"/>
      <c r="G46" s="6"/>
      <c r="H46" s="6"/>
      <c r="I46" s="26">
        <f t="shared" si="0"/>
        <v>84152812.780000001</v>
      </c>
      <c r="K46" s="3" t="s">
        <v>10</v>
      </c>
    </row>
    <row r="47" spans="2:18" hidden="1">
      <c r="B47"/>
      <c r="C47" s="3" t="s">
        <v>74</v>
      </c>
      <c r="D47" s="26">
        <v>0</v>
      </c>
      <c r="E47" s="16"/>
      <c r="F47" s="6"/>
      <c r="G47" s="6"/>
      <c r="H47" s="6"/>
      <c r="I47" s="26">
        <f t="shared" si="0"/>
        <v>0</v>
      </c>
      <c r="K47" s="3" t="s">
        <v>10</v>
      </c>
    </row>
    <row r="48" spans="2:18" hidden="1">
      <c r="B48"/>
      <c r="C48" s="3" t="s">
        <v>75</v>
      </c>
      <c r="D48" s="26">
        <v>0</v>
      </c>
      <c r="E48" s="16"/>
      <c r="F48" s="6"/>
      <c r="G48" s="6"/>
      <c r="H48" s="6"/>
      <c r="I48" s="26">
        <f t="shared" si="0"/>
        <v>0</v>
      </c>
      <c r="K48" s="3" t="s">
        <v>10</v>
      </c>
    </row>
    <row r="49" spans="2:11" hidden="1">
      <c r="B49"/>
      <c r="C49" s="3" t="s">
        <v>45</v>
      </c>
      <c r="D49" s="26">
        <v>0</v>
      </c>
      <c r="E49" s="16"/>
      <c r="F49" s="6"/>
      <c r="G49" s="6"/>
      <c r="H49" s="6"/>
      <c r="I49" s="26">
        <f t="shared" si="0"/>
        <v>0</v>
      </c>
      <c r="K49" s="3" t="s">
        <v>10</v>
      </c>
    </row>
    <row r="50" spans="2:11" hidden="1">
      <c r="B50"/>
      <c r="C50" s="22" t="s">
        <v>76</v>
      </c>
      <c r="D50" s="26">
        <v>0</v>
      </c>
      <c r="E50" s="16"/>
      <c r="F50" s="6"/>
      <c r="G50" s="6"/>
      <c r="H50" s="6"/>
      <c r="I50" s="26">
        <f t="shared" si="0"/>
        <v>0</v>
      </c>
      <c r="K50" s="3" t="s">
        <v>10</v>
      </c>
    </row>
    <row r="51" spans="2:11" hidden="1">
      <c r="B51"/>
      <c r="C51" s="3" t="s">
        <v>77</v>
      </c>
      <c r="D51" s="26">
        <v>0</v>
      </c>
      <c r="E51" s="16"/>
      <c r="F51" s="6"/>
      <c r="G51" s="6"/>
      <c r="H51" s="6"/>
      <c r="I51" s="26">
        <f t="shared" si="0"/>
        <v>0</v>
      </c>
      <c r="K51" s="3" t="s">
        <v>10</v>
      </c>
    </row>
    <row r="52" spans="2:11" hidden="1">
      <c r="B52"/>
      <c r="C52" s="3" t="s">
        <v>78</v>
      </c>
      <c r="D52" s="26">
        <v>0</v>
      </c>
      <c r="E52" s="16"/>
      <c r="F52" s="6"/>
      <c r="G52" s="6"/>
      <c r="H52" s="6"/>
      <c r="I52" s="26">
        <f t="shared" si="0"/>
        <v>0</v>
      </c>
      <c r="K52" s="3" t="s">
        <v>10</v>
      </c>
    </row>
    <row r="53" spans="2:11" hidden="1">
      <c r="B53"/>
      <c r="C53" s="3" t="s">
        <v>79</v>
      </c>
      <c r="D53" s="26">
        <v>0</v>
      </c>
      <c r="E53" s="16"/>
      <c r="F53" s="6"/>
      <c r="G53" s="6"/>
      <c r="H53" s="6"/>
      <c r="I53" s="26">
        <f t="shared" si="0"/>
        <v>0</v>
      </c>
      <c r="K53" s="3" t="s">
        <v>10</v>
      </c>
    </row>
    <row r="54" spans="2:11" hidden="1">
      <c r="B54"/>
      <c r="C54" s="3" t="s">
        <v>80</v>
      </c>
      <c r="D54" s="26">
        <v>0</v>
      </c>
      <c r="E54" s="16"/>
      <c r="F54" s="6"/>
      <c r="G54" s="6"/>
      <c r="H54" s="6"/>
      <c r="I54" s="26">
        <f t="shared" si="0"/>
        <v>0</v>
      </c>
      <c r="K54" s="3" t="s">
        <v>10</v>
      </c>
    </row>
    <row r="55" spans="2:11" hidden="1">
      <c r="B55"/>
      <c r="C55" s="3" t="s">
        <v>81</v>
      </c>
      <c r="D55" s="26">
        <v>0</v>
      </c>
      <c r="E55" s="16"/>
      <c r="F55" s="6"/>
      <c r="G55" s="6"/>
      <c r="H55" s="6"/>
      <c r="I55" s="26">
        <f t="shared" si="0"/>
        <v>0</v>
      </c>
      <c r="K55" s="3" t="s">
        <v>10</v>
      </c>
    </row>
    <row r="56" spans="2:11" hidden="1">
      <c r="B56"/>
      <c r="C56" s="3" t="s">
        <v>82</v>
      </c>
      <c r="D56" s="26">
        <v>0</v>
      </c>
      <c r="E56" s="16"/>
      <c r="F56" s="6"/>
      <c r="G56" s="6"/>
      <c r="H56" s="6"/>
      <c r="I56" s="26">
        <f t="shared" si="0"/>
        <v>0</v>
      </c>
      <c r="K56" s="3" t="s">
        <v>10</v>
      </c>
    </row>
    <row r="57" spans="2:11" hidden="1">
      <c r="B57"/>
      <c r="C57" s="27" t="s">
        <v>83</v>
      </c>
      <c r="D57" s="26">
        <v>0</v>
      </c>
      <c r="E57" s="16"/>
      <c r="F57" s="6"/>
      <c r="G57" s="6"/>
      <c r="H57" s="6"/>
      <c r="I57" s="26">
        <f t="shared" si="0"/>
        <v>0</v>
      </c>
      <c r="K57" s="3" t="s">
        <v>10</v>
      </c>
    </row>
    <row r="58" spans="2:11" hidden="1">
      <c r="B58"/>
      <c r="C58" s="27" t="s">
        <v>92</v>
      </c>
      <c r="D58" s="26">
        <v>0</v>
      </c>
      <c r="E58" s="16"/>
      <c r="F58" s="6"/>
      <c r="G58" s="6"/>
      <c r="H58" s="6"/>
      <c r="I58" s="26">
        <f t="shared" si="0"/>
        <v>0</v>
      </c>
      <c r="K58" s="3" t="s">
        <v>10</v>
      </c>
    </row>
    <row r="59" spans="2:11" hidden="1">
      <c r="B59"/>
      <c r="C59" s="3" t="s">
        <v>84</v>
      </c>
      <c r="D59" s="26">
        <v>0</v>
      </c>
      <c r="E59" s="16"/>
      <c r="F59" s="6"/>
      <c r="G59" s="6"/>
      <c r="H59" s="6"/>
      <c r="I59" s="26">
        <f t="shared" si="0"/>
        <v>0</v>
      </c>
      <c r="K59" s="3" t="s">
        <v>10</v>
      </c>
    </row>
    <row r="60" spans="2:11" hidden="1">
      <c r="B60"/>
      <c r="C60" s="3" t="s">
        <v>95</v>
      </c>
      <c r="D60" s="26">
        <v>0</v>
      </c>
      <c r="E60" s="16"/>
      <c r="F60" s="6"/>
      <c r="G60" s="6"/>
      <c r="H60" s="6"/>
      <c r="I60" s="26">
        <f t="shared" si="0"/>
        <v>0</v>
      </c>
      <c r="K60" s="3" t="s">
        <v>10</v>
      </c>
    </row>
    <row r="61" spans="2:11" hidden="1">
      <c r="B61"/>
      <c r="C61" s="3" t="s">
        <v>85</v>
      </c>
      <c r="D61" s="26">
        <v>0</v>
      </c>
      <c r="E61" s="16"/>
      <c r="F61" s="6"/>
      <c r="G61" s="6"/>
      <c r="H61" s="6"/>
      <c r="I61" s="26">
        <f t="shared" si="0"/>
        <v>0</v>
      </c>
      <c r="K61" s="3" t="s">
        <v>10</v>
      </c>
    </row>
    <row r="62" spans="2:11" hidden="1">
      <c r="B62"/>
      <c r="C62" s="3" t="s">
        <v>86</v>
      </c>
      <c r="D62" s="26">
        <v>0</v>
      </c>
      <c r="E62" s="16"/>
      <c r="F62" s="6"/>
      <c r="G62" s="6"/>
      <c r="H62" s="6"/>
      <c r="I62" s="26">
        <f t="shared" si="0"/>
        <v>0</v>
      </c>
      <c r="K62" s="3" t="s">
        <v>10</v>
      </c>
    </row>
    <row r="63" spans="2:11" hidden="1">
      <c r="B63"/>
      <c r="C63" s="3" t="s">
        <v>94</v>
      </c>
      <c r="D63" s="26">
        <v>0</v>
      </c>
      <c r="E63" s="16"/>
      <c r="F63" s="6"/>
      <c r="G63" s="6"/>
      <c r="H63" s="6"/>
      <c r="I63" s="26">
        <f t="shared" si="0"/>
        <v>0</v>
      </c>
      <c r="K63" s="3" t="s">
        <v>10</v>
      </c>
    </row>
    <row r="64" spans="2:11" hidden="1">
      <c r="B64"/>
      <c r="C64" s="27" t="s">
        <v>87</v>
      </c>
      <c r="D64" s="26">
        <v>0</v>
      </c>
      <c r="E64" s="16"/>
      <c r="F64" s="6"/>
      <c r="G64" s="6"/>
      <c r="H64" s="6"/>
      <c r="I64" s="26">
        <f t="shared" si="0"/>
        <v>0</v>
      </c>
      <c r="K64" s="3" t="s">
        <v>10</v>
      </c>
    </row>
    <row r="65" spans="1:16" hidden="1">
      <c r="B65"/>
      <c r="C65" s="3" t="s">
        <v>93</v>
      </c>
      <c r="D65" s="26">
        <v>0</v>
      </c>
      <c r="E65" s="16"/>
      <c r="F65" s="6"/>
      <c r="G65" s="6"/>
      <c r="H65" s="6"/>
      <c r="I65" s="26">
        <f t="shared" si="0"/>
        <v>0</v>
      </c>
      <c r="K65" s="3" t="s">
        <v>10</v>
      </c>
    </row>
    <row r="66" spans="1:16" ht="11.25" thickBot="1">
      <c r="B66"/>
      <c r="C66" s="27"/>
      <c r="D66" s="26"/>
      <c r="E66" s="16"/>
      <c r="F66" s="6"/>
      <c r="G66" s="6"/>
      <c r="H66" s="6"/>
      <c r="I66" s="26"/>
    </row>
    <row r="67" spans="1:16" hidden="1">
      <c r="B67" s="22" t="s">
        <v>64</v>
      </c>
      <c r="C67" s="27"/>
      <c r="D67" s="26"/>
      <c r="E67" s="16"/>
      <c r="F67" s="6"/>
      <c r="G67" s="6"/>
      <c r="H67" s="6"/>
      <c r="I67" s="26"/>
    </row>
    <row r="68" spans="1:16" ht="11.25" hidden="1" thickBot="1">
      <c r="B68"/>
      <c r="C68" s="3" t="s">
        <v>96</v>
      </c>
      <c r="D68" s="26">
        <v>0</v>
      </c>
      <c r="E68" s="16"/>
      <c r="F68" s="6"/>
      <c r="G68" s="6"/>
      <c r="H68" s="6"/>
      <c r="I68" s="26">
        <f>IF(K68="Post Merger",D68,0)</f>
        <v>0</v>
      </c>
      <c r="K68" s="3" t="s">
        <v>10</v>
      </c>
    </row>
    <row r="69" spans="1:16" ht="11.25" thickBot="1">
      <c r="B69"/>
      <c r="D69" s="16"/>
      <c r="E69" s="16"/>
      <c r="F69" s="6"/>
      <c r="G69" s="6"/>
      <c r="H69" s="6"/>
      <c r="I69" s="6"/>
      <c r="K69" s="36">
        <v>0</v>
      </c>
      <c r="L69" s="24" t="s">
        <v>40</v>
      </c>
      <c r="M69" s="37">
        <v>0</v>
      </c>
    </row>
    <row r="70" spans="1:16">
      <c r="B70"/>
      <c r="C70" t="s">
        <v>115</v>
      </c>
      <c r="D70" s="26">
        <v>67492994.709999993</v>
      </c>
      <c r="E70" s="16"/>
      <c r="F70" s="6"/>
      <c r="G70" s="6"/>
      <c r="H70" s="6"/>
      <c r="I70" s="26">
        <f>D70</f>
        <v>67492994.709999993</v>
      </c>
    </row>
    <row r="71" spans="1:16" ht="11.25" thickBot="1">
      <c r="B71" s="40" t="s">
        <v>65</v>
      </c>
      <c r="C71" s="14"/>
      <c r="D71" s="11" t="s">
        <v>14</v>
      </c>
      <c r="E71" s="14" t="s">
        <v>13</v>
      </c>
      <c r="F71" s="11" t="s">
        <v>14</v>
      </c>
      <c r="G71" s="11" t="s">
        <v>14</v>
      </c>
      <c r="H71" s="11" t="s">
        <v>14</v>
      </c>
      <c r="I71" s="11" t="s">
        <v>14</v>
      </c>
    </row>
    <row r="72" spans="1:16" ht="11.25" thickBot="1">
      <c r="B72" s="3" t="s">
        <v>28</v>
      </c>
      <c r="C72"/>
      <c r="D72" s="26">
        <f>SUM(D38:D70)</f>
        <v>164227431.91</v>
      </c>
      <c r="E72" s="16"/>
      <c r="F72" s="26">
        <f>SUM(F38:F70)</f>
        <v>0</v>
      </c>
      <c r="G72" s="26">
        <f>SUM(G38:G70)</f>
        <v>0</v>
      </c>
      <c r="H72" s="26">
        <f>SUM(H38:H70)</f>
        <v>0</v>
      </c>
      <c r="I72" s="26">
        <f>SUM(I38:I70)</f>
        <v>164227431.91</v>
      </c>
      <c r="K72" s="36"/>
      <c r="L72" s="24" t="s">
        <v>40</v>
      </c>
      <c r="M72" s="37">
        <f>D72-SUM(F72:I72)</f>
        <v>0</v>
      </c>
    </row>
    <row r="73" spans="1:16">
      <c r="B73" s="3" t="s">
        <v>116</v>
      </c>
      <c r="D73" s="26">
        <v>663166.31000000006</v>
      </c>
      <c r="E73" s="16"/>
      <c r="F73" s="14"/>
      <c r="H73" s="26"/>
      <c r="I73" s="26">
        <f>D73</f>
        <v>663166.31000000006</v>
      </c>
      <c r="J73"/>
      <c r="K73"/>
      <c r="L73"/>
      <c r="M73"/>
    </row>
    <row r="74" spans="1:16">
      <c r="B74" s="3" t="s">
        <v>29</v>
      </c>
      <c r="C74"/>
      <c r="D74" s="26">
        <v>0</v>
      </c>
      <c r="E74" s="16"/>
      <c r="F74" s="26"/>
      <c r="G74" s="26"/>
      <c r="H74" s="26">
        <f>D74</f>
        <v>0</v>
      </c>
      <c r="I74" s="6"/>
    </row>
    <row r="75" spans="1:16" ht="11.25" thickBot="1">
      <c r="D75" s="11" t="s">
        <v>14</v>
      </c>
      <c r="E75" s="14" t="s">
        <v>13</v>
      </c>
      <c r="F75" s="11" t="s">
        <v>14</v>
      </c>
      <c r="G75" s="11" t="s">
        <v>14</v>
      </c>
      <c r="H75" s="11" t="s">
        <v>14</v>
      </c>
      <c r="I75" s="11" t="s">
        <v>14</v>
      </c>
    </row>
    <row r="76" spans="1:16" ht="11.25" thickBot="1">
      <c r="A76" s="3" t="s">
        <v>30</v>
      </c>
      <c r="D76" s="26">
        <f>D72+D73+D74+D36+D27</f>
        <v>241909657.37</v>
      </c>
      <c r="E76" s="16"/>
      <c r="F76" s="26">
        <f>F72+F73+F74+F36+F27</f>
        <v>2529420.7641726462</v>
      </c>
      <c r="G76" s="26">
        <f>G72+G73+G74+G36+G27</f>
        <v>12377848.49156395</v>
      </c>
      <c r="H76" s="26">
        <f>H72+H73+H74+H36+H27</f>
        <v>0</v>
      </c>
      <c r="I76" s="26">
        <f>I72+I73+I74+I36+I27</f>
        <v>227002388.11426342</v>
      </c>
      <c r="K76" s="36">
        <v>0</v>
      </c>
      <c r="L76" s="24" t="s">
        <v>40</v>
      </c>
      <c r="M76" s="37">
        <f>D76-SUM(F76:I76)</f>
        <v>0</v>
      </c>
    </row>
    <row r="77" spans="1:16">
      <c r="D77" s="16"/>
      <c r="E77" s="16"/>
      <c r="F77" s="16"/>
      <c r="G77" s="16"/>
      <c r="H77" s="16"/>
      <c r="I77" s="16"/>
    </row>
    <row r="78" spans="1:16">
      <c r="D78" s="16"/>
      <c r="E78" s="16"/>
      <c r="F78" s="16"/>
      <c r="G78" s="16"/>
      <c r="H78" s="16"/>
      <c r="I78" s="16"/>
    </row>
    <row r="79" spans="1:16" ht="11.25">
      <c r="A79" s="3" t="s">
        <v>31</v>
      </c>
      <c r="F79" s="6"/>
      <c r="G79" s="6"/>
      <c r="H79" s="6"/>
      <c r="I79" s="6"/>
      <c r="N79" s="29" t="s">
        <v>60</v>
      </c>
      <c r="O79" s="32">
        <v>24999835.973468848</v>
      </c>
      <c r="P79" s="26"/>
    </row>
    <row r="80" spans="1:16" ht="11.25">
      <c r="F80" s="6"/>
      <c r="G80" s="6"/>
      <c r="H80" s="6"/>
      <c r="I80" s="6"/>
      <c r="N80" s="29" t="s">
        <v>61</v>
      </c>
      <c r="O80" s="32">
        <v>0</v>
      </c>
      <c r="P80" s="26"/>
    </row>
    <row r="81" spans="1:16" customFormat="1" ht="11.25">
      <c r="A81" s="3"/>
      <c r="B81" s="3" t="s">
        <v>32</v>
      </c>
      <c r="D81" s="26">
        <f>SUM(F81:I81)</f>
        <v>24999835.973468848</v>
      </c>
      <c r="E81" s="16"/>
      <c r="F81" s="26">
        <f>O79</f>
        <v>24999835.973468848</v>
      </c>
      <c r="G81" s="6"/>
      <c r="H81" s="6"/>
      <c r="I81" s="6"/>
      <c r="J81" s="3"/>
      <c r="K81" s="18"/>
      <c r="L81" s="3"/>
      <c r="M81" s="3"/>
      <c r="N81" s="29" t="s">
        <v>62</v>
      </c>
      <c r="O81" s="32">
        <v>83304574.000558719</v>
      </c>
      <c r="P81" s="38"/>
    </row>
    <row r="82" spans="1:16" ht="11.25" hidden="1">
      <c r="A82"/>
      <c r="B82"/>
      <c r="C82"/>
      <c r="D82"/>
      <c r="E82"/>
      <c r="F82"/>
      <c r="G82"/>
      <c r="H82"/>
      <c r="I82"/>
      <c r="J82"/>
      <c r="K82" s="23"/>
      <c r="L82"/>
      <c r="M82"/>
      <c r="N82" s="29" t="s">
        <v>91</v>
      </c>
      <c r="O82" s="32">
        <v>0</v>
      </c>
      <c r="P82" s="26"/>
    </row>
    <row r="83" spans="1:16" ht="12" thickBot="1">
      <c r="B83" s="3" t="s">
        <v>33</v>
      </c>
      <c r="C83"/>
      <c r="D83" s="26">
        <f>SUM(F83:I83)</f>
        <v>0</v>
      </c>
      <c r="E83" s="16"/>
      <c r="F83" s="26">
        <f>O80</f>
        <v>0</v>
      </c>
      <c r="G83" s="6"/>
      <c r="H83" s="6"/>
      <c r="I83" s="6"/>
      <c r="N83" s="29" t="s">
        <v>63</v>
      </c>
      <c r="O83" s="32">
        <v>1038267.1499999999</v>
      </c>
      <c r="P83" s="26"/>
    </row>
    <row r="84" spans="1:16" ht="11.25" hidden="1" thickBot="1">
      <c r="C84"/>
      <c r="D84" s="16"/>
      <c r="E84" s="16"/>
      <c r="F84" s="6"/>
      <c r="G84" s="6"/>
      <c r="H84" s="6"/>
      <c r="I84" s="6"/>
      <c r="O84" s="32">
        <f>SUM(O79:O83)</f>
        <v>109342677.12402758</v>
      </c>
      <c r="P84" s="26"/>
    </row>
    <row r="85" spans="1:16" ht="11.25" thickBot="1">
      <c r="B85" s="3" t="s">
        <v>10</v>
      </c>
      <c r="C85"/>
      <c r="D85" s="26">
        <f>D90-(D81+D83+D87)</f>
        <v>84342841.02653116</v>
      </c>
      <c r="E85" s="16"/>
      <c r="F85" s="17"/>
      <c r="G85" s="6"/>
      <c r="H85" s="6"/>
      <c r="I85" s="26">
        <f>D85</f>
        <v>84342841.02653116</v>
      </c>
      <c r="N85" s="47" t="s">
        <v>40</v>
      </c>
      <c r="O85" s="37">
        <v>0</v>
      </c>
      <c r="P85" s="46"/>
    </row>
    <row r="86" spans="1:16" hidden="1">
      <c r="F86" s="6"/>
      <c r="G86" s="6"/>
      <c r="H86" s="6"/>
      <c r="I86" s="6"/>
    </row>
    <row r="87" spans="1:16" customFormat="1">
      <c r="A87" s="3"/>
      <c r="B87" t="s">
        <v>34</v>
      </c>
      <c r="C87" s="3"/>
      <c r="D87" s="26">
        <v>0</v>
      </c>
      <c r="E87" s="16"/>
      <c r="F87" s="6"/>
      <c r="H87" s="26">
        <f>D87</f>
        <v>0</v>
      </c>
      <c r="I87" s="6"/>
      <c r="J87" s="3"/>
      <c r="K87" s="3"/>
      <c r="L87" s="3"/>
      <c r="M87" s="3"/>
      <c r="N87" s="27"/>
    </row>
    <row r="88" spans="1:16">
      <c r="A88"/>
      <c r="B88"/>
      <c r="C88"/>
      <c r="D88"/>
      <c r="E88"/>
      <c r="F88"/>
      <c r="G88"/>
      <c r="H88"/>
      <c r="I88"/>
      <c r="J88"/>
      <c r="K88"/>
      <c r="L88"/>
      <c r="M88"/>
    </row>
    <row r="89" spans="1:16" ht="11.25" thickBot="1">
      <c r="D89" s="11" t="s">
        <v>14</v>
      </c>
      <c r="E89" s="14" t="s">
        <v>13</v>
      </c>
      <c r="F89" s="11" t="s">
        <v>14</v>
      </c>
      <c r="G89" s="11" t="s">
        <v>14</v>
      </c>
      <c r="H89" s="11" t="s">
        <v>14</v>
      </c>
      <c r="I89" s="11" t="s">
        <v>14</v>
      </c>
    </row>
    <row r="90" spans="1:16" customFormat="1" ht="11.25" thickBot="1">
      <c r="A90" s="3" t="s">
        <v>35</v>
      </c>
      <c r="B90" s="3"/>
      <c r="C90" s="3"/>
      <c r="D90" s="26">
        <v>109342677</v>
      </c>
      <c r="E90" s="16"/>
      <c r="F90" s="26">
        <f>SUM(F81:F87)</f>
        <v>24999835.973468848</v>
      </c>
      <c r="G90" s="26">
        <f>SUM(G81:G87)</f>
        <v>0</v>
      </c>
      <c r="H90" s="26">
        <f>SUM(H81:H87)</f>
        <v>0</v>
      </c>
      <c r="I90" s="26">
        <f>SUM(I81:I87)</f>
        <v>84342841.02653116</v>
      </c>
      <c r="J90" s="3"/>
      <c r="K90" s="36">
        <f>D90-(D81+D83+D85+D87)</f>
        <v>0</v>
      </c>
      <c r="L90" s="24" t="s">
        <v>40</v>
      </c>
      <c r="M90" s="37">
        <f>D90-SUM(F90:I90)</f>
        <v>0</v>
      </c>
      <c r="N90" s="27"/>
    </row>
    <row r="91" spans="1:16" customFormat="1">
      <c r="A91" s="3"/>
      <c r="B91" s="3"/>
      <c r="C91" s="3"/>
      <c r="D91" s="3"/>
      <c r="E91" s="3"/>
      <c r="G91" s="3"/>
      <c r="H91" s="3"/>
      <c r="I91" s="3"/>
      <c r="N91" s="27"/>
    </row>
    <row r="92" spans="1:16" customFormat="1">
      <c r="A92" s="3" t="s">
        <v>36</v>
      </c>
      <c r="B92" s="3"/>
      <c r="C92" s="3"/>
      <c r="D92" s="3"/>
      <c r="E92" s="3"/>
      <c r="G92" s="3"/>
      <c r="H92" s="3"/>
      <c r="I92" s="3"/>
      <c r="N92" s="27"/>
    </row>
    <row r="93" spans="1:16" customFormat="1" hidden="1">
      <c r="A93" s="3"/>
      <c r="B93" s="16" t="s">
        <v>98</v>
      </c>
      <c r="C93" s="3"/>
      <c r="D93" s="26">
        <v>0</v>
      </c>
      <c r="E93" s="16"/>
      <c r="G93" s="3"/>
      <c r="H93" s="26">
        <f t="shared" ref="H93:H107" si="1">D93</f>
        <v>0</v>
      </c>
      <c r="I93" s="2"/>
      <c r="N93" s="27"/>
    </row>
    <row r="94" spans="1:16" customFormat="1" hidden="1">
      <c r="A94" s="3"/>
      <c r="B94" s="16" t="s">
        <v>99</v>
      </c>
      <c r="C94" s="3"/>
      <c r="D94" s="26">
        <v>0</v>
      </c>
      <c r="E94" s="16"/>
      <c r="G94" s="3"/>
      <c r="H94" s="26">
        <f t="shared" si="1"/>
        <v>0</v>
      </c>
      <c r="I94" s="2"/>
      <c r="N94" s="27"/>
    </row>
    <row r="95" spans="1:16" customFormat="1">
      <c r="A95" s="3"/>
      <c r="B95" s="16" t="s">
        <v>100</v>
      </c>
      <c r="C95" s="3"/>
      <c r="D95" s="26">
        <v>8051919.5899999999</v>
      </c>
      <c r="E95" s="16"/>
      <c r="G95" s="3"/>
      <c r="H95" s="26">
        <f t="shared" si="1"/>
        <v>8051919.5899999999</v>
      </c>
      <c r="I95" s="2"/>
      <c r="N95" s="27"/>
    </row>
    <row r="96" spans="1:16" customFormat="1" hidden="1">
      <c r="A96" s="3"/>
      <c r="B96" s="16" t="s">
        <v>101</v>
      </c>
      <c r="C96" s="3"/>
      <c r="D96" s="26">
        <v>0</v>
      </c>
      <c r="E96" s="16"/>
      <c r="G96" s="3"/>
      <c r="H96" s="26">
        <f t="shared" si="1"/>
        <v>0</v>
      </c>
      <c r="I96" s="2"/>
      <c r="N96" s="27"/>
    </row>
    <row r="97" spans="1:14" customFormat="1">
      <c r="A97" s="3"/>
      <c r="B97" s="16" t="s">
        <v>66</v>
      </c>
      <c r="C97" s="3"/>
      <c r="D97" s="26">
        <v>50865025.159999996</v>
      </c>
      <c r="E97" s="16"/>
      <c r="G97" s="3"/>
      <c r="H97" s="26">
        <f t="shared" si="1"/>
        <v>50865025.159999996</v>
      </c>
      <c r="I97" s="2"/>
      <c r="N97" s="27"/>
    </row>
    <row r="98" spans="1:14" customFormat="1" hidden="1">
      <c r="A98" s="3"/>
      <c r="B98" s="16" t="s">
        <v>47</v>
      </c>
      <c r="C98" s="3"/>
      <c r="D98" s="26">
        <v>0</v>
      </c>
      <c r="E98" s="16"/>
      <c r="G98" s="3"/>
      <c r="H98" s="26">
        <f t="shared" si="1"/>
        <v>0</v>
      </c>
      <c r="I98" s="2"/>
      <c r="N98" s="27"/>
    </row>
    <row r="99" spans="1:14" customFormat="1" hidden="1">
      <c r="A99" s="3"/>
      <c r="B99" s="16" t="s">
        <v>102</v>
      </c>
      <c r="C99" s="3"/>
      <c r="D99" s="26">
        <v>0</v>
      </c>
      <c r="E99" s="16"/>
      <c r="G99" s="3"/>
      <c r="H99" s="26">
        <f t="shared" si="1"/>
        <v>0</v>
      </c>
      <c r="I99" s="2"/>
      <c r="N99" s="27"/>
    </row>
    <row r="100" spans="1:14" customFormat="1" hidden="1">
      <c r="A100" s="3"/>
      <c r="B100" s="16" t="s">
        <v>103</v>
      </c>
      <c r="C100" s="3"/>
      <c r="D100" s="26">
        <v>0</v>
      </c>
      <c r="E100" s="16"/>
      <c r="G100" s="3"/>
      <c r="H100" s="26">
        <f t="shared" si="1"/>
        <v>0</v>
      </c>
      <c r="I100" s="2"/>
      <c r="N100" s="27"/>
    </row>
    <row r="101" spans="1:14" customFormat="1" hidden="1">
      <c r="A101" s="3"/>
      <c r="B101" s="16" t="s">
        <v>104</v>
      </c>
      <c r="C101" s="3"/>
      <c r="D101" s="26">
        <v>0</v>
      </c>
      <c r="E101" s="16"/>
      <c r="G101" s="3"/>
      <c r="H101" s="26">
        <f t="shared" si="1"/>
        <v>0</v>
      </c>
      <c r="I101" s="2"/>
      <c r="N101" s="27"/>
    </row>
    <row r="102" spans="1:14" customFormat="1" hidden="1">
      <c r="A102" s="3"/>
      <c r="B102" s="16" t="s">
        <v>105</v>
      </c>
      <c r="C102" s="3"/>
      <c r="D102" s="26">
        <v>0</v>
      </c>
      <c r="E102" s="16"/>
      <c r="F102" s="14"/>
      <c r="G102" s="3"/>
      <c r="H102" s="26">
        <f t="shared" si="1"/>
        <v>0</v>
      </c>
      <c r="I102" s="2"/>
      <c r="N102" s="27"/>
    </row>
    <row r="103" spans="1:14" customFormat="1">
      <c r="A103" s="3"/>
      <c r="B103" s="16" t="s">
        <v>106</v>
      </c>
      <c r="C103" s="3"/>
      <c r="D103" s="26">
        <v>46003985.939999998</v>
      </c>
      <c r="E103" s="16"/>
      <c r="F103" s="14"/>
      <c r="G103" s="3"/>
      <c r="H103" s="26">
        <f t="shared" si="1"/>
        <v>46003985.939999998</v>
      </c>
      <c r="I103" s="2"/>
      <c r="N103" s="27"/>
    </row>
    <row r="104" spans="1:14" customFormat="1" hidden="1">
      <c r="A104" s="3"/>
      <c r="B104" s="16" t="s">
        <v>107</v>
      </c>
      <c r="C104" s="3"/>
      <c r="D104" s="26">
        <v>0</v>
      </c>
      <c r="E104" s="16"/>
      <c r="F104" s="14"/>
      <c r="G104" s="3"/>
      <c r="H104" s="26">
        <f t="shared" si="1"/>
        <v>0</v>
      </c>
      <c r="I104" s="2"/>
      <c r="N104" s="27"/>
    </row>
    <row r="105" spans="1:14" customFormat="1" hidden="1">
      <c r="A105" s="3"/>
      <c r="B105" s="16" t="s">
        <v>108</v>
      </c>
      <c r="C105" s="3"/>
      <c r="D105" s="26">
        <v>0</v>
      </c>
      <c r="E105" s="16"/>
      <c r="F105" s="14"/>
      <c r="G105" s="3"/>
      <c r="H105" s="26">
        <f t="shared" si="1"/>
        <v>0</v>
      </c>
      <c r="I105" s="2"/>
      <c r="N105" s="27"/>
    </row>
    <row r="106" spans="1:14" customFormat="1">
      <c r="A106" s="3"/>
      <c r="B106" s="16" t="s">
        <v>109</v>
      </c>
      <c r="C106" s="3"/>
      <c r="D106" s="26">
        <v>198244684.53999999</v>
      </c>
      <c r="E106" s="16"/>
      <c r="F106" s="14"/>
      <c r="G106" s="3"/>
      <c r="H106" s="26">
        <f t="shared" si="1"/>
        <v>198244684.53999999</v>
      </c>
      <c r="I106" s="2"/>
      <c r="N106" s="27"/>
    </row>
    <row r="107" spans="1:14" customFormat="1" hidden="1">
      <c r="A107" s="3"/>
      <c r="B107" s="16" t="s">
        <v>110</v>
      </c>
      <c r="C107" s="3"/>
      <c r="D107" s="26">
        <v>0</v>
      </c>
      <c r="E107" s="16"/>
      <c r="F107" s="14"/>
      <c r="G107" s="3"/>
      <c r="H107" s="26">
        <f t="shared" si="1"/>
        <v>0</v>
      </c>
      <c r="I107" s="2"/>
      <c r="N107" s="27"/>
    </row>
    <row r="108" spans="1:14" customFormat="1" hidden="1">
      <c r="A108" s="3"/>
      <c r="B108" s="16"/>
      <c r="C108" s="3"/>
      <c r="D108" s="26"/>
      <c r="E108" s="16"/>
      <c r="F108" s="14"/>
      <c r="G108" s="3"/>
      <c r="H108" s="26"/>
      <c r="I108" s="2"/>
      <c r="N108" s="27"/>
    </row>
    <row r="109" spans="1:14" customFormat="1" hidden="1">
      <c r="A109" s="3"/>
      <c r="B109" s="16" t="s">
        <v>111</v>
      </c>
      <c r="C109" s="3"/>
      <c r="D109" s="26">
        <v>0</v>
      </c>
      <c r="E109" s="16"/>
      <c r="F109" s="14"/>
      <c r="G109" s="3"/>
      <c r="H109" s="26">
        <f>D109</f>
        <v>0</v>
      </c>
      <c r="I109" s="2"/>
      <c r="N109" s="27"/>
    </row>
    <row r="110" spans="1:14" customFormat="1" hidden="1">
      <c r="A110" s="3"/>
      <c r="B110" s="16" t="s">
        <v>112</v>
      </c>
      <c r="C110" s="3"/>
      <c r="D110" s="26">
        <v>0</v>
      </c>
      <c r="E110" s="16"/>
      <c r="F110" s="14"/>
      <c r="G110" s="3"/>
      <c r="H110" s="26">
        <f>D110</f>
        <v>0</v>
      </c>
      <c r="I110" s="2"/>
      <c r="N110" s="27"/>
    </row>
    <row r="111" spans="1:14" customFormat="1" hidden="1">
      <c r="A111" s="3"/>
      <c r="B111" s="16" t="s">
        <v>113</v>
      </c>
      <c r="C111" s="3"/>
      <c r="D111" s="26">
        <v>0</v>
      </c>
      <c r="E111" s="16"/>
      <c r="F111" s="14"/>
      <c r="G111" s="3"/>
      <c r="H111" s="26">
        <f>D111</f>
        <v>0</v>
      </c>
      <c r="I111" s="2"/>
      <c r="N111" s="27"/>
    </row>
    <row r="112" spans="1:14" customFormat="1" hidden="1">
      <c r="A112" s="3"/>
      <c r="B112" s="16"/>
      <c r="C112" s="3"/>
      <c r="D112" s="26"/>
      <c r="E112" s="16"/>
      <c r="F112" s="14"/>
      <c r="G112" s="3"/>
      <c r="H112" s="26"/>
      <c r="I112" s="2"/>
      <c r="N112" s="27"/>
    </row>
    <row r="113" spans="1:14" customFormat="1" hidden="1">
      <c r="A113" s="3"/>
      <c r="B113" s="16" t="s">
        <v>114</v>
      </c>
      <c r="C113" s="3"/>
      <c r="D113" s="26">
        <v>0</v>
      </c>
      <c r="E113" s="16"/>
      <c r="F113" s="14"/>
      <c r="G113" s="3"/>
      <c r="H113" s="26">
        <f>D113</f>
        <v>0</v>
      </c>
      <c r="I113" s="2"/>
      <c r="N113" s="27"/>
    </row>
    <row r="114" spans="1:14" customFormat="1" ht="11.25" thickBot="1">
      <c r="A114" s="3"/>
      <c r="B114" s="3"/>
      <c r="C114" s="3"/>
      <c r="D114" s="11" t="s">
        <v>14</v>
      </c>
      <c r="E114" s="14" t="s">
        <v>13</v>
      </c>
      <c r="F114" s="11" t="s">
        <v>14</v>
      </c>
      <c r="G114" s="11" t="s">
        <v>14</v>
      </c>
      <c r="H114" s="11" t="s">
        <v>14</v>
      </c>
      <c r="I114" s="11" t="s">
        <v>14</v>
      </c>
      <c r="N114" s="27"/>
    </row>
    <row r="115" spans="1:14" customFormat="1" ht="11.25" thickBot="1">
      <c r="A115" s="3" t="s">
        <v>37</v>
      </c>
      <c r="B115" s="3"/>
      <c r="C115" s="3"/>
      <c r="D115" s="26">
        <f>SUM(D93:D113)</f>
        <v>303165615.23000002</v>
      </c>
      <c r="E115" s="16"/>
      <c r="F115" s="26">
        <f>SUM(F92:F113)</f>
        <v>0</v>
      </c>
      <c r="G115" s="26">
        <f>SUM(G92:G113)</f>
        <v>0</v>
      </c>
      <c r="H115" s="26">
        <f>SUM(H92:H113)</f>
        <v>303165615.23000002</v>
      </c>
      <c r="I115" s="26">
        <f>SUM(I92:I105)</f>
        <v>0</v>
      </c>
      <c r="K115" s="36">
        <v>0</v>
      </c>
      <c r="L115" s="24" t="s">
        <v>40</v>
      </c>
      <c r="M115" s="37">
        <f>D115-SUM(F115:I115)</f>
        <v>0</v>
      </c>
      <c r="N115" s="27"/>
    </row>
    <row r="116" spans="1:14" customFormat="1">
      <c r="A116" s="3"/>
      <c r="B116" s="3"/>
      <c r="C116" s="3"/>
      <c r="D116" s="7"/>
      <c r="E116" s="16"/>
      <c r="F116" s="16"/>
      <c r="G116" s="16"/>
      <c r="H116" s="16"/>
      <c r="I116" s="16"/>
      <c r="N116" s="27"/>
    </row>
    <row r="117" spans="1:14" customFormat="1">
      <c r="A117" s="3" t="s">
        <v>43</v>
      </c>
      <c r="B117" s="3"/>
      <c r="C117" s="3"/>
      <c r="D117" s="7"/>
      <c r="E117" s="16"/>
      <c r="F117" s="16"/>
      <c r="G117" s="16"/>
      <c r="H117" s="16"/>
      <c r="I117" s="16"/>
      <c r="N117" s="27"/>
    </row>
    <row r="118" spans="1:14" customFormat="1">
      <c r="A118" s="3"/>
      <c r="B118" s="16" t="s">
        <v>97</v>
      </c>
      <c r="C118" s="3"/>
      <c r="D118" s="26">
        <v>0</v>
      </c>
      <c r="E118" s="16"/>
      <c r="F118" s="14"/>
      <c r="G118" s="3"/>
      <c r="H118" s="26">
        <f>D118</f>
        <v>0</v>
      </c>
      <c r="I118" s="2"/>
      <c r="N118" s="27"/>
    </row>
    <row r="119" spans="1:14">
      <c r="D119" s="11" t="s">
        <v>14</v>
      </c>
      <c r="E119" s="14" t="s">
        <v>13</v>
      </c>
      <c r="F119" s="11" t="s">
        <v>14</v>
      </c>
      <c r="G119" s="11" t="s">
        <v>14</v>
      </c>
      <c r="H119" s="11" t="s">
        <v>14</v>
      </c>
      <c r="I119" s="11" t="s">
        <v>14</v>
      </c>
    </row>
    <row r="120" spans="1:14">
      <c r="A120" s="3" t="s">
        <v>44</v>
      </c>
      <c r="D120" s="26">
        <v>0</v>
      </c>
      <c r="E120" s="16"/>
      <c r="F120" s="26">
        <f>SUM(F118:F118)</f>
        <v>0</v>
      </c>
      <c r="G120" s="26">
        <f>SUM(G118:G118)</f>
        <v>0</v>
      </c>
      <c r="H120" s="26">
        <f>SUM(H118:H118)</f>
        <v>0</v>
      </c>
      <c r="I120" s="26">
        <f>SUM(I118:I118)</f>
        <v>0</v>
      </c>
    </row>
    <row r="121" spans="1:14" ht="11.25" thickBot="1">
      <c r="D121" s="19" t="s">
        <v>38</v>
      </c>
      <c r="E121" s="14" t="s">
        <v>13</v>
      </c>
      <c r="F121" s="19" t="s">
        <v>38</v>
      </c>
      <c r="G121" s="19" t="s">
        <v>38</v>
      </c>
      <c r="H121" s="19" t="s">
        <v>38</v>
      </c>
      <c r="I121" s="19" t="s">
        <v>38</v>
      </c>
    </row>
    <row r="122" spans="1:14" ht="11.25" thickBot="1">
      <c r="A122" s="3" t="s">
        <v>39</v>
      </c>
      <c r="D122" s="26">
        <f>D115+D90+D76+D120-D16</f>
        <v>580589342.85000002</v>
      </c>
      <c r="E122" s="16" t="s">
        <v>13</v>
      </c>
      <c r="F122" s="26">
        <f>F115+F90+F76+F120-F16</f>
        <v>14564456.737641495</v>
      </c>
      <c r="G122" s="26">
        <f>G115+G90+G76+G120-G16</f>
        <v>12377848.49156395</v>
      </c>
      <c r="H122" s="26">
        <f>H115+H90+H76+H120-H16</f>
        <v>303165615.23000002</v>
      </c>
      <c r="I122" s="26">
        <f>I115+I90+I76+I120-I16</f>
        <v>250481422.39079458</v>
      </c>
      <c r="K122" s="36">
        <v>0</v>
      </c>
      <c r="L122" s="24" t="s">
        <v>40</v>
      </c>
      <c r="M122" s="37">
        <f>D122-SUM(F122:I122)</f>
        <v>0</v>
      </c>
    </row>
    <row r="123" spans="1:14">
      <c r="D123" s="19" t="s">
        <v>38</v>
      </c>
      <c r="E123" s="14" t="s">
        <v>13</v>
      </c>
      <c r="F123" s="19" t="s">
        <v>38</v>
      </c>
      <c r="G123" s="19" t="s">
        <v>38</v>
      </c>
      <c r="H123" s="19" t="s">
        <v>38</v>
      </c>
      <c r="I123" s="19" t="s">
        <v>38</v>
      </c>
    </row>
  </sheetData>
  <mergeCells count="1">
    <mergeCell ref="A4:C4"/>
  </mergeCells>
  <pageMargins left="0.65" right="0.72" top="1" bottom="1" header="0.5" footer="0.5"/>
  <pageSetup scale="67" orientation="portrait" r:id="rId1"/>
  <headerFooter alignWithMargins="0">
    <oddHeader>&amp;L&amp;"Arial,Regular"&amp;10WA UE-130043
Bench Request 9&amp;R&amp;"Arial,Bold"&amp;10Attachment Bench Request 9</oddHeader>
    <oddFooter>&amp;L&amp;"Arial,Regular"&amp;10&amp;F&amp;C&amp;A</oddFooter>
  </headerFooter>
  <rowBreaks count="1" manualBreakCount="1">
    <brk id="69" max="8" man="1"/>
  </rowBreak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pageSetUpPr fitToPage="1"/>
  </sheetPr>
  <dimension ref="A1:K50"/>
  <sheetViews>
    <sheetView view="pageBreakPreview" zoomScale="85" zoomScaleNormal="100" zoomScaleSheetLayoutView="85" workbookViewId="0">
      <selection activeCell="T91" sqref="T91"/>
    </sheetView>
  </sheetViews>
  <sheetFormatPr defaultRowHeight="12.75"/>
  <cols>
    <col min="1" max="1" width="4.83203125" style="275" customWidth="1"/>
    <col min="2" max="2" width="8" style="275" customWidth="1"/>
    <col min="3" max="3" width="32.83203125" style="275" customWidth="1"/>
    <col min="4" max="4" width="12.33203125" style="275" customWidth="1"/>
    <col min="5" max="5" width="9.33203125" style="276"/>
    <col min="6" max="6" width="17" style="106" customWidth="1"/>
    <col min="7" max="7" width="9.33203125" style="276"/>
    <col min="8" max="8" width="12" style="276" bestFit="1" customWidth="1"/>
    <col min="9" max="9" width="15.33203125" style="276" bestFit="1" customWidth="1"/>
    <col min="10" max="16384" width="9.33203125" style="275"/>
  </cols>
  <sheetData>
    <row r="1" spans="1:10">
      <c r="A1" s="274" t="s">
        <v>118</v>
      </c>
      <c r="B1" s="274"/>
      <c r="I1" s="277" t="s">
        <v>272</v>
      </c>
      <c r="J1" s="296" t="s">
        <v>297</v>
      </c>
    </row>
    <row r="2" spans="1:10">
      <c r="A2" s="274" t="s">
        <v>255</v>
      </c>
      <c r="B2" s="274"/>
    </row>
    <row r="3" spans="1:10">
      <c r="A3" s="274" t="s">
        <v>321</v>
      </c>
      <c r="B3" s="274"/>
    </row>
    <row r="5" spans="1:10">
      <c r="F5" s="105" t="s">
        <v>274</v>
      </c>
      <c r="I5" s="276" t="s">
        <v>126</v>
      </c>
    </row>
    <row r="6" spans="1:10" ht="15">
      <c r="D6" s="279" t="s">
        <v>275</v>
      </c>
      <c r="E6" s="279" t="s">
        <v>276</v>
      </c>
      <c r="F6" s="280" t="s">
        <v>277</v>
      </c>
      <c r="G6" s="279" t="s">
        <v>278</v>
      </c>
      <c r="H6" s="279" t="s">
        <v>134</v>
      </c>
      <c r="I6" s="279" t="s">
        <v>279</v>
      </c>
      <c r="J6" s="279" t="s">
        <v>280</v>
      </c>
    </row>
    <row r="7" spans="1:10" ht="15">
      <c r="B7" s="274" t="s">
        <v>281</v>
      </c>
      <c r="C7" s="281"/>
      <c r="D7" s="279"/>
      <c r="E7" s="279"/>
      <c r="F7" s="280"/>
      <c r="G7" s="279"/>
      <c r="H7" s="279"/>
      <c r="I7" s="279"/>
      <c r="J7" s="279"/>
    </row>
    <row r="8" spans="1:10" ht="15">
      <c r="B8" s="274"/>
      <c r="C8" s="281"/>
      <c r="D8" s="279"/>
      <c r="E8" s="279"/>
      <c r="F8" s="280"/>
      <c r="G8" s="279"/>
      <c r="H8" s="279"/>
      <c r="I8" s="279"/>
      <c r="J8" s="279"/>
    </row>
    <row r="9" spans="1:10">
      <c r="B9" s="274" t="s">
        <v>137</v>
      </c>
      <c r="C9" s="281"/>
    </row>
    <row r="10" spans="1:10">
      <c r="B10" s="281" t="s">
        <v>138</v>
      </c>
      <c r="C10" s="281"/>
      <c r="D10" s="282" t="s">
        <v>139</v>
      </c>
      <c r="E10" s="283" t="s">
        <v>286</v>
      </c>
      <c r="F10" s="106">
        <f>'9.1 - Summary '!AU15</f>
        <v>0</v>
      </c>
      <c r="G10" s="276" t="s">
        <v>140</v>
      </c>
      <c r="H10" s="284">
        <v>0.2262649010137</v>
      </c>
      <c r="I10" s="276">
        <f>F10*H10</f>
        <v>0</v>
      </c>
      <c r="J10" s="276"/>
    </row>
    <row r="11" spans="1:10">
      <c r="B11" s="281" t="s">
        <v>141</v>
      </c>
      <c r="C11" s="281"/>
      <c r="D11" s="282" t="s">
        <v>139</v>
      </c>
      <c r="E11" s="283" t="s">
        <v>286</v>
      </c>
      <c r="F11" s="106">
        <f>'9.1 - Summary '!AU16</f>
        <v>-31657.259999997914</v>
      </c>
      <c r="G11" s="276" t="s">
        <v>140</v>
      </c>
      <c r="H11" s="284">
        <v>0.2262649010137</v>
      </c>
      <c r="I11" s="276">
        <f t="shared" ref="I11:I12" si="0">F11*H11</f>
        <v>-7162.9268002644922</v>
      </c>
      <c r="J11" s="276"/>
    </row>
    <row r="12" spans="1:10">
      <c r="B12" s="281" t="s">
        <v>142</v>
      </c>
      <c r="C12" s="281"/>
      <c r="D12" s="282" t="s">
        <v>139</v>
      </c>
      <c r="E12" s="283" t="s">
        <v>286</v>
      </c>
      <c r="F12" s="106">
        <f>'9.1 - Summary '!AU17</f>
        <v>0</v>
      </c>
      <c r="G12" s="276" t="s">
        <v>143</v>
      </c>
      <c r="H12" s="284">
        <v>0.22648067236840891</v>
      </c>
      <c r="I12" s="276">
        <f t="shared" si="0"/>
        <v>0</v>
      </c>
    </row>
    <row r="13" spans="1:10">
      <c r="B13" s="281" t="s">
        <v>144</v>
      </c>
      <c r="C13" s="281"/>
      <c r="D13" s="282"/>
      <c r="E13" s="283"/>
      <c r="F13" s="285">
        <f>SUM(F10:F12)</f>
        <v>-31657.259999997914</v>
      </c>
      <c r="H13" s="284"/>
      <c r="I13" s="285">
        <f>SUM(I10:I12)</f>
        <v>-7162.9268002644922</v>
      </c>
      <c r="J13" s="282" t="s">
        <v>338</v>
      </c>
    </row>
    <row r="14" spans="1:10">
      <c r="B14" s="281"/>
      <c r="C14" s="286"/>
      <c r="D14" s="282"/>
      <c r="E14" s="283"/>
      <c r="H14" s="284"/>
    </row>
    <row r="15" spans="1:10">
      <c r="B15" s="274" t="s">
        <v>145</v>
      </c>
      <c r="C15" s="286"/>
      <c r="D15" s="282"/>
      <c r="E15" s="283"/>
      <c r="H15" s="284"/>
    </row>
    <row r="16" spans="1:10">
      <c r="B16" s="281" t="s">
        <v>146</v>
      </c>
      <c r="C16" s="286"/>
      <c r="D16" s="282" t="s">
        <v>147</v>
      </c>
      <c r="E16" s="283" t="s">
        <v>286</v>
      </c>
      <c r="F16" s="106">
        <f>'9.1 - Summary '!AU21</f>
        <v>0</v>
      </c>
      <c r="G16" s="276" t="s">
        <v>140</v>
      </c>
      <c r="H16" s="284">
        <v>0.2262649010137</v>
      </c>
      <c r="I16" s="276">
        <f t="shared" ref="I16:I20" si="1">F16*H16</f>
        <v>0</v>
      </c>
      <c r="J16" s="276"/>
    </row>
    <row r="17" spans="2:10">
      <c r="B17" s="281" t="s">
        <v>148</v>
      </c>
      <c r="C17" s="286"/>
      <c r="D17" s="282" t="s">
        <v>147</v>
      </c>
      <c r="E17" s="283" t="s">
        <v>286</v>
      </c>
      <c r="F17" s="106">
        <f>'9.1 - Summary '!AU22</f>
        <v>0</v>
      </c>
      <c r="G17" s="276" t="s">
        <v>143</v>
      </c>
      <c r="H17" s="284">
        <v>0.22648067236840891</v>
      </c>
      <c r="I17" s="276">
        <f t="shared" si="1"/>
        <v>0</v>
      </c>
      <c r="J17" s="276"/>
    </row>
    <row r="18" spans="2:10">
      <c r="B18" s="281" t="s">
        <v>149</v>
      </c>
      <c r="C18" s="286"/>
      <c r="D18" s="282" t="s">
        <v>147</v>
      </c>
      <c r="E18" s="283" t="s">
        <v>286</v>
      </c>
      <c r="F18" s="106">
        <f>'9.1 - Summary '!AU23</f>
        <v>0</v>
      </c>
      <c r="G18" s="276" t="s">
        <v>140</v>
      </c>
      <c r="H18" s="284">
        <v>0.2262649010137</v>
      </c>
      <c r="I18" s="276">
        <f t="shared" si="1"/>
        <v>0</v>
      </c>
      <c r="J18" s="276"/>
    </row>
    <row r="19" spans="2:10">
      <c r="B19" s="281" t="s">
        <v>150</v>
      </c>
      <c r="C19" s="286"/>
      <c r="D19" s="282" t="s">
        <v>147</v>
      </c>
      <c r="E19" s="283" t="s">
        <v>286</v>
      </c>
      <c r="F19" s="106">
        <f>'9.1 - Summary '!AU24</f>
        <v>59639.669999957085</v>
      </c>
      <c r="G19" s="276" t="s">
        <v>140</v>
      </c>
      <c r="H19" s="284">
        <v>0.2262649010137</v>
      </c>
      <c r="I19" s="276">
        <f t="shared" si="1"/>
        <v>13494.364029030023</v>
      </c>
      <c r="J19" s="276"/>
    </row>
    <row r="20" spans="2:10">
      <c r="B20" s="281" t="s">
        <v>151</v>
      </c>
      <c r="C20" s="281"/>
      <c r="D20" s="282" t="s">
        <v>147</v>
      </c>
      <c r="E20" s="283" t="s">
        <v>286</v>
      </c>
      <c r="F20" s="106">
        <f>'9.1 - Summary '!AU25</f>
        <v>0</v>
      </c>
      <c r="G20" s="276" t="s">
        <v>140</v>
      </c>
      <c r="H20" s="284">
        <v>0.2262649010137</v>
      </c>
      <c r="I20" s="276">
        <f t="shared" si="1"/>
        <v>0</v>
      </c>
    </row>
    <row r="21" spans="2:10">
      <c r="B21" s="281" t="s">
        <v>152</v>
      </c>
      <c r="C21" s="281"/>
      <c r="D21" s="282"/>
      <c r="E21" s="283"/>
      <c r="F21" s="285">
        <f>SUM(F16:F20)</f>
        <v>59639.669999957085</v>
      </c>
      <c r="H21" s="284"/>
      <c r="I21" s="285">
        <f>SUM(I16:I20)</f>
        <v>13494.364029030023</v>
      </c>
      <c r="J21" s="282" t="s">
        <v>338</v>
      </c>
    </row>
    <row r="22" spans="2:10">
      <c r="B22" s="281"/>
      <c r="C22" s="281"/>
      <c r="D22" s="282"/>
      <c r="E22" s="283"/>
      <c r="H22" s="284"/>
    </row>
    <row r="23" spans="2:10">
      <c r="B23" s="274" t="s">
        <v>153</v>
      </c>
      <c r="C23" s="281"/>
      <c r="D23" s="282"/>
      <c r="E23" s="283"/>
      <c r="H23" s="284"/>
      <c r="J23" s="276"/>
    </row>
    <row r="24" spans="2:10">
      <c r="B24" s="281" t="s">
        <v>154</v>
      </c>
      <c r="C24" s="281"/>
      <c r="D24" s="282" t="s">
        <v>155</v>
      </c>
      <c r="E24" s="283" t="s">
        <v>286</v>
      </c>
      <c r="F24" s="106">
        <f>'9.1 - Summary '!AU29</f>
        <v>0</v>
      </c>
      <c r="G24" s="276" t="s">
        <v>140</v>
      </c>
      <c r="H24" s="284">
        <v>0.2262649010137</v>
      </c>
      <c r="I24" s="276">
        <f t="shared" ref="I24:I26" si="2">F24*H24</f>
        <v>0</v>
      </c>
      <c r="J24" s="276"/>
    </row>
    <row r="25" spans="2:10">
      <c r="B25" s="281" t="s">
        <v>156</v>
      </c>
      <c r="C25" s="286"/>
      <c r="D25" s="282" t="s">
        <v>155</v>
      </c>
      <c r="E25" s="283" t="s">
        <v>286</v>
      </c>
      <c r="F25" s="106">
        <f>'9.1 - Summary '!AU30</f>
        <v>0</v>
      </c>
      <c r="G25" s="276" t="s">
        <v>140</v>
      </c>
      <c r="H25" s="284">
        <v>0.2262649010137</v>
      </c>
      <c r="I25" s="276">
        <f t="shared" si="2"/>
        <v>0</v>
      </c>
      <c r="J25" s="276"/>
    </row>
    <row r="26" spans="2:10">
      <c r="B26" s="281" t="s">
        <v>157</v>
      </c>
      <c r="C26" s="286"/>
      <c r="D26" s="282" t="s">
        <v>155</v>
      </c>
      <c r="E26" s="283" t="s">
        <v>286</v>
      </c>
      <c r="F26" s="106">
        <f>'9.1 - Summary '!AU31</f>
        <v>0</v>
      </c>
      <c r="G26" s="276" t="s">
        <v>143</v>
      </c>
      <c r="H26" s="284">
        <v>0.22648067236840891</v>
      </c>
      <c r="I26" s="276">
        <f t="shared" si="2"/>
        <v>0</v>
      </c>
      <c r="J26" s="276"/>
    </row>
    <row r="27" spans="2:10">
      <c r="B27" s="281" t="s">
        <v>158</v>
      </c>
      <c r="C27" s="281"/>
      <c r="D27" s="282"/>
      <c r="E27" s="283"/>
      <c r="F27" s="285">
        <f>SUM(F24:F26)</f>
        <v>0</v>
      </c>
      <c r="H27" s="284"/>
      <c r="I27" s="285">
        <f>SUM(I24:I26)</f>
        <v>0</v>
      </c>
      <c r="J27" s="282" t="s">
        <v>338</v>
      </c>
    </row>
    <row r="28" spans="2:10">
      <c r="B28" s="281"/>
      <c r="C28" s="281"/>
      <c r="D28" s="282"/>
      <c r="E28" s="283"/>
      <c r="H28" s="284"/>
    </row>
    <row r="29" spans="2:10">
      <c r="B29" s="274" t="s">
        <v>159</v>
      </c>
      <c r="C29" s="274"/>
      <c r="D29" s="282"/>
      <c r="E29" s="283"/>
      <c r="H29" s="284"/>
      <c r="J29" s="276"/>
    </row>
    <row r="30" spans="2:10">
      <c r="B30" s="281" t="s">
        <v>160</v>
      </c>
      <c r="C30" s="274"/>
      <c r="D30" s="282" t="s">
        <v>161</v>
      </c>
      <c r="E30" s="283" t="s">
        <v>286</v>
      </c>
      <c r="F30" s="106">
        <f>'9.1 - Summary '!AU35</f>
        <v>149.04000002145767</v>
      </c>
      <c r="G30" s="276" t="s">
        <v>143</v>
      </c>
      <c r="H30" s="284">
        <v>0.22648067236840891</v>
      </c>
      <c r="I30" s="276">
        <f t="shared" ref="I30:I31" si="3">F30*H30</f>
        <v>33.754679414647413</v>
      </c>
      <c r="J30" s="276"/>
    </row>
    <row r="31" spans="2:10">
      <c r="B31" s="281" t="s">
        <v>162</v>
      </c>
      <c r="C31" s="274"/>
      <c r="D31" s="282" t="s">
        <v>163</v>
      </c>
      <c r="E31" s="283" t="s">
        <v>286</v>
      </c>
      <c r="F31" s="106">
        <f>'9.1 - Summary '!AU36</f>
        <v>175.33000001311302</v>
      </c>
      <c r="G31" s="276" t="s">
        <v>143</v>
      </c>
      <c r="H31" s="284">
        <v>0.22648067236840891</v>
      </c>
      <c r="I31" s="276">
        <f t="shared" si="3"/>
        <v>39.708856289322981</v>
      </c>
    </row>
    <row r="32" spans="2:10">
      <c r="B32" s="281" t="s">
        <v>164</v>
      </c>
      <c r="C32" s="274"/>
      <c r="D32" s="282"/>
      <c r="E32" s="283"/>
      <c r="F32" s="285">
        <f>SUM(F30:F31)</f>
        <v>324.37000003457069</v>
      </c>
      <c r="H32" s="287"/>
      <c r="I32" s="285">
        <f>SUM(I30:I31)</f>
        <v>73.463535703970393</v>
      </c>
      <c r="J32" s="282" t="s">
        <v>338</v>
      </c>
    </row>
    <row r="33" spans="1:11">
      <c r="B33" s="291"/>
      <c r="C33" s="274"/>
      <c r="D33" s="282"/>
      <c r="E33" s="283"/>
      <c r="H33" s="287"/>
      <c r="I33" s="106"/>
      <c r="J33" s="276"/>
    </row>
    <row r="34" spans="1:11">
      <c r="B34" s="288" t="s">
        <v>284</v>
      </c>
      <c r="C34" s="274"/>
      <c r="D34" s="282"/>
      <c r="E34" s="283"/>
      <c r="F34" s="285">
        <f>-F13+F21+F27+F32</f>
        <v>91621.299999989569</v>
      </c>
      <c r="H34" s="287"/>
      <c r="I34" s="285">
        <f>-I13+I21+I27+I32</f>
        <v>20730.754364998484</v>
      </c>
      <c r="J34" s="276"/>
    </row>
    <row r="35" spans="1:11">
      <c r="C35" s="274"/>
      <c r="F35" s="289"/>
      <c r="J35" s="276"/>
    </row>
    <row r="36" spans="1:11">
      <c r="C36" s="274"/>
      <c r="F36" s="289"/>
      <c r="J36" s="276"/>
    </row>
    <row r="37" spans="1:11">
      <c r="C37" s="274"/>
      <c r="F37" s="289"/>
      <c r="J37" s="276"/>
    </row>
    <row r="42" spans="1:11" ht="13.5" thickBot="1">
      <c r="B42" s="290" t="s">
        <v>283</v>
      </c>
    </row>
    <row r="43" spans="1:11" ht="12.75" customHeight="1">
      <c r="A43" s="359" t="s">
        <v>409</v>
      </c>
      <c r="B43" s="360"/>
      <c r="C43" s="360"/>
      <c r="D43" s="360"/>
      <c r="E43" s="360"/>
      <c r="F43" s="360"/>
      <c r="G43" s="360"/>
      <c r="H43" s="360"/>
      <c r="I43" s="360"/>
      <c r="J43" s="361"/>
      <c r="K43" s="292"/>
    </row>
    <row r="44" spans="1:11">
      <c r="A44" s="362"/>
      <c r="B44" s="363"/>
      <c r="C44" s="363"/>
      <c r="D44" s="363"/>
      <c r="E44" s="363"/>
      <c r="F44" s="363"/>
      <c r="G44" s="363"/>
      <c r="H44" s="363"/>
      <c r="I44" s="363"/>
      <c r="J44" s="364"/>
      <c r="K44" s="292"/>
    </row>
    <row r="45" spans="1:11">
      <c r="A45" s="362"/>
      <c r="B45" s="363"/>
      <c r="C45" s="363"/>
      <c r="D45" s="363"/>
      <c r="E45" s="363"/>
      <c r="F45" s="363"/>
      <c r="G45" s="363"/>
      <c r="H45" s="363"/>
      <c r="I45" s="363"/>
      <c r="J45" s="364"/>
      <c r="K45" s="292"/>
    </row>
    <row r="46" spans="1:11">
      <c r="A46" s="362"/>
      <c r="B46" s="363"/>
      <c r="C46" s="363"/>
      <c r="D46" s="363"/>
      <c r="E46" s="363"/>
      <c r="F46" s="363"/>
      <c r="G46" s="363"/>
      <c r="H46" s="363"/>
      <c r="I46" s="363"/>
      <c r="J46" s="364"/>
      <c r="K46" s="292"/>
    </row>
    <row r="47" spans="1:11">
      <c r="A47" s="362"/>
      <c r="B47" s="363"/>
      <c r="C47" s="363"/>
      <c r="D47" s="363"/>
      <c r="E47" s="363"/>
      <c r="F47" s="363"/>
      <c r="G47" s="363"/>
      <c r="H47" s="363"/>
      <c r="I47" s="363"/>
      <c r="J47" s="364"/>
      <c r="K47" s="292"/>
    </row>
    <row r="48" spans="1:11">
      <c r="A48" s="362"/>
      <c r="B48" s="363"/>
      <c r="C48" s="363"/>
      <c r="D48" s="363"/>
      <c r="E48" s="363"/>
      <c r="F48" s="363"/>
      <c r="G48" s="363"/>
      <c r="H48" s="363"/>
      <c r="I48" s="363"/>
      <c r="J48" s="364"/>
      <c r="K48" s="292"/>
    </row>
    <row r="49" spans="1:11">
      <c r="A49" s="362"/>
      <c r="B49" s="363"/>
      <c r="C49" s="363"/>
      <c r="D49" s="363"/>
      <c r="E49" s="363"/>
      <c r="F49" s="363"/>
      <c r="G49" s="363"/>
      <c r="H49" s="363"/>
      <c r="I49" s="363"/>
      <c r="J49" s="364"/>
      <c r="K49" s="292"/>
    </row>
    <row r="50" spans="1:11" ht="13.5" thickBot="1">
      <c r="A50" s="365"/>
      <c r="B50" s="366"/>
      <c r="C50" s="366"/>
      <c r="D50" s="366"/>
      <c r="E50" s="366"/>
      <c r="F50" s="366"/>
      <c r="G50" s="366"/>
      <c r="H50" s="366"/>
      <c r="I50" s="366"/>
      <c r="J50" s="367"/>
      <c r="K50" s="292"/>
    </row>
  </sheetData>
  <mergeCells count="1">
    <mergeCell ref="A43:J50"/>
  </mergeCells>
  <conditionalFormatting sqref="B9:B26">
    <cfRule type="cellIs" dxfId="38" priority="3" stopIfTrue="1" operator="equal">
      <formula>"Adjustment to Income/Expense/Rate Base:"</formula>
    </cfRule>
  </conditionalFormatting>
  <conditionalFormatting sqref="B20:B22">
    <cfRule type="cellIs" dxfId="37" priority="2" stopIfTrue="1" operator="equal">
      <formula>"Title"</formula>
    </cfRule>
  </conditionalFormatting>
  <conditionalFormatting sqref="B27:B34">
    <cfRule type="cellIs" dxfId="36" priority="1" stopIfTrue="1" operator="equal">
      <formula>"Adjustment to Income/Expense/Rate Base:"</formula>
    </cfRule>
  </conditionalFormatting>
  <pageMargins left="0.65" right="0.72" top="1" bottom="1" header="0.5" footer="0.5"/>
  <pageSetup scale="77" orientation="portrait" r:id="rId1"/>
  <headerFooter alignWithMargins="0">
    <oddHeader>&amp;L&amp;"Arial,Regular"&amp;10WA UE-130043
Bench Request 9&amp;R&amp;"Arial,Bold"&amp;10Attachment Bench Request 9</oddHeader>
    <oddFooter>&amp;L&amp;"Arial,Regular"&amp;10&amp;F&amp;C&amp;A</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S123"/>
  <sheetViews>
    <sheetView view="pageBreakPreview" zoomScale="85" zoomScaleNormal="85" zoomScaleSheetLayoutView="85" workbookViewId="0">
      <pane xSplit="3" ySplit="6" topLeftCell="D7" activePane="bottomRight" state="frozen"/>
      <selection activeCell="T91" sqref="T91"/>
      <selection pane="topRight" activeCell="T91" sqref="T91"/>
      <selection pane="bottomLeft" activeCell="T91" sqref="T91"/>
      <selection pane="bottomRight" activeCell="T91" sqref="T91"/>
    </sheetView>
  </sheetViews>
  <sheetFormatPr defaultColWidth="11" defaultRowHeight="10.5"/>
  <cols>
    <col min="1" max="1" width="3" style="3" customWidth="1"/>
    <col min="2" max="2" width="2.6640625" style="3" customWidth="1"/>
    <col min="3" max="3" width="33.1640625" style="3" customWidth="1"/>
    <col min="4" max="4" width="13.83203125" style="3" customWidth="1"/>
    <col min="5" max="5" width="2.33203125" style="3" customWidth="1"/>
    <col min="6" max="6" width="15.83203125" style="3" customWidth="1"/>
    <col min="7" max="8" width="13.33203125" style="3" bestFit="1" customWidth="1"/>
    <col min="9" max="9" width="13.83203125" style="3" bestFit="1" customWidth="1"/>
    <col min="10" max="10" width="11" style="3" customWidth="1"/>
    <col min="11" max="11" width="14.5" style="3" customWidth="1"/>
    <col min="12" max="12" width="11" style="3" customWidth="1"/>
    <col min="13" max="13" width="14.1640625" style="3" bestFit="1" customWidth="1"/>
    <col min="14" max="14" width="20.1640625" style="27" bestFit="1" customWidth="1"/>
    <col min="15" max="15" width="15" style="3" bestFit="1" customWidth="1"/>
    <col min="16" max="16" width="14.6640625" style="3" bestFit="1" customWidth="1"/>
    <col min="17" max="16384" width="11" style="3"/>
  </cols>
  <sheetData>
    <row r="1" spans="1:14">
      <c r="A1" s="4" t="s">
        <v>118</v>
      </c>
      <c r="D1"/>
      <c r="E1" s="9"/>
      <c r="F1" s="8" t="s">
        <v>42</v>
      </c>
    </row>
    <row r="2" spans="1:14">
      <c r="A2" s="20"/>
      <c r="D2"/>
      <c r="E2" s="9"/>
      <c r="F2" s="9" t="s">
        <v>0</v>
      </c>
      <c r="K2" s="50"/>
    </row>
    <row r="3" spans="1:14">
      <c r="A3" s="5" t="s">
        <v>52</v>
      </c>
      <c r="D3" s="10"/>
      <c r="E3" s="10"/>
      <c r="F3" s="8" t="s">
        <v>1</v>
      </c>
    </row>
    <row r="4" spans="1:14">
      <c r="A4" s="358">
        <v>41974</v>
      </c>
      <c r="B4" s="358"/>
      <c r="C4" s="358"/>
      <c r="D4" s="10"/>
      <c r="E4" s="10"/>
      <c r="F4" s="9"/>
    </row>
    <row r="5" spans="1:14">
      <c r="B5" s="5"/>
      <c r="D5" s="11" t="s">
        <v>2</v>
      </c>
      <c r="E5" s="11"/>
      <c r="F5" s="12" t="s">
        <v>3</v>
      </c>
      <c r="G5" s="12" t="s">
        <v>3</v>
      </c>
      <c r="H5" s="12"/>
      <c r="I5" s="12"/>
    </row>
    <row r="6" spans="1:14" s="11" customFormat="1">
      <c r="A6" s="3"/>
      <c r="B6" s="3"/>
      <c r="C6" s="3"/>
      <c r="D6" s="41" t="s">
        <v>117</v>
      </c>
      <c r="E6" s="15"/>
      <c r="F6" s="13" t="s">
        <v>4</v>
      </c>
      <c r="G6" s="13" t="s">
        <v>5</v>
      </c>
      <c r="H6" s="13" t="s">
        <v>6</v>
      </c>
      <c r="I6" s="13" t="s">
        <v>7</v>
      </c>
      <c r="N6" s="28"/>
    </row>
    <row r="7" spans="1:14">
      <c r="A7" s="3" t="s">
        <v>8</v>
      </c>
      <c r="F7" s="6"/>
      <c r="G7" s="6"/>
      <c r="H7" s="6"/>
      <c r="I7" s="6"/>
    </row>
    <row r="8" spans="1:14">
      <c r="B8" t="s">
        <v>9</v>
      </c>
      <c r="D8" s="26">
        <v>12964800</v>
      </c>
      <c r="E8" s="16"/>
      <c r="F8" s="26">
        <f>D8</f>
        <v>12964800</v>
      </c>
      <c r="G8"/>
      <c r="H8"/>
      <c r="I8"/>
    </row>
    <row r="9" spans="1:14" hidden="1">
      <c r="B9"/>
      <c r="D9" s="16"/>
      <c r="E9" s="16"/>
      <c r="F9" s="1"/>
      <c r="G9" s="6"/>
      <c r="H9" s="6"/>
      <c r="I9" s="6"/>
    </row>
    <row r="10" spans="1:14">
      <c r="B10" t="s">
        <v>10</v>
      </c>
      <c r="D10" s="26">
        <v>60832149.490000002</v>
      </c>
      <c r="E10" s="16"/>
      <c r="F10" s="1"/>
      <c r="G10" s="6"/>
      <c r="H10" s="6"/>
      <c r="I10" s="26">
        <f>D10</f>
        <v>60832149.490000002</v>
      </c>
    </row>
    <row r="11" spans="1:14" hidden="1">
      <c r="B11"/>
      <c r="D11" s="16"/>
      <c r="E11" s="16"/>
      <c r="F11" s="1"/>
      <c r="G11" s="6"/>
      <c r="H11" s="6"/>
      <c r="I11" s="6"/>
    </row>
    <row r="12" spans="1:14" hidden="1">
      <c r="B12" t="s">
        <v>11</v>
      </c>
      <c r="D12" s="26">
        <v>0</v>
      </c>
      <c r="E12" s="16"/>
      <c r="F12" s="26">
        <f>D12</f>
        <v>0</v>
      </c>
      <c r="G12" s="6"/>
      <c r="H12" s="6"/>
      <c r="I12" s="6"/>
    </row>
    <row r="13" spans="1:14" hidden="1">
      <c r="C13"/>
      <c r="D13" s="16"/>
      <c r="E13" s="16"/>
      <c r="F13" s="6"/>
      <c r="G13" s="6"/>
      <c r="H13" s="6"/>
      <c r="I13" s="6"/>
    </row>
    <row r="14" spans="1:14" hidden="1">
      <c r="B14" s="3" t="s">
        <v>12</v>
      </c>
      <c r="C14"/>
      <c r="D14" s="26">
        <v>0</v>
      </c>
      <c r="E14" s="16"/>
      <c r="F14" s="6"/>
      <c r="G14" s="6"/>
      <c r="H14" s="26">
        <f>D14</f>
        <v>0</v>
      </c>
      <c r="I14" s="6"/>
    </row>
    <row r="15" spans="1:14" ht="11.25" thickBot="1">
      <c r="D15" s="11" t="s">
        <v>14</v>
      </c>
      <c r="E15" s="14" t="s">
        <v>13</v>
      </c>
      <c r="F15" s="11" t="s">
        <v>14</v>
      </c>
      <c r="G15" s="11" t="s">
        <v>14</v>
      </c>
      <c r="H15" s="11" t="s">
        <v>14</v>
      </c>
      <c r="I15" s="11" t="s">
        <v>14</v>
      </c>
    </row>
    <row r="16" spans="1:14" ht="11.25" thickBot="1">
      <c r="A16" s="3" t="s">
        <v>15</v>
      </c>
      <c r="D16" s="26">
        <f>SUM(D8:D14)</f>
        <v>73796949.49000001</v>
      </c>
      <c r="E16" s="16"/>
      <c r="F16" s="26">
        <f>SUM(F8:F14)</f>
        <v>12964800</v>
      </c>
      <c r="G16" s="26">
        <f>SUM(G8:G14)</f>
        <v>0</v>
      </c>
      <c r="H16" s="26">
        <f>SUM(H8:H14)</f>
        <v>0</v>
      </c>
      <c r="I16" s="26">
        <f>SUM(I8:I14)</f>
        <v>60832149.490000002</v>
      </c>
      <c r="K16" s="36">
        <v>0</v>
      </c>
      <c r="L16" s="24" t="s">
        <v>40</v>
      </c>
      <c r="M16" s="37">
        <f>D16-SUM(F16:I16)</f>
        <v>0</v>
      </c>
    </row>
    <row r="17" spans="1:19">
      <c r="D17" s="16"/>
      <c r="E17" s="16"/>
      <c r="F17" s="16"/>
      <c r="G17" s="16"/>
      <c r="H17" s="16"/>
      <c r="I17" s="16"/>
      <c r="P17" s="8" t="s">
        <v>67</v>
      </c>
    </row>
    <row r="18" spans="1:19">
      <c r="D18"/>
      <c r="E18" s="6"/>
      <c r="F18" s="6"/>
      <c r="G18" s="6"/>
      <c r="H18" s="6"/>
      <c r="I18" s="6"/>
      <c r="N18" s="39"/>
      <c r="O18" s="35"/>
      <c r="P18" s="48">
        <f>+A4</f>
        <v>41974</v>
      </c>
    </row>
    <row r="19" spans="1:19" ht="11.25">
      <c r="A19" s="3" t="s">
        <v>16</v>
      </c>
      <c r="D19" s="16"/>
      <c r="E19" s="16"/>
      <c r="F19" s="45"/>
      <c r="G19" s="6"/>
      <c r="H19" s="6"/>
      <c r="I19" s="6"/>
      <c r="N19" s="29" t="s">
        <v>56</v>
      </c>
      <c r="O19" s="42">
        <v>0.42634034956164213</v>
      </c>
      <c r="P19" s="16">
        <v>14785516.07</v>
      </c>
      <c r="Q19" s="44"/>
      <c r="R19" s="30"/>
      <c r="S19" s="16"/>
    </row>
    <row r="20" spans="1:19" ht="11.25" hidden="1">
      <c r="B20"/>
      <c r="C20" s="3" t="s">
        <v>17</v>
      </c>
      <c r="D20" s="26">
        <v>0</v>
      </c>
      <c r="E20" s="16"/>
      <c r="F20" s="26">
        <f>D20</f>
        <v>0</v>
      </c>
      <c r="G20" s="6"/>
      <c r="H20" s="6"/>
      <c r="I20" s="6"/>
      <c r="N20" s="29" t="s">
        <v>58</v>
      </c>
      <c r="O20" s="42">
        <f>1-O19</f>
        <v>0.57365965043835787</v>
      </c>
      <c r="P20" s="16">
        <v>19894560.739999998</v>
      </c>
      <c r="Q20" s="44"/>
      <c r="R20" s="30"/>
      <c r="S20" s="16"/>
    </row>
    <row r="21" spans="1:19" ht="11.25" hidden="1">
      <c r="B21"/>
      <c r="C21" s="3" t="s">
        <v>18</v>
      </c>
      <c r="D21" s="26">
        <v>0</v>
      </c>
      <c r="E21" s="16"/>
      <c r="F21" s="26">
        <f>D21-G21</f>
        <v>0</v>
      </c>
      <c r="G21" s="26">
        <v>0</v>
      </c>
      <c r="H21" s="6"/>
      <c r="I21" s="6"/>
      <c r="N21" s="29" t="s">
        <v>57</v>
      </c>
      <c r="O21" s="42">
        <f>IFERROR(P21/(P21+P22),0)</f>
        <v>0</v>
      </c>
      <c r="P21" s="16">
        <v>0</v>
      </c>
      <c r="Q21" s="44"/>
      <c r="R21" s="30"/>
      <c r="S21" s="16"/>
    </row>
    <row r="22" spans="1:19" ht="11.25">
      <c r="B22"/>
      <c r="C22" s="3" t="s">
        <v>19</v>
      </c>
      <c r="D22" s="26">
        <v>-148246.80999999959</v>
      </c>
      <c r="E22" s="16"/>
      <c r="F22" s="26">
        <f>D22*0.3</f>
        <v>-44474.042999999874</v>
      </c>
      <c r="G22" s="26">
        <f>D22*0.7</f>
        <v>-103772.7669999997</v>
      </c>
      <c r="H22" s="6"/>
      <c r="I22" s="6"/>
      <c r="N22" s="29" t="s">
        <v>59</v>
      </c>
      <c r="O22" s="42">
        <f>1-O21</f>
        <v>1</v>
      </c>
      <c r="P22" s="16">
        <v>0</v>
      </c>
      <c r="Q22" s="44"/>
      <c r="R22" s="30"/>
      <c r="S22" s="16"/>
    </row>
    <row r="23" spans="1:19">
      <c r="B23"/>
      <c r="C23" s="3" t="s">
        <v>20</v>
      </c>
      <c r="D23" s="26">
        <v>270000</v>
      </c>
      <c r="E23" s="16"/>
      <c r="F23" s="26">
        <f>D23*0.2073628</f>
        <v>55987.956000000006</v>
      </c>
      <c r="G23" s="26">
        <f>D23-F23</f>
        <v>214012.04399999999</v>
      </c>
      <c r="H23" s="6"/>
      <c r="I23" s="6"/>
    </row>
    <row r="24" spans="1:19">
      <c r="B24"/>
      <c r="C24" s="3" t="s">
        <v>21</v>
      </c>
      <c r="D24" s="26">
        <f>N27</f>
        <v>76897305.959999993</v>
      </c>
      <c r="E24" s="16"/>
      <c r="F24" s="31">
        <f>(N25+N24*O19)*K24</f>
        <v>2517906.851172646</v>
      </c>
      <c r="G24" s="31">
        <f>(N25+N24*O19)*L24</f>
        <v>12267609.214563949</v>
      </c>
      <c r="H24" s="6"/>
      <c r="I24" s="31">
        <f>(N26+N24*O20)</f>
        <v>62111789.894263402</v>
      </c>
      <c r="K24" s="25">
        <v>0.17029549999999999</v>
      </c>
      <c r="L24" s="25">
        <f>1-K24</f>
        <v>0.82970450000000007</v>
      </c>
      <c r="N24" s="26">
        <v>34680076.799999997</v>
      </c>
      <c r="O24" t="s">
        <v>53</v>
      </c>
    </row>
    <row r="25" spans="1:19">
      <c r="B25"/>
      <c r="C25" s="49" t="s">
        <v>90</v>
      </c>
      <c r="D25" s="26">
        <v>0</v>
      </c>
      <c r="E25" s="16"/>
      <c r="F25" s="6"/>
      <c r="G25" s="26">
        <f>D25</f>
        <v>0</v>
      </c>
      <c r="H25" s="6"/>
      <c r="I25" s="26"/>
      <c r="N25" s="26">
        <v>0</v>
      </c>
      <c r="O25" t="s">
        <v>50</v>
      </c>
    </row>
    <row r="26" spans="1:19">
      <c r="B26" s="40" t="s">
        <v>65</v>
      </c>
      <c r="C26" s="14"/>
      <c r="D26" s="11" t="s">
        <v>14</v>
      </c>
      <c r="E26" s="14" t="s">
        <v>13</v>
      </c>
      <c r="F26" s="11" t="s">
        <v>14</v>
      </c>
      <c r="G26" s="11" t="s">
        <v>14</v>
      </c>
      <c r="H26" s="11" t="s">
        <v>14</v>
      </c>
      <c r="I26" s="11" t="s">
        <v>14</v>
      </c>
      <c r="K26" s="25"/>
      <c r="L26" s="25"/>
      <c r="N26" s="43">
        <v>42217229.159999996</v>
      </c>
      <c r="O26" t="s">
        <v>49</v>
      </c>
    </row>
    <row r="27" spans="1:19">
      <c r="B27" s="3" t="s">
        <v>22</v>
      </c>
      <c r="C27"/>
      <c r="D27" s="26">
        <f>SUM(D20:D26)</f>
        <v>77019059.149999991</v>
      </c>
      <c r="E27" s="16"/>
      <c r="F27" s="26">
        <f>SUM(F20:F26)</f>
        <v>2529420.7641726462</v>
      </c>
      <c r="G27" s="26">
        <f>SUM(G20:G26)</f>
        <v>12377848.49156395</v>
      </c>
      <c r="H27" s="26">
        <f>SUM(H20:H26)</f>
        <v>0</v>
      </c>
      <c r="I27" s="26">
        <f>SUM(I20:I26)</f>
        <v>62111789.894263402</v>
      </c>
      <c r="K27" s="25"/>
      <c r="L27" s="25"/>
      <c r="N27" s="26">
        <f>SUM(N24:N26)</f>
        <v>76897305.959999993</v>
      </c>
      <c r="O27"/>
    </row>
    <row r="28" spans="1:19" ht="12.75">
      <c r="D28" s="1"/>
      <c r="E28" s="16"/>
      <c r="F28" s="1"/>
      <c r="G28" s="1"/>
      <c r="H28" s="6"/>
      <c r="I28" s="6"/>
      <c r="K28" s="25"/>
      <c r="L28" s="25"/>
      <c r="N28" s="34"/>
      <c r="O28" s="32"/>
    </row>
    <row r="29" spans="1:19" hidden="1">
      <c r="B29"/>
      <c r="C29" s="3" t="s">
        <v>41</v>
      </c>
      <c r="D29" s="26">
        <v>0</v>
      </c>
      <c r="E29" s="16"/>
      <c r="F29" s="26"/>
      <c r="G29" s="26">
        <f>D29</f>
        <v>0</v>
      </c>
      <c r="H29" s="6"/>
      <c r="I29" s="6"/>
      <c r="K29" s="25"/>
      <c r="L29" s="25"/>
      <c r="N29" s="26">
        <v>0</v>
      </c>
      <c r="O29" t="s">
        <v>54</v>
      </c>
    </row>
    <row r="30" spans="1:19" hidden="1">
      <c r="B30"/>
      <c r="C30" s="3" t="s">
        <v>23</v>
      </c>
      <c r="D30" s="26">
        <v>0</v>
      </c>
      <c r="E30" s="16"/>
      <c r="F30" s="26"/>
      <c r="G30" s="26">
        <f>D30</f>
        <v>0</v>
      </c>
      <c r="H30" s="6"/>
      <c r="I30" s="6"/>
      <c r="K30" s="25"/>
      <c r="L30" s="25"/>
      <c r="M30" s="21"/>
      <c r="N30" s="26">
        <v>0</v>
      </c>
      <c r="O30" t="s">
        <v>51</v>
      </c>
    </row>
    <row r="31" spans="1:19" hidden="1">
      <c r="B31"/>
      <c r="C31" s="3" t="s">
        <v>24</v>
      </c>
      <c r="D31" s="26">
        <f>N32</f>
        <v>0</v>
      </c>
      <c r="E31" s="16"/>
      <c r="F31" s="31">
        <f>(N30+N29*O21)*K31</f>
        <v>0</v>
      </c>
      <c r="G31" s="31">
        <f>(N30+N29*O21)*L31</f>
        <v>0</v>
      </c>
      <c r="H31" s="6"/>
      <c r="I31" s="31">
        <f>(N31+N29*O22)</f>
        <v>0</v>
      </c>
      <c r="K31" s="25">
        <v>0.7</v>
      </c>
      <c r="L31" s="25">
        <f>1-K31</f>
        <v>0.30000000000000004</v>
      </c>
      <c r="N31" s="43">
        <v>0</v>
      </c>
      <c r="O31" t="s">
        <v>48</v>
      </c>
    </row>
    <row r="32" spans="1:19" hidden="1">
      <c r="B32"/>
      <c r="C32" s="3" t="s">
        <v>25</v>
      </c>
      <c r="D32" s="26">
        <v>0</v>
      </c>
      <c r="E32" s="16"/>
      <c r="F32" s="26">
        <f>D32</f>
        <v>0</v>
      </c>
      <c r="G32" s="26">
        <v>0</v>
      </c>
      <c r="H32" s="6"/>
      <c r="I32" s="6"/>
      <c r="N32" s="33">
        <f>SUM(N29:N31)</f>
        <v>0</v>
      </c>
      <c r="O32"/>
    </row>
    <row r="33" spans="2:18" hidden="1">
      <c r="B33"/>
      <c r="C33" s="3" t="s">
        <v>89</v>
      </c>
      <c r="D33" s="26">
        <v>0</v>
      </c>
      <c r="E33" s="16"/>
      <c r="F33" s="6"/>
      <c r="G33" s="26">
        <f>D33</f>
        <v>0</v>
      </c>
      <c r="H33" s="6"/>
      <c r="I33" s="6"/>
      <c r="N33" s="33"/>
      <c r="O33"/>
    </row>
    <row r="34" spans="2:18" hidden="1">
      <c r="B34"/>
      <c r="C34" s="3" t="s">
        <v>26</v>
      </c>
      <c r="D34" s="26">
        <v>0</v>
      </c>
      <c r="E34" s="16"/>
      <c r="F34" s="26">
        <v>0</v>
      </c>
      <c r="G34" s="26">
        <v>0</v>
      </c>
      <c r="H34" s="6"/>
      <c r="I34" s="6"/>
    </row>
    <row r="35" spans="2:18" hidden="1">
      <c r="B35" s="40" t="s">
        <v>65</v>
      </c>
      <c r="C35" s="14"/>
      <c r="D35" s="11" t="s">
        <v>14</v>
      </c>
      <c r="E35" s="14" t="s">
        <v>13</v>
      </c>
      <c r="F35" s="11" t="s">
        <v>14</v>
      </c>
      <c r="G35" s="11" t="s">
        <v>14</v>
      </c>
      <c r="H35" s="11" t="s">
        <v>14</v>
      </c>
      <c r="I35" s="11" t="s">
        <v>14</v>
      </c>
      <c r="R35" s="30"/>
    </row>
    <row r="36" spans="2:18" hidden="1">
      <c r="B36" s="3" t="s">
        <v>27</v>
      </c>
      <c r="C36"/>
      <c r="D36" s="26">
        <f>SUM(D29:D35)</f>
        <v>0</v>
      </c>
      <c r="E36" s="16"/>
      <c r="F36" s="26">
        <f>SUM(F29:F35)</f>
        <v>0</v>
      </c>
      <c r="G36" s="26">
        <f>SUM(G29:G35)</f>
        <v>0</v>
      </c>
      <c r="H36" s="26">
        <f>SUM(H29:H35)</f>
        <v>0</v>
      </c>
      <c r="I36" s="26">
        <f>SUM(I29:I35)</f>
        <v>0</v>
      </c>
    </row>
    <row r="37" spans="2:18">
      <c r="D37" s="16"/>
      <c r="E37" s="16"/>
      <c r="F37" s="6"/>
      <c r="G37" s="6"/>
      <c r="H37" s="6"/>
      <c r="I37" s="6"/>
      <c r="N37" s="3"/>
    </row>
    <row r="38" spans="2:18" hidden="1">
      <c r="B38"/>
      <c r="C38" s="3" t="s">
        <v>68</v>
      </c>
      <c r="D38" s="26">
        <v>0</v>
      </c>
      <c r="E38" s="16"/>
      <c r="F38" s="6"/>
      <c r="G38" s="6"/>
      <c r="H38" s="6"/>
      <c r="I38" s="26">
        <f t="shared" ref="I38:I65" si="0">IF(K38="Post Merger",D38,0)</f>
        <v>0</v>
      </c>
      <c r="K38" s="3" t="s">
        <v>10</v>
      </c>
    </row>
    <row r="39" spans="2:18" hidden="1">
      <c r="B39"/>
      <c r="C39" s="3" t="s">
        <v>55</v>
      </c>
      <c r="D39" s="26">
        <v>0</v>
      </c>
      <c r="E39" s="16"/>
      <c r="F39" s="6"/>
      <c r="G39" s="6"/>
      <c r="H39" s="6"/>
      <c r="I39" s="26">
        <f t="shared" si="0"/>
        <v>0</v>
      </c>
      <c r="K39" s="3" t="s">
        <v>10</v>
      </c>
    </row>
    <row r="40" spans="2:18" hidden="1">
      <c r="B40"/>
      <c r="C40" s="3" t="s">
        <v>69</v>
      </c>
      <c r="D40" s="26">
        <v>0</v>
      </c>
      <c r="E40" s="16"/>
      <c r="F40" s="6"/>
      <c r="G40" s="6"/>
      <c r="H40" s="6"/>
      <c r="I40" s="26">
        <f t="shared" si="0"/>
        <v>0</v>
      </c>
      <c r="K40" s="3" t="s">
        <v>10</v>
      </c>
    </row>
    <row r="41" spans="2:18" hidden="1">
      <c r="B41"/>
      <c r="C41" s="3" t="s">
        <v>88</v>
      </c>
      <c r="D41" s="26">
        <v>0</v>
      </c>
      <c r="E41" s="16"/>
      <c r="F41" s="6"/>
      <c r="G41" s="6"/>
      <c r="H41" s="6"/>
      <c r="I41" s="26">
        <f t="shared" si="0"/>
        <v>0</v>
      </c>
      <c r="K41" s="3" t="s">
        <v>10</v>
      </c>
    </row>
    <row r="42" spans="2:18" hidden="1">
      <c r="B42"/>
      <c r="C42" s="3" t="s">
        <v>70</v>
      </c>
      <c r="D42" s="26">
        <v>0</v>
      </c>
      <c r="E42" s="16"/>
      <c r="F42" s="6"/>
      <c r="G42" s="6"/>
      <c r="H42" s="6"/>
      <c r="I42" s="26">
        <f t="shared" si="0"/>
        <v>0</v>
      </c>
      <c r="K42" s="3" t="s">
        <v>10</v>
      </c>
    </row>
    <row r="43" spans="2:18">
      <c r="B43"/>
      <c r="C43" s="3" t="s">
        <v>71</v>
      </c>
      <c r="D43" s="26">
        <v>4575693.2</v>
      </c>
      <c r="E43" s="16"/>
      <c r="F43" s="6"/>
      <c r="G43" s="6"/>
      <c r="H43" s="6"/>
      <c r="I43" s="26">
        <f t="shared" si="0"/>
        <v>4575693.2</v>
      </c>
      <c r="K43" s="3" t="s">
        <v>10</v>
      </c>
    </row>
    <row r="44" spans="2:18" hidden="1">
      <c r="B44"/>
      <c r="C44" s="3" t="s">
        <v>72</v>
      </c>
      <c r="D44" s="26">
        <v>0</v>
      </c>
      <c r="E44" s="16"/>
      <c r="F44" s="6"/>
      <c r="G44" s="6"/>
      <c r="H44" s="6"/>
      <c r="I44" s="26">
        <f t="shared" si="0"/>
        <v>0</v>
      </c>
      <c r="K44" s="3" t="s">
        <v>10</v>
      </c>
    </row>
    <row r="45" spans="2:18">
      <c r="B45"/>
      <c r="C45" s="3" t="s">
        <v>46</v>
      </c>
      <c r="D45" s="26">
        <v>8005931.2199999997</v>
      </c>
      <c r="E45" s="16"/>
      <c r="F45" s="6"/>
      <c r="G45" s="6"/>
      <c r="H45" s="6"/>
      <c r="I45" s="26">
        <f t="shared" si="0"/>
        <v>8005931.2199999997</v>
      </c>
      <c r="K45" s="3" t="s">
        <v>10</v>
      </c>
    </row>
    <row r="46" spans="2:18">
      <c r="B46"/>
      <c r="C46" s="3" t="s">
        <v>73</v>
      </c>
      <c r="D46" s="26">
        <v>84152845.239999995</v>
      </c>
      <c r="E46" s="16"/>
      <c r="F46" s="6"/>
      <c r="G46" s="6"/>
      <c r="H46" s="6"/>
      <c r="I46" s="26">
        <f t="shared" si="0"/>
        <v>84152845.239999995</v>
      </c>
      <c r="K46" s="3" t="s">
        <v>10</v>
      </c>
    </row>
    <row r="47" spans="2:18" hidden="1">
      <c r="B47"/>
      <c r="C47" s="3" t="s">
        <v>74</v>
      </c>
      <c r="D47" s="26">
        <v>0</v>
      </c>
      <c r="E47" s="16"/>
      <c r="F47" s="6"/>
      <c r="G47" s="6"/>
      <c r="H47" s="6"/>
      <c r="I47" s="26">
        <f t="shared" si="0"/>
        <v>0</v>
      </c>
      <c r="K47" s="3" t="s">
        <v>10</v>
      </c>
    </row>
    <row r="48" spans="2:18" hidden="1">
      <c r="B48"/>
      <c r="C48" s="3" t="s">
        <v>75</v>
      </c>
      <c r="D48" s="26">
        <v>0</v>
      </c>
      <c r="E48" s="16"/>
      <c r="F48" s="6"/>
      <c r="G48" s="6"/>
      <c r="H48" s="6"/>
      <c r="I48" s="26">
        <f t="shared" si="0"/>
        <v>0</v>
      </c>
      <c r="K48" s="3" t="s">
        <v>10</v>
      </c>
    </row>
    <row r="49" spans="2:11" hidden="1">
      <c r="B49"/>
      <c r="C49" s="3" t="s">
        <v>45</v>
      </c>
      <c r="D49" s="26">
        <v>0</v>
      </c>
      <c r="E49" s="16"/>
      <c r="F49" s="6"/>
      <c r="G49" s="6"/>
      <c r="H49" s="6"/>
      <c r="I49" s="26">
        <f t="shared" si="0"/>
        <v>0</v>
      </c>
      <c r="K49" s="3" t="s">
        <v>10</v>
      </c>
    </row>
    <row r="50" spans="2:11" hidden="1">
      <c r="B50"/>
      <c r="C50" s="22" t="s">
        <v>76</v>
      </c>
      <c r="D50" s="26">
        <v>0</v>
      </c>
      <c r="E50" s="16"/>
      <c r="F50" s="6"/>
      <c r="G50" s="6"/>
      <c r="H50" s="6"/>
      <c r="I50" s="26">
        <f t="shared" si="0"/>
        <v>0</v>
      </c>
      <c r="K50" s="3" t="s">
        <v>10</v>
      </c>
    </row>
    <row r="51" spans="2:11" hidden="1">
      <c r="B51"/>
      <c r="C51" s="3" t="s">
        <v>77</v>
      </c>
      <c r="D51" s="26">
        <v>0</v>
      </c>
      <c r="E51" s="16"/>
      <c r="F51" s="6"/>
      <c r="G51" s="6"/>
      <c r="H51" s="6"/>
      <c r="I51" s="26">
        <f t="shared" si="0"/>
        <v>0</v>
      </c>
      <c r="K51" s="3" t="s">
        <v>10</v>
      </c>
    </row>
    <row r="52" spans="2:11" hidden="1">
      <c r="B52"/>
      <c r="C52" s="3" t="s">
        <v>78</v>
      </c>
      <c r="D52" s="26">
        <v>0</v>
      </c>
      <c r="E52" s="16"/>
      <c r="F52" s="6"/>
      <c r="G52" s="6"/>
      <c r="H52" s="6"/>
      <c r="I52" s="26">
        <f t="shared" si="0"/>
        <v>0</v>
      </c>
      <c r="K52" s="3" t="s">
        <v>10</v>
      </c>
    </row>
    <row r="53" spans="2:11" hidden="1">
      <c r="B53"/>
      <c r="C53" s="3" t="s">
        <v>79</v>
      </c>
      <c r="D53" s="26">
        <v>0</v>
      </c>
      <c r="E53" s="16"/>
      <c r="F53" s="6"/>
      <c r="G53" s="6"/>
      <c r="H53" s="6"/>
      <c r="I53" s="26">
        <f t="shared" si="0"/>
        <v>0</v>
      </c>
      <c r="K53" s="3" t="s">
        <v>10</v>
      </c>
    </row>
    <row r="54" spans="2:11" hidden="1">
      <c r="B54"/>
      <c r="C54" s="3" t="s">
        <v>80</v>
      </c>
      <c r="D54" s="26">
        <v>0</v>
      </c>
      <c r="E54" s="16"/>
      <c r="F54" s="6"/>
      <c r="G54" s="6"/>
      <c r="H54" s="6"/>
      <c r="I54" s="26">
        <f t="shared" si="0"/>
        <v>0</v>
      </c>
      <c r="K54" s="3" t="s">
        <v>10</v>
      </c>
    </row>
    <row r="55" spans="2:11" hidden="1">
      <c r="B55"/>
      <c r="C55" s="3" t="s">
        <v>81</v>
      </c>
      <c r="D55" s="26">
        <v>0</v>
      </c>
      <c r="E55" s="16"/>
      <c r="F55" s="6"/>
      <c r="G55" s="6"/>
      <c r="H55" s="6"/>
      <c r="I55" s="26">
        <f t="shared" si="0"/>
        <v>0</v>
      </c>
      <c r="K55" s="3" t="s">
        <v>10</v>
      </c>
    </row>
    <row r="56" spans="2:11" hidden="1">
      <c r="B56"/>
      <c r="C56" s="3" t="s">
        <v>82</v>
      </c>
      <c r="D56" s="26">
        <v>0</v>
      </c>
      <c r="E56" s="16"/>
      <c r="F56" s="6"/>
      <c r="G56" s="6"/>
      <c r="H56" s="6"/>
      <c r="I56" s="26">
        <f t="shared" si="0"/>
        <v>0</v>
      </c>
      <c r="K56" s="3" t="s">
        <v>10</v>
      </c>
    </row>
    <row r="57" spans="2:11" hidden="1">
      <c r="B57"/>
      <c r="C57" s="27" t="s">
        <v>83</v>
      </c>
      <c r="D57" s="26">
        <v>0</v>
      </c>
      <c r="E57" s="16"/>
      <c r="F57" s="6"/>
      <c r="G57" s="6"/>
      <c r="H57" s="6"/>
      <c r="I57" s="26">
        <f t="shared" si="0"/>
        <v>0</v>
      </c>
      <c r="K57" s="3" t="s">
        <v>10</v>
      </c>
    </row>
    <row r="58" spans="2:11" hidden="1">
      <c r="B58"/>
      <c r="C58" s="27" t="s">
        <v>92</v>
      </c>
      <c r="D58" s="26">
        <v>0</v>
      </c>
      <c r="E58" s="16"/>
      <c r="F58" s="6"/>
      <c r="G58" s="6"/>
      <c r="H58" s="6"/>
      <c r="I58" s="26">
        <f t="shared" si="0"/>
        <v>0</v>
      </c>
      <c r="K58" s="3" t="s">
        <v>10</v>
      </c>
    </row>
    <row r="59" spans="2:11" hidden="1">
      <c r="B59"/>
      <c r="C59" s="3" t="s">
        <v>84</v>
      </c>
      <c r="D59" s="26">
        <v>0</v>
      </c>
      <c r="E59" s="16"/>
      <c r="F59" s="6"/>
      <c r="G59" s="6"/>
      <c r="H59" s="6"/>
      <c r="I59" s="26">
        <f t="shared" si="0"/>
        <v>0</v>
      </c>
      <c r="K59" s="3" t="s">
        <v>10</v>
      </c>
    </row>
    <row r="60" spans="2:11" hidden="1">
      <c r="B60"/>
      <c r="C60" s="3" t="s">
        <v>95</v>
      </c>
      <c r="D60" s="26">
        <v>0</v>
      </c>
      <c r="E60" s="16"/>
      <c r="F60" s="6"/>
      <c r="G60" s="6"/>
      <c r="H60" s="6"/>
      <c r="I60" s="26">
        <f t="shared" si="0"/>
        <v>0</v>
      </c>
      <c r="K60" s="3" t="s">
        <v>10</v>
      </c>
    </row>
    <row r="61" spans="2:11" hidden="1">
      <c r="B61"/>
      <c r="C61" s="3" t="s">
        <v>85</v>
      </c>
      <c r="D61" s="26">
        <v>0</v>
      </c>
      <c r="E61" s="16"/>
      <c r="F61" s="6"/>
      <c r="G61" s="6"/>
      <c r="H61" s="6"/>
      <c r="I61" s="26">
        <f t="shared" si="0"/>
        <v>0</v>
      </c>
      <c r="K61" s="3" t="s">
        <v>10</v>
      </c>
    </row>
    <row r="62" spans="2:11" hidden="1">
      <c r="B62"/>
      <c r="C62" s="3" t="s">
        <v>86</v>
      </c>
      <c r="D62" s="26">
        <v>0</v>
      </c>
      <c r="E62" s="16"/>
      <c r="F62" s="6"/>
      <c r="G62" s="6"/>
      <c r="H62" s="6"/>
      <c r="I62" s="26">
        <f t="shared" si="0"/>
        <v>0</v>
      </c>
      <c r="K62" s="3" t="s">
        <v>10</v>
      </c>
    </row>
    <row r="63" spans="2:11" hidden="1">
      <c r="B63"/>
      <c r="C63" s="3" t="s">
        <v>94</v>
      </c>
      <c r="D63" s="26">
        <v>0</v>
      </c>
      <c r="E63" s="16"/>
      <c r="F63" s="6"/>
      <c r="G63" s="6"/>
      <c r="H63" s="6"/>
      <c r="I63" s="26">
        <f t="shared" si="0"/>
        <v>0</v>
      </c>
      <c r="K63" s="3" t="s">
        <v>10</v>
      </c>
    </row>
    <row r="64" spans="2:11" hidden="1">
      <c r="B64"/>
      <c r="C64" s="27" t="s">
        <v>87</v>
      </c>
      <c r="D64" s="26">
        <v>0</v>
      </c>
      <c r="E64" s="16"/>
      <c r="F64" s="6"/>
      <c r="G64" s="6"/>
      <c r="H64" s="6"/>
      <c r="I64" s="26">
        <f t="shared" si="0"/>
        <v>0</v>
      </c>
      <c r="K64" s="3" t="s">
        <v>10</v>
      </c>
    </row>
    <row r="65" spans="1:16" hidden="1">
      <c r="B65"/>
      <c r="C65" s="3" t="s">
        <v>93</v>
      </c>
      <c r="D65" s="26">
        <v>0</v>
      </c>
      <c r="E65" s="16"/>
      <c r="F65" s="6"/>
      <c r="G65" s="6"/>
      <c r="H65" s="6"/>
      <c r="I65" s="26">
        <f t="shared" si="0"/>
        <v>0</v>
      </c>
      <c r="K65" s="3" t="s">
        <v>10</v>
      </c>
    </row>
    <row r="66" spans="1:16" ht="11.25" thickBot="1">
      <c r="B66"/>
      <c r="C66" s="27"/>
      <c r="D66" s="26"/>
      <c r="E66" s="16"/>
      <c r="F66" s="6"/>
      <c r="G66" s="6"/>
      <c r="H66" s="6"/>
      <c r="I66" s="26"/>
    </row>
    <row r="67" spans="1:16" hidden="1">
      <c r="B67" s="22" t="s">
        <v>64</v>
      </c>
      <c r="C67" s="27"/>
      <c r="D67" s="26"/>
      <c r="E67" s="16"/>
      <c r="F67" s="6"/>
      <c r="G67" s="6"/>
      <c r="H67" s="6"/>
      <c r="I67" s="26"/>
    </row>
    <row r="68" spans="1:16" ht="11.25" hidden="1" thickBot="1">
      <c r="B68"/>
      <c r="C68" s="3" t="s">
        <v>96</v>
      </c>
      <c r="D68" s="26">
        <v>0</v>
      </c>
      <c r="E68" s="16"/>
      <c r="F68" s="6"/>
      <c r="G68" s="6"/>
      <c r="H68" s="6"/>
      <c r="I68" s="26">
        <f>IF(K68="Post Merger",D68,0)</f>
        <v>0</v>
      </c>
      <c r="K68" s="3" t="s">
        <v>10</v>
      </c>
    </row>
    <row r="69" spans="1:16" ht="11.25" thickBot="1">
      <c r="B69"/>
      <c r="D69" s="16"/>
      <c r="E69" s="16"/>
      <c r="F69" s="6"/>
      <c r="G69" s="6"/>
      <c r="H69" s="6"/>
      <c r="I69" s="6"/>
      <c r="K69" s="36">
        <v>0</v>
      </c>
      <c r="L69" s="24" t="s">
        <v>40</v>
      </c>
      <c r="M69" s="37">
        <v>0</v>
      </c>
    </row>
    <row r="70" spans="1:16">
      <c r="B70"/>
      <c r="C70" t="s">
        <v>115</v>
      </c>
      <c r="D70" s="26">
        <v>67552601.920000002</v>
      </c>
      <c r="E70" s="16"/>
      <c r="F70" s="6"/>
      <c r="G70" s="6"/>
      <c r="H70" s="6"/>
      <c r="I70" s="26">
        <f>D70</f>
        <v>67552601.920000002</v>
      </c>
    </row>
    <row r="71" spans="1:16" ht="11.25" thickBot="1">
      <c r="B71" s="40" t="s">
        <v>65</v>
      </c>
      <c r="C71" s="14"/>
      <c r="D71" s="11" t="s">
        <v>14</v>
      </c>
      <c r="E71" s="14" t="s">
        <v>13</v>
      </c>
      <c r="F71" s="11" t="s">
        <v>14</v>
      </c>
      <c r="G71" s="11" t="s">
        <v>14</v>
      </c>
      <c r="H71" s="11" t="s">
        <v>14</v>
      </c>
      <c r="I71" s="11" t="s">
        <v>14</v>
      </c>
    </row>
    <row r="72" spans="1:16" ht="11.25" thickBot="1">
      <c r="B72" s="3" t="s">
        <v>28</v>
      </c>
      <c r="C72"/>
      <c r="D72" s="26">
        <f>SUM(D38:D70)</f>
        <v>164287071.57999998</v>
      </c>
      <c r="E72" s="16"/>
      <c r="F72" s="26">
        <f>SUM(F38:F70)</f>
        <v>0</v>
      </c>
      <c r="G72" s="26">
        <f>SUM(G38:G70)</f>
        <v>0</v>
      </c>
      <c r="H72" s="26">
        <f>SUM(H38:H70)</f>
        <v>0</v>
      </c>
      <c r="I72" s="26">
        <f>SUM(I38:I70)</f>
        <v>164287071.57999998</v>
      </c>
      <c r="K72" s="36"/>
      <c r="L72" s="24" t="s">
        <v>40</v>
      </c>
      <c r="M72" s="37">
        <f>D72-SUM(F72:I72)</f>
        <v>0</v>
      </c>
    </row>
    <row r="73" spans="1:16">
      <c r="B73" s="3" t="s">
        <v>116</v>
      </c>
      <c r="D73" s="26">
        <v>663166.31000000006</v>
      </c>
      <c r="E73" s="16"/>
      <c r="F73" s="14"/>
      <c r="H73" s="26"/>
      <c r="I73" s="26">
        <f>D73</f>
        <v>663166.31000000006</v>
      </c>
      <c r="J73"/>
      <c r="K73"/>
      <c r="L73"/>
      <c r="M73"/>
    </row>
    <row r="74" spans="1:16">
      <c r="B74" s="3" t="s">
        <v>29</v>
      </c>
      <c r="C74"/>
      <c r="D74" s="26">
        <v>0</v>
      </c>
      <c r="E74" s="16"/>
      <c r="F74" s="26"/>
      <c r="G74" s="26"/>
      <c r="H74" s="26">
        <f>D74</f>
        <v>0</v>
      </c>
      <c r="I74" s="6"/>
    </row>
    <row r="75" spans="1:16" ht="11.25" thickBot="1">
      <c r="D75" s="11" t="s">
        <v>14</v>
      </c>
      <c r="E75" s="14" t="s">
        <v>13</v>
      </c>
      <c r="F75" s="11" t="s">
        <v>14</v>
      </c>
      <c r="G75" s="11" t="s">
        <v>14</v>
      </c>
      <c r="H75" s="11" t="s">
        <v>14</v>
      </c>
      <c r="I75" s="11" t="s">
        <v>14</v>
      </c>
    </row>
    <row r="76" spans="1:16" ht="11.25" thickBot="1">
      <c r="A76" s="3" t="s">
        <v>30</v>
      </c>
      <c r="D76" s="26">
        <f>D72+D73+D74+D36+D27</f>
        <v>241969297.03999996</v>
      </c>
      <c r="E76" s="16"/>
      <c r="F76" s="26">
        <f>F72+F73+F74+F36+F27</f>
        <v>2529420.7641726462</v>
      </c>
      <c r="G76" s="26">
        <f>G72+G73+G74+G36+G27</f>
        <v>12377848.49156395</v>
      </c>
      <c r="H76" s="26">
        <f>H72+H73+H74+H36+H27</f>
        <v>0</v>
      </c>
      <c r="I76" s="26">
        <f>I72+I73+I74+I36+I27</f>
        <v>227062027.78426337</v>
      </c>
      <c r="K76" s="36">
        <v>0</v>
      </c>
      <c r="L76" s="24" t="s">
        <v>40</v>
      </c>
      <c r="M76" s="37">
        <f>D76-SUM(F76:I76)</f>
        <v>0</v>
      </c>
    </row>
    <row r="77" spans="1:16">
      <c r="D77" s="16"/>
      <c r="E77" s="16"/>
      <c r="F77" s="16"/>
      <c r="G77" s="16"/>
      <c r="H77" s="16"/>
      <c r="I77" s="16"/>
    </row>
    <row r="78" spans="1:16">
      <c r="D78" s="16"/>
      <c r="E78" s="16"/>
      <c r="F78" s="16"/>
      <c r="G78" s="16"/>
      <c r="H78" s="16"/>
      <c r="I78" s="16"/>
    </row>
    <row r="79" spans="1:16" ht="11.25">
      <c r="A79" s="3" t="s">
        <v>31</v>
      </c>
      <c r="F79" s="6"/>
      <c r="G79" s="6"/>
      <c r="H79" s="6"/>
      <c r="I79" s="6"/>
      <c r="N79" s="29" t="s">
        <v>60</v>
      </c>
      <c r="O79" s="32">
        <v>24999835.973468848</v>
      </c>
      <c r="P79" s="26"/>
    </row>
    <row r="80" spans="1:16" ht="11.25">
      <c r="F80" s="6"/>
      <c r="G80" s="6"/>
      <c r="H80" s="6"/>
      <c r="I80" s="6"/>
      <c r="N80" s="29" t="s">
        <v>61</v>
      </c>
      <c r="O80" s="32">
        <v>0</v>
      </c>
      <c r="P80" s="26"/>
    </row>
    <row r="81" spans="1:16" customFormat="1" ht="11.25">
      <c r="A81" s="3"/>
      <c r="B81" s="3" t="s">
        <v>32</v>
      </c>
      <c r="D81" s="26">
        <f>SUM(F81:I81)</f>
        <v>24999835.973468848</v>
      </c>
      <c r="E81" s="16"/>
      <c r="F81" s="26">
        <f>O79</f>
        <v>24999835.973468848</v>
      </c>
      <c r="G81" s="6"/>
      <c r="H81" s="6"/>
      <c r="I81" s="6"/>
      <c r="J81" s="3"/>
      <c r="K81" s="18"/>
      <c r="L81" s="3"/>
      <c r="M81" s="3"/>
      <c r="N81" s="29" t="s">
        <v>62</v>
      </c>
      <c r="O81" s="32">
        <v>83304574.000558719</v>
      </c>
      <c r="P81" s="38"/>
    </row>
    <row r="82" spans="1:16" ht="11.25" hidden="1">
      <c r="A82"/>
      <c r="B82"/>
      <c r="C82"/>
      <c r="D82"/>
      <c r="E82"/>
      <c r="F82"/>
      <c r="G82"/>
      <c r="H82"/>
      <c r="I82"/>
      <c r="J82"/>
      <c r="K82" s="23"/>
      <c r="L82"/>
      <c r="M82"/>
      <c r="N82" s="29" t="s">
        <v>91</v>
      </c>
      <c r="O82" s="32">
        <v>0</v>
      </c>
      <c r="P82" s="26"/>
    </row>
    <row r="83" spans="1:16" ht="12" thickBot="1">
      <c r="B83" s="3" t="s">
        <v>33</v>
      </c>
      <c r="C83"/>
      <c r="D83" s="26">
        <f>SUM(F83:I83)</f>
        <v>0</v>
      </c>
      <c r="E83" s="16"/>
      <c r="F83" s="26">
        <f>O80</f>
        <v>0</v>
      </c>
      <c r="G83" s="6"/>
      <c r="H83" s="6"/>
      <c r="I83" s="6"/>
      <c r="N83" s="29" t="s">
        <v>63</v>
      </c>
      <c r="O83" s="32">
        <v>1038267.1499999999</v>
      </c>
      <c r="P83" s="26"/>
    </row>
    <row r="84" spans="1:16" ht="11.25" hidden="1" thickBot="1">
      <c r="C84"/>
      <c r="D84" s="16"/>
      <c r="E84" s="16"/>
      <c r="F84" s="6"/>
      <c r="G84" s="6"/>
      <c r="H84" s="6"/>
      <c r="I84" s="6"/>
      <c r="O84" s="32">
        <f>SUM(O79:O83)</f>
        <v>109342677.12402758</v>
      </c>
      <c r="P84" s="26"/>
    </row>
    <row r="85" spans="1:16" ht="11.25" thickBot="1">
      <c r="B85" s="3" t="s">
        <v>10</v>
      </c>
      <c r="C85"/>
      <c r="D85" s="26">
        <f>D90-(D81+D83+D87)</f>
        <v>84342841.02653116</v>
      </c>
      <c r="E85" s="16"/>
      <c r="F85" s="17"/>
      <c r="G85" s="6"/>
      <c r="H85" s="6"/>
      <c r="I85" s="26">
        <f>D85</f>
        <v>84342841.02653116</v>
      </c>
      <c r="N85" s="47" t="s">
        <v>40</v>
      </c>
      <c r="O85" s="37">
        <v>0</v>
      </c>
      <c r="P85" s="46"/>
    </row>
    <row r="86" spans="1:16" hidden="1">
      <c r="F86" s="6"/>
      <c r="G86" s="6"/>
      <c r="H86" s="6"/>
      <c r="I86" s="6"/>
    </row>
    <row r="87" spans="1:16" customFormat="1">
      <c r="A87" s="3"/>
      <c r="B87" t="s">
        <v>34</v>
      </c>
      <c r="C87" s="3"/>
      <c r="D87" s="26">
        <v>0</v>
      </c>
      <c r="E87" s="16"/>
      <c r="F87" s="6"/>
      <c r="H87" s="26">
        <f>D87</f>
        <v>0</v>
      </c>
      <c r="I87" s="6"/>
      <c r="J87" s="3"/>
      <c r="K87" s="3"/>
      <c r="L87" s="3"/>
      <c r="M87" s="3"/>
      <c r="N87" s="27"/>
    </row>
    <row r="88" spans="1:16">
      <c r="A88"/>
      <c r="B88"/>
      <c r="C88"/>
      <c r="D88"/>
      <c r="E88"/>
      <c r="F88"/>
      <c r="G88"/>
      <c r="H88"/>
      <c r="I88"/>
      <c r="J88"/>
      <c r="K88"/>
      <c r="L88"/>
      <c r="M88"/>
    </row>
    <row r="89" spans="1:16" ht="11.25" thickBot="1">
      <c r="D89" s="11" t="s">
        <v>14</v>
      </c>
      <c r="E89" s="14" t="s">
        <v>13</v>
      </c>
      <c r="F89" s="11" t="s">
        <v>14</v>
      </c>
      <c r="G89" s="11" t="s">
        <v>14</v>
      </c>
      <c r="H89" s="11" t="s">
        <v>14</v>
      </c>
      <c r="I89" s="11" t="s">
        <v>14</v>
      </c>
    </row>
    <row r="90" spans="1:16" customFormat="1" ht="11.25" thickBot="1">
      <c r="A90" s="3" t="s">
        <v>35</v>
      </c>
      <c r="B90" s="3"/>
      <c r="C90" s="3"/>
      <c r="D90" s="26">
        <v>109342677</v>
      </c>
      <c r="E90" s="16"/>
      <c r="F90" s="26">
        <f>SUM(F81:F87)</f>
        <v>24999835.973468848</v>
      </c>
      <c r="G90" s="26">
        <f>SUM(G81:G87)</f>
        <v>0</v>
      </c>
      <c r="H90" s="26">
        <f>SUM(H81:H87)</f>
        <v>0</v>
      </c>
      <c r="I90" s="26">
        <f>SUM(I81:I87)</f>
        <v>84342841.02653116</v>
      </c>
      <c r="J90" s="3"/>
      <c r="K90" s="36">
        <f>D90-(D81+D83+D85+D87)</f>
        <v>0</v>
      </c>
      <c r="L90" s="24" t="s">
        <v>40</v>
      </c>
      <c r="M90" s="37">
        <f>D90-SUM(F90:I90)</f>
        <v>0</v>
      </c>
      <c r="N90" s="27"/>
    </row>
    <row r="91" spans="1:16" customFormat="1">
      <c r="A91" s="3"/>
      <c r="B91" s="3"/>
      <c r="C91" s="3"/>
      <c r="D91" s="3"/>
      <c r="E91" s="3"/>
      <c r="G91" s="3"/>
      <c r="H91" s="3"/>
      <c r="I91" s="3"/>
      <c r="N91" s="27"/>
    </row>
    <row r="92" spans="1:16" customFormat="1">
      <c r="A92" s="3" t="s">
        <v>36</v>
      </c>
      <c r="B92" s="3"/>
      <c r="C92" s="3"/>
      <c r="D92" s="3"/>
      <c r="E92" s="3"/>
      <c r="G92" s="3"/>
      <c r="H92" s="3"/>
      <c r="I92" s="3"/>
      <c r="N92" s="27"/>
    </row>
    <row r="93" spans="1:16" customFormat="1" hidden="1">
      <c r="A93" s="3"/>
      <c r="B93" s="16" t="s">
        <v>98</v>
      </c>
      <c r="C93" s="3"/>
      <c r="D93" s="26">
        <v>0</v>
      </c>
      <c r="E93" s="16"/>
      <c r="G93" s="3"/>
      <c r="H93" s="26">
        <f t="shared" ref="H93:H107" si="1">D93</f>
        <v>0</v>
      </c>
      <c r="I93" s="2"/>
      <c r="N93" s="27"/>
    </row>
    <row r="94" spans="1:16" customFormat="1" hidden="1">
      <c r="A94" s="3"/>
      <c r="B94" s="16" t="s">
        <v>99</v>
      </c>
      <c r="C94" s="3"/>
      <c r="D94" s="26">
        <v>0</v>
      </c>
      <c r="E94" s="16"/>
      <c r="G94" s="3"/>
      <c r="H94" s="26">
        <f t="shared" si="1"/>
        <v>0</v>
      </c>
      <c r="I94" s="2"/>
      <c r="N94" s="27"/>
    </row>
    <row r="95" spans="1:16" customFormat="1">
      <c r="A95" s="3"/>
      <c r="B95" s="16" t="s">
        <v>100</v>
      </c>
      <c r="C95" s="3"/>
      <c r="D95" s="26">
        <v>8051919.5899999999</v>
      </c>
      <c r="E95" s="16"/>
      <c r="G95" s="3"/>
      <c r="H95" s="26">
        <f t="shared" si="1"/>
        <v>8051919.5899999999</v>
      </c>
      <c r="I95" s="2"/>
      <c r="N95" s="27"/>
    </row>
    <row r="96" spans="1:16" customFormat="1" hidden="1">
      <c r="A96" s="3"/>
      <c r="B96" s="16" t="s">
        <v>101</v>
      </c>
      <c r="C96" s="3"/>
      <c r="D96" s="26">
        <v>0</v>
      </c>
      <c r="E96" s="16"/>
      <c r="G96" s="3"/>
      <c r="H96" s="26">
        <f t="shared" si="1"/>
        <v>0</v>
      </c>
      <c r="I96" s="2"/>
      <c r="N96" s="27"/>
    </row>
    <row r="97" spans="1:14" customFormat="1">
      <c r="A97" s="3"/>
      <c r="B97" s="16" t="s">
        <v>66</v>
      </c>
      <c r="C97" s="3"/>
      <c r="D97" s="26">
        <v>50918389.210000001</v>
      </c>
      <c r="E97" s="16"/>
      <c r="G97" s="3"/>
      <c r="H97" s="26">
        <f t="shared" si="1"/>
        <v>50918389.210000001</v>
      </c>
      <c r="I97" s="2"/>
      <c r="N97" s="27"/>
    </row>
    <row r="98" spans="1:14" customFormat="1" hidden="1">
      <c r="A98" s="3"/>
      <c r="B98" s="16" t="s">
        <v>47</v>
      </c>
      <c r="C98" s="3"/>
      <c r="D98" s="26">
        <v>0</v>
      </c>
      <c r="E98" s="16"/>
      <c r="G98" s="3"/>
      <c r="H98" s="26">
        <f t="shared" si="1"/>
        <v>0</v>
      </c>
      <c r="I98" s="2"/>
      <c r="N98" s="27"/>
    </row>
    <row r="99" spans="1:14" customFormat="1" hidden="1">
      <c r="A99" s="3"/>
      <c r="B99" s="16" t="s">
        <v>102</v>
      </c>
      <c r="C99" s="3"/>
      <c r="D99" s="26">
        <v>0</v>
      </c>
      <c r="E99" s="16"/>
      <c r="G99" s="3"/>
      <c r="H99" s="26">
        <f t="shared" si="1"/>
        <v>0</v>
      </c>
      <c r="I99" s="2"/>
      <c r="N99" s="27"/>
    </row>
    <row r="100" spans="1:14" customFormat="1" hidden="1">
      <c r="A100" s="3"/>
      <c r="B100" s="16" t="s">
        <v>103</v>
      </c>
      <c r="C100" s="3"/>
      <c r="D100" s="26">
        <v>0</v>
      </c>
      <c r="E100" s="16"/>
      <c r="G100" s="3"/>
      <c r="H100" s="26">
        <f t="shared" si="1"/>
        <v>0</v>
      </c>
      <c r="I100" s="2"/>
      <c r="N100" s="27"/>
    </row>
    <row r="101" spans="1:14" customFormat="1" hidden="1">
      <c r="A101" s="3"/>
      <c r="B101" s="16" t="s">
        <v>104</v>
      </c>
      <c r="C101" s="3"/>
      <c r="D101" s="26">
        <v>0</v>
      </c>
      <c r="E101" s="16"/>
      <c r="G101" s="3"/>
      <c r="H101" s="26">
        <f t="shared" si="1"/>
        <v>0</v>
      </c>
      <c r="I101" s="2"/>
      <c r="N101" s="27"/>
    </row>
    <row r="102" spans="1:14" customFormat="1" hidden="1">
      <c r="A102" s="3"/>
      <c r="B102" s="16" t="s">
        <v>105</v>
      </c>
      <c r="C102" s="3"/>
      <c r="D102" s="26">
        <v>0</v>
      </c>
      <c r="E102" s="16"/>
      <c r="F102" s="14"/>
      <c r="G102" s="3"/>
      <c r="H102" s="26">
        <f t="shared" si="1"/>
        <v>0</v>
      </c>
      <c r="I102" s="2"/>
      <c r="N102" s="27"/>
    </row>
    <row r="103" spans="1:14" customFormat="1">
      <c r="A103" s="3"/>
      <c r="B103" s="16" t="s">
        <v>106</v>
      </c>
      <c r="C103" s="3"/>
      <c r="D103" s="26">
        <v>46004017.219999999</v>
      </c>
      <c r="E103" s="16"/>
      <c r="F103" s="14"/>
      <c r="G103" s="3"/>
      <c r="H103" s="26">
        <f t="shared" si="1"/>
        <v>46004017.219999999</v>
      </c>
      <c r="I103" s="2"/>
      <c r="N103" s="27"/>
    </row>
    <row r="104" spans="1:14" customFormat="1" hidden="1">
      <c r="A104" s="3"/>
      <c r="B104" s="16" t="s">
        <v>107</v>
      </c>
      <c r="C104" s="3"/>
      <c r="D104" s="26">
        <v>0</v>
      </c>
      <c r="E104" s="16"/>
      <c r="F104" s="14"/>
      <c r="G104" s="3"/>
      <c r="H104" s="26">
        <f t="shared" si="1"/>
        <v>0</v>
      </c>
      <c r="I104" s="2"/>
      <c r="N104" s="27"/>
    </row>
    <row r="105" spans="1:14" customFormat="1" hidden="1">
      <c r="A105" s="3"/>
      <c r="B105" s="16" t="s">
        <v>108</v>
      </c>
      <c r="C105" s="3"/>
      <c r="D105" s="26">
        <v>0</v>
      </c>
      <c r="E105" s="16"/>
      <c r="F105" s="14"/>
      <c r="G105" s="3"/>
      <c r="H105" s="26">
        <f t="shared" si="1"/>
        <v>0</v>
      </c>
      <c r="I105" s="2"/>
      <c r="N105" s="27"/>
    </row>
    <row r="106" spans="1:14" customFormat="1">
      <c r="A106" s="3"/>
      <c r="B106" s="16" t="s">
        <v>109</v>
      </c>
      <c r="C106" s="3"/>
      <c r="D106" s="26">
        <v>198244833.58000001</v>
      </c>
      <c r="E106" s="16"/>
      <c r="F106" s="14"/>
      <c r="G106" s="3"/>
      <c r="H106" s="26">
        <f t="shared" si="1"/>
        <v>198244833.58000001</v>
      </c>
      <c r="I106" s="2"/>
      <c r="N106" s="27"/>
    </row>
    <row r="107" spans="1:14" customFormat="1" hidden="1">
      <c r="A107" s="3"/>
      <c r="B107" s="16" t="s">
        <v>110</v>
      </c>
      <c r="C107" s="3"/>
      <c r="D107" s="26">
        <v>0</v>
      </c>
      <c r="E107" s="16"/>
      <c r="F107" s="14"/>
      <c r="G107" s="3"/>
      <c r="H107" s="26">
        <f t="shared" si="1"/>
        <v>0</v>
      </c>
      <c r="I107" s="2"/>
      <c r="N107" s="27"/>
    </row>
    <row r="108" spans="1:14" customFormat="1" hidden="1">
      <c r="A108" s="3"/>
      <c r="B108" s="16"/>
      <c r="C108" s="3"/>
      <c r="D108" s="26"/>
      <c r="E108" s="16"/>
      <c r="F108" s="14"/>
      <c r="G108" s="3"/>
      <c r="H108" s="26"/>
      <c r="I108" s="2"/>
      <c r="N108" s="27"/>
    </row>
    <row r="109" spans="1:14" customFormat="1" hidden="1">
      <c r="A109" s="3"/>
      <c r="B109" s="16" t="s">
        <v>111</v>
      </c>
      <c r="C109" s="3"/>
      <c r="D109" s="26">
        <v>0</v>
      </c>
      <c r="E109" s="16"/>
      <c r="F109" s="14"/>
      <c r="G109" s="3"/>
      <c r="H109" s="26">
        <f>D109</f>
        <v>0</v>
      </c>
      <c r="I109" s="2"/>
      <c r="N109" s="27"/>
    </row>
    <row r="110" spans="1:14" customFormat="1" hidden="1">
      <c r="A110" s="3"/>
      <c r="B110" s="16" t="s">
        <v>112</v>
      </c>
      <c r="C110" s="3"/>
      <c r="D110" s="26">
        <v>0</v>
      </c>
      <c r="E110" s="16"/>
      <c r="F110" s="14"/>
      <c r="G110" s="3"/>
      <c r="H110" s="26">
        <f>D110</f>
        <v>0</v>
      </c>
      <c r="I110" s="2"/>
      <c r="N110" s="27"/>
    </row>
    <row r="111" spans="1:14" customFormat="1" hidden="1">
      <c r="A111" s="3"/>
      <c r="B111" s="16" t="s">
        <v>113</v>
      </c>
      <c r="C111" s="3"/>
      <c r="D111" s="26">
        <v>0</v>
      </c>
      <c r="E111" s="16"/>
      <c r="F111" s="14"/>
      <c r="G111" s="3"/>
      <c r="H111" s="26">
        <f>D111</f>
        <v>0</v>
      </c>
      <c r="I111" s="2"/>
      <c r="N111" s="27"/>
    </row>
    <row r="112" spans="1:14" customFormat="1" hidden="1">
      <c r="A112" s="3"/>
      <c r="B112" s="16"/>
      <c r="C112" s="3"/>
      <c r="D112" s="26"/>
      <c r="E112" s="16"/>
      <c r="F112" s="14"/>
      <c r="G112" s="3"/>
      <c r="H112" s="26"/>
      <c r="I112" s="2"/>
      <c r="N112" s="27"/>
    </row>
    <row r="113" spans="1:14" customFormat="1" hidden="1">
      <c r="A113" s="3"/>
      <c r="B113" s="16" t="s">
        <v>114</v>
      </c>
      <c r="C113" s="3"/>
      <c r="D113" s="26">
        <v>0</v>
      </c>
      <c r="E113" s="16"/>
      <c r="F113" s="14"/>
      <c r="G113" s="3"/>
      <c r="H113" s="26">
        <f>D113</f>
        <v>0</v>
      </c>
      <c r="I113" s="2"/>
      <c r="N113" s="27"/>
    </row>
    <row r="114" spans="1:14" customFormat="1" ht="11.25" thickBot="1">
      <c r="A114" s="3"/>
      <c r="B114" s="3"/>
      <c r="C114" s="3"/>
      <c r="D114" s="11" t="s">
        <v>14</v>
      </c>
      <c r="E114" s="14" t="s">
        <v>13</v>
      </c>
      <c r="F114" s="11" t="s">
        <v>14</v>
      </c>
      <c r="G114" s="11" t="s">
        <v>14</v>
      </c>
      <c r="H114" s="11" t="s">
        <v>14</v>
      </c>
      <c r="I114" s="11" t="s">
        <v>14</v>
      </c>
      <c r="N114" s="27"/>
    </row>
    <row r="115" spans="1:14" customFormat="1" ht="11.25" thickBot="1">
      <c r="A115" s="3" t="s">
        <v>37</v>
      </c>
      <c r="B115" s="3"/>
      <c r="C115" s="3"/>
      <c r="D115" s="26">
        <f>SUM(D93:D113)</f>
        <v>303219159.60000002</v>
      </c>
      <c r="E115" s="16"/>
      <c r="F115" s="26">
        <f>SUM(F92:F113)</f>
        <v>0</v>
      </c>
      <c r="G115" s="26">
        <f>SUM(G92:G113)</f>
        <v>0</v>
      </c>
      <c r="H115" s="26">
        <f>SUM(H92:H113)</f>
        <v>303219159.60000002</v>
      </c>
      <c r="I115" s="26">
        <f>SUM(I92:I105)</f>
        <v>0</v>
      </c>
      <c r="K115" s="36">
        <v>0</v>
      </c>
      <c r="L115" s="24" t="s">
        <v>40</v>
      </c>
      <c r="M115" s="37">
        <f>D115-SUM(F115:I115)</f>
        <v>0</v>
      </c>
      <c r="N115" s="27"/>
    </row>
    <row r="116" spans="1:14" customFormat="1">
      <c r="A116" s="3"/>
      <c r="B116" s="3"/>
      <c r="C116" s="3"/>
      <c r="D116" s="7"/>
      <c r="E116" s="16"/>
      <c r="F116" s="16"/>
      <c r="G116" s="16"/>
      <c r="H116" s="16"/>
      <c r="I116" s="16"/>
      <c r="N116" s="27"/>
    </row>
    <row r="117" spans="1:14" customFormat="1">
      <c r="A117" s="3" t="s">
        <v>43</v>
      </c>
      <c r="B117" s="3"/>
      <c r="C117" s="3"/>
      <c r="D117" s="7"/>
      <c r="E117" s="16"/>
      <c r="F117" s="16"/>
      <c r="G117" s="16"/>
      <c r="H117" s="16"/>
      <c r="I117" s="16"/>
      <c r="N117" s="27"/>
    </row>
    <row r="118" spans="1:14" customFormat="1">
      <c r="A118" s="3"/>
      <c r="B118" s="16" t="s">
        <v>97</v>
      </c>
      <c r="C118" s="3"/>
      <c r="D118" s="26">
        <v>0</v>
      </c>
      <c r="E118" s="16"/>
      <c r="F118" s="14"/>
      <c r="G118" s="3"/>
      <c r="H118" s="26">
        <f>D118</f>
        <v>0</v>
      </c>
      <c r="I118" s="2"/>
      <c r="N118" s="27"/>
    </row>
    <row r="119" spans="1:14">
      <c r="D119" s="11" t="s">
        <v>14</v>
      </c>
      <c r="E119" s="14" t="s">
        <v>13</v>
      </c>
      <c r="F119" s="11" t="s">
        <v>14</v>
      </c>
      <c r="G119" s="11" t="s">
        <v>14</v>
      </c>
      <c r="H119" s="11" t="s">
        <v>14</v>
      </c>
      <c r="I119" s="11" t="s">
        <v>14</v>
      </c>
    </row>
    <row r="120" spans="1:14">
      <c r="A120" s="3" t="s">
        <v>44</v>
      </c>
      <c r="D120" s="26">
        <v>0</v>
      </c>
      <c r="E120" s="16"/>
      <c r="F120" s="26">
        <f>SUM(F118:F118)</f>
        <v>0</v>
      </c>
      <c r="G120" s="26">
        <f>SUM(G118:G118)</f>
        <v>0</v>
      </c>
      <c r="H120" s="26">
        <f>SUM(H118:H118)</f>
        <v>0</v>
      </c>
      <c r="I120" s="26">
        <f>SUM(I118:I118)</f>
        <v>0</v>
      </c>
    </row>
    <row r="121" spans="1:14" ht="11.25" thickBot="1">
      <c r="D121" s="19" t="s">
        <v>38</v>
      </c>
      <c r="E121" s="14" t="s">
        <v>13</v>
      </c>
      <c r="F121" s="19" t="s">
        <v>38</v>
      </c>
      <c r="G121" s="19" t="s">
        <v>38</v>
      </c>
      <c r="H121" s="19" t="s">
        <v>38</v>
      </c>
      <c r="I121" s="19" t="s">
        <v>38</v>
      </c>
    </row>
    <row r="122" spans="1:14" ht="11.25" thickBot="1">
      <c r="A122" s="3" t="s">
        <v>39</v>
      </c>
      <c r="D122" s="26">
        <f>D115+D90+D76+D120-D16</f>
        <v>580734184.14999998</v>
      </c>
      <c r="E122" s="16" t="s">
        <v>13</v>
      </c>
      <c r="F122" s="26">
        <f>F115+F90+F76+F120-F16</f>
        <v>14564456.737641495</v>
      </c>
      <c r="G122" s="26">
        <f>G115+G90+G76+G120-G16</f>
        <v>12377848.49156395</v>
      </c>
      <c r="H122" s="26">
        <f>H115+H90+H76+H120-H16</f>
        <v>303219159.60000002</v>
      </c>
      <c r="I122" s="26">
        <f>I115+I90+I76+I120-I16</f>
        <v>250572719.32079452</v>
      </c>
      <c r="K122" s="36">
        <v>0</v>
      </c>
      <c r="L122" s="24" t="s">
        <v>40</v>
      </c>
      <c r="M122" s="37">
        <f>D122-SUM(F122:I122)</f>
        <v>0</v>
      </c>
    </row>
    <row r="123" spans="1:14">
      <c r="D123" s="19" t="s">
        <v>38</v>
      </c>
      <c r="E123" s="14" t="s">
        <v>13</v>
      </c>
      <c r="F123" s="19" t="s">
        <v>38</v>
      </c>
      <c r="G123" s="19" t="s">
        <v>38</v>
      </c>
      <c r="H123" s="19" t="s">
        <v>38</v>
      </c>
      <c r="I123" s="19" t="s">
        <v>38</v>
      </c>
    </row>
  </sheetData>
  <mergeCells count="1">
    <mergeCell ref="A4:C4"/>
  </mergeCells>
  <pageMargins left="0.65" right="0.72" top="1" bottom="1" header="0.5" footer="0.5"/>
  <pageSetup scale="67" orientation="portrait" r:id="rId1"/>
  <headerFooter alignWithMargins="0">
    <oddHeader>&amp;L&amp;"Arial,Regular"&amp;10WA UE-130043
Bench Request 9&amp;R&amp;"Arial,Bold"&amp;10Attachment Bench Request 9</oddHeader>
    <oddFooter>&amp;L&amp;"Arial,Regular"&amp;10&amp;F&amp;C&amp;A</oddFooter>
  </headerFooter>
  <rowBreaks count="1" manualBreakCount="1">
    <brk id="69" max="8" man="1"/>
  </rowBreak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pageSetUpPr fitToPage="1"/>
  </sheetPr>
  <dimension ref="A1:K50"/>
  <sheetViews>
    <sheetView view="pageBreakPreview" zoomScale="85" zoomScaleNormal="100" zoomScaleSheetLayoutView="85" workbookViewId="0">
      <selection activeCell="T91" sqref="T91"/>
    </sheetView>
  </sheetViews>
  <sheetFormatPr defaultRowHeight="12.75"/>
  <cols>
    <col min="1" max="1" width="4.83203125" style="275" customWidth="1"/>
    <col min="2" max="2" width="8" style="275" customWidth="1"/>
    <col min="3" max="3" width="32.83203125" style="275" customWidth="1"/>
    <col min="4" max="4" width="12.33203125" style="275" customWidth="1"/>
    <col min="5" max="5" width="9.33203125" style="276"/>
    <col min="6" max="6" width="17" style="106" customWidth="1"/>
    <col min="7" max="7" width="9.33203125" style="276"/>
    <col min="8" max="8" width="12" style="276" bestFit="1" customWidth="1"/>
    <col min="9" max="9" width="15.33203125" style="276" bestFit="1" customWidth="1"/>
    <col min="10" max="16384" width="9.33203125" style="275"/>
  </cols>
  <sheetData>
    <row r="1" spans="1:10">
      <c r="A1" s="274" t="s">
        <v>118</v>
      </c>
      <c r="B1" s="274"/>
      <c r="I1" s="277" t="s">
        <v>272</v>
      </c>
      <c r="J1" s="296" t="s">
        <v>298</v>
      </c>
    </row>
    <row r="2" spans="1:10">
      <c r="A2" s="274" t="s">
        <v>255</v>
      </c>
      <c r="B2" s="274"/>
    </row>
    <row r="3" spans="1:10">
      <c r="A3" s="274" t="s">
        <v>320</v>
      </c>
      <c r="B3" s="274"/>
    </row>
    <row r="5" spans="1:10">
      <c r="F5" s="105" t="s">
        <v>274</v>
      </c>
      <c r="I5" s="276" t="s">
        <v>126</v>
      </c>
    </row>
    <row r="6" spans="1:10" ht="15">
      <c r="D6" s="279" t="s">
        <v>275</v>
      </c>
      <c r="E6" s="279" t="s">
        <v>276</v>
      </c>
      <c r="F6" s="280" t="s">
        <v>277</v>
      </c>
      <c r="G6" s="279" t="s">
        <v>278</v>
      </c>
      <c r="H6" s="279" t="s">
        <v>134</v>
      </c>
      <c r="I6" s="279" t="s">
        <v>279</v>
      </c>
      <c r="J6" s="279" t="s">
        <v>280</v>
      </c>
    </row>
    <row r="7" spans="1:10" ht="15">
      <c r="B7" s="274" t="s">
        <v>281</v>
      </c>
      <c r="C7" s="281"/>
      <c r="D7" s="279"/>
      <c r="E7" s="279"/>
      <c r="F7" s="280"/>
      <c r="G7" s="279"/>
      <c r="H7" s="279"/>
      <c r="I7" s="279"/>
      <c r="J7" s="279"/>
    </row>
    <row r="8" spans="1:10" ht="15">
      <c r="B8" s="274"/>
      <c r="C8" s="281"/>
      <c r="D8" s="279"/>
      <c r="E8" s="279"/>
      <c r="F8" s="280"/>
      <c r="G8" s="279"/>
      <c r="H8" s="279"/>
      <c r="I8" s="279"/>
      <c r="J8" s="279"/>
    </row>
    <row r="9" spans="1:10">
      <c r="B9" s="274" t="s">
        <v>137</v>
      </c>
      <c r="C9" s="281"/>
    </row>
    <row r="10" spans="1:10">
      <c r="B10" s="281" t="s">
        <v>138</v>
      </c>
      <c r="C10" s="281"/>
      <c r="D10" s="282" t="s">
        <v>139</v>
      </c>
      <c r="E10" s="283" t="s">
        <v>286</v>
      </c>
      <c r="F10" s="106">
        <f>'9.1 - Summary '!AX15</f>
        <v>0</v>
      </c>
      <c r="G10" s="276" t="s">
        <v>140</v>
      </c>
      <c r="H10" s="284">
        <v>0.2262649010137</v>
      </c>
      <c r="I10" s="276">
        <f>F10*H10</f>
        <v>0</v>
      </c>
      <c r="J10" s="276"/>
    </row>
    <row r="11" spans="1:10">
      <c r="B11" s="281" t="s">
        <v>141</v>
      </c>
      <c r="C11" s="281"/>
      <c r="D11" s="282" t="s">
        <v>139</v>
      </c>
      <c r="E11" s="283" t="s">
        <v>286</v>
      </c>
      <c r="F11" s="106">
        <f>'9.1 - Summary '!AX16</f>
        <v>0</v>
      </c>
      <c r="G11" s="276" t="s">
        <v>140</v>
      </c>
      <c r="H11" s="284">
        <v>0.2262649010137</v>
      </c>
      <c r="I11" s="276">
        <f t="shared" ref="I11:I12" si="0">F11*H11</f>
        <v>0</v>
      </c>
      <c r="J11" s="276"/>
    </row>
    <row r="12" spans="1:10">
      <c r="B12" s="281" t="s">
        <v>142</v>
      </c>
      <c r="C12" s="281"/>
      <c r="D12" s="282" t="s">
        <v>139</v>
      </c>
      <c r="E12" s="283" t="s">
        <v>286</v>
      </c>
      <c r="F12" s="106">
        <f>'9.1 - Summary '!AX17</f>
        <v>0</v>
      </c>
      <c r="G12" s="276" t="s">
        <v>143</v>
      </c>
      <c r="H12" s="284">
        <v>0.22648067236840891</v>
      </c>
      <c r="I12" s="276">
        <f t="shared" si="0"/>
        <v>0</v>
      </c>
    </row>
    <row r="13" spans="1:10">
      <c r="B13" s="281" t="s">
        <v>144</v>
      </c>
      <c r="C13" s="281"/>
      <c r="D13" s="282"/>
      <c r="E13" s="283"/>
      <c r="F13" s="285">
        <f>SUM(F10:F12)</f>
        <v>0</v>
      </c>
      <c r="H13" s="284"/>
      <c r="I13" s="285">
        <f>SUM(I10:I12)</f>
        <v>0</v>
      </c>
      <c r="J13" s="282" t="s">
        <v>338</v>
      </c>
    </row>
    <row r="14" spans="1:10">
      <c r="B14" s="281"/>
      <c r="C14" s="286"/>
      <c r="D14" s="282"/>
      <c r="E14" s="283"/>
      <c r="H14" s="284"/>
    </row>
    <row r="15" spans="1:10">
      <c r="B15" s="274" t="s">
        <v>145</v>
      </c>
      <c r="C15" s="286"/>
      <c r="D15" s="282"/>
      <c r="E15" s="283"/>
      <c r="H15" s="284"/>
    </row>
    <row r="16" spans="1:10">
      <c r="B16" s="281" t="s">
        <v>146</v>
      </c>
      <c r="C16" s="286"/>
      <c r="D16" s="282" t="s">
        <v>147</v>
      </c>
      <c r="E16" s="283" t="s">
        <v>286</v>
      </c>
      <c r="F16" s="106">
        <f>'9.1 - Summary '!AX21</f>
        <v>11014.755271983799</v>
      </c>
      <c r="G16" s="276" t="s">
        <v>140</v>
      </c>
      <c r="H16" s="284">
        <v>0.2262649010137</v>
      </c>
      <c r="I16" s="276">
        <f t="shared" ref="I16:I20" si="1">F16*H16</f>
        <v>2492.2525113055444</v>
      </c>
      <c r="J16" s="276"/>
    </row>
    <row r="17" spans="2:10">
      <c r="B17" s="281" t="s">
        <v>148</v>
      </c>
      <c r="C17" s="286"/>
      <c r="D17" s="282" t="s">
        <v>147</v>
      </c>
      <c r="E17" s="283" t="s">
        <v>286</v>
      </c>
      <c r="F17" s="106">
        <f>'9.1 - Summary '!AX22</f>
        <v>42103.524728015065</v>
      </c>
      <c r="G17" s="276" t="s">
        <v>143</v>
      </c>
      <c r="H17" s="284">
        <v>0.22648067236840891</v>
      </c>
      <c r="I17" s="276">
        <f t="shared" si="1"/>
        <v>9535.6345894807819</v>
      </c>
      <c r="J17" s="276"/>
    </row>
    <row r="18" spans="2:10">
      <c r="B18" s="281" t="s">
        <v>149</v>
      </c>
      <c r="C18" s="286"/>
      <c r="D18" s="282" t="s">
        <v>147</v>
      </c>
      <c r="E18" s="283" t="s">
        <v>286</v>
      </c>
      <c r="F18" s="106">
        <f>'9.1 - Summary '!AX23</f>
        <v>0</v>
      </c>
      <c r="G18" s="276" t="s">
        <v>140</v>
      </c>
      <c r="H18" s="284">
        <v>0.2262649010137</v>
      </c>
      <c r="I18" s="276">
        <f t="shared" si="1"/>
        <v>0</v>
      </c>
      <c r="J18" s="276"/>
    </row>
    <row r="19" spans="2:10">
      <c r="B19" s="281" t="s">
        <v>150</v>
      </c>
      <c r="C19" s="286"/>
      <c r="D19" s="282" t="s">
        <v>147</v>
      </c>
      <c r="E19" s="283" t="s">
        <v>286</v>
      </c>
      <c r="F19" s="106">
        <f>'9.1 - Summary '!AX24</f>
        <v>0</v>
      </c>
      <c r="G19" s="276" t="s">
        <v>140</v>
      </c>
      <c r="H19" s="284">
        <v>0.2262649010137</v>
      </c>
      <c r="I19" s="276">
        <f t="shared" si="1"/>
        <v>0</v>
      </c>
      <c r="J19" s="276"/>
    </row>
    <row r="20" spans="2:10">
      <c r="B20" s="281" t="s">
        <v>151</v>
      </c>
      <c r="C20" s="281"/>
      <c r="D20" s="282" t="s">
        <v>147</v>
      </c>
      <c r="E20" s="283" t="s">
        <v>286</v>
      </c>
      <c r="F20" s="106">
        <f>'9.1 - Summary '!AX25</f>
        <v>0</v>
      </c>
      <c r="G20" s="276" t="s">
        <v>140</v>
      </c>
      <c r="H20" s="284">
        <v>0.2262649010137</v>
      </c>
      <c r="I20" s="276">
        <f t="shared" si="1"/>
        <v>0</v>
      </c>
    </row>
    <row r="21" spans="2:10">
      <c r="B21" s="281" t="s">
        <v>152</v>
      </c>
      <c r="C21" s="281"/>
      <c r="D21" s="282"/>
      <c r="E21" s="283"/>
      <c r="F21" s="285">
        <f>SUM(F16:F20)</f>
        <v>53118.279999998864</v>
      </c>
      <c r="H21" s="284"/>
      <c r="I21" s="285">
        <f>SUM(I16:I20)</f>
        <v>12027.887100786327</v>
      </c>
      <c r="J21" s="282" t="s">
        <v>338</v>
      </c>
    </row>
    <row r="22" spans="2:10">
      <c r="B22" s="281"/>
      <c r="C22" s="281"/>
      <c r="D22" s="282"/>
      <c r="E22" s="283"/>
      <c r="H22" s="284"/>
    </row>
    <row r="23" spans="2:10">
      <c r="B23" s="274" t="s">
        <v>153</v>
      </c>
      <c r="C23" s="281"/>
      <c r="D23" s="282"/>
      <c r="E23" s="283"/>
      <c r="H23" s="284"/>
      <c r="J23" s="276"/>
    </row>
    <row r="24" spans="2:10">
      <c r="B24" s="281" t="s">
        <v>154</v>
      </c>
      <c r="C24" s="281"/>
      <c r="D24" s="282" t="s">
        <v>155</v>
      </c>
      <c r="E24" s="283" t="s">
        <v>286</v>
      </c>
      <c r="F24" s="106">
        <f>'9.1 - Summary '!AX29</f>
        <v>0</v>
      </c>
      <c r="G24" s="276" t="s">
        <v>140</v>
      </c>
      <c r="H24" s="284">
        <v>0.2262649010137</v>
      </c>
      <c r="I24" s="276">
        <f t="shared" ref="I24:I26" si="2">F24*H24</f>
        <v>0</v>
      </c>
      <c r="J24" s="276"/>
    </row>
    <row r="25" spans="2:10">
      <c r="B25" s="281" t="s">
        <v>156</v>
      </c>
      <c r="C25" s="286"/>
      <c r="D25" s="282" t="s">
        <v>155</v>
      </c>
      <c r="E25" s="283" t="s">
        <v>286</v>
      </c>
      <c r="F25" s="106">
        <f>'9.1 - Summary '!AX30</f>
        <v>0</v>
      </c>
      <c r="G25" s="276" t="s">
        <v>140</v>
      </c>
      <c r="H25" s="284">
        <v>0.2262649010137</v>
      </c>
      <c r="I25" s="276">
        <f t="shared" si="2"/>
        <v>0</v>
      </c>
      <c r="J25" s="276"/>
    </row>
    <row r="26" spans="2:10">
      <c r="B26" s="281" t="s">
        <v>157</v>
      </c>
      <c r="C26" s="286"/>
      <c r="D26" s="282" t="s">
        <v>155</v>
      </c>
      <c r="E26" s="283" t="s">
        <v>286</v>
      </c>
      <c r="F26" s="106">
        <f>'9.1 - Summary '!AX31</f>
        <v>0</v>
      </c>
      <c r="G26" s="276" t="s">
        <v>143</v>
      </c>
      <c r="H26" s="284">
        <v>0.22648067236840891</v>
      </c>
      <c r="I26" s="276">
        <f t="shared" si="2"/>
        <v>0</v>
      </c>
      <c r="J26" s="276"/>
    </row>
    <row r="27" spans="2:10">
      <c r="B27" s="281" t="s">
        <v>158</v>
      </c>
      <c r="C27" s="281"/>
      <c r="D27" s="282"/>
      <c r="E27" s="283"/>
      <c r="F27" s="285">
        <f>SUM(F24:F26)</f>
        <v>0</v>
      </c>
      <c r="H27" s="284"/>
      <c r="I27" s="285">
        <f>SUM(I24:I26)</f>
        <v>0</v>
      </c>
      <c r="J27" s="282" t="s">
        <v>338</v>
      </c>
    </row>
    <row r="28" spans="2:10">
      <c r="B28" s="281"/>
      <c r="C28" s="281"/>
      <c r="D28" s="282"/>
      <c r="E28" s="283"/>
      <c r="H28" s="284"/>
    </row>
    <row r="29" spans="2:10">
      <c r="B29" s="274" t="s">
        <v>159</v>
      </c>
      <c r="C29" s="274"/>
      <c r="D29" s="282"/>
      <c r="E29" s="283"/>
      <c r="H29" s="284"/>
      <c r="J29" s="276"/>
    </row>
    <row r="30" spans="2:10">
      <c r="B30" s="281" t="s">
        <v>160</v>
      </c>
      <c r="C30" s="274"/>
      <c r="D30" s="282" t="s">
        <v>161</v>
      </c>
      <c r="E30" s="283" t="s">
        <v>286</v>
      </c>
      <c r="F30" s="106">
        <f>'9.1 - Summary '!AX35</f>
        <v>0</v>
      </c>
      <c r="G30" s="276" t="s">
        <v>143</v>
      </c>
      <c r="H30" s="284">
        <v>0.22648067236840891</v>
      </c>
      <c r="I30" s="276">
        <f t="shared" ref="I30:I31" si="3">F30*H30</f>
        <v>0</v>
      </c>
      <c r="J30" s="276"/>
    </row>
    <row r="31" spans="2:10">
      <c r="B31" s="281" t="s">
        <v>162</v>
      </c>
      <c r="C31" s="274"/>
      <c r="D31" s="282" t="s">
        <v>163</v>
      </c>
      <c r="E31" s="283" t="s">
        <v>286</v>
      </c>
      <c r="F31" s="106">
        <f>'9.1 - Summary '!AX36</f>
        <v>0</v>
      </c>
      <c r="G31" s="276" t="s">
        <v>143</v>
      </c>
      <c r="H31" s="284">
        <v>0.22648067236840891</v>
      </c>
      <c r="I31" s="276">
        <f t="shared" si="3"/>
        <v>0</v>
      </c>
    </row>
    <row r="32" spans="2:10">
      <c r="B32" s="281" t="s">
        <v>164</v>
      </c>
      <c r="C32" s="274"/>
      <c r="D32" s="282"/>
      <c r="E32" s="283"/>
      <c r="F32" s="285">
        <f>SUM(F30:F31)</f>
        <v>0</v>
      </c>
      <c r="H32" s="287"/>
      <c r="I32" s="285">
        <f>SUM(I30:I31)</f>
        <v>0</v>
      </c>
      <c r="J32" s="282" t="s">
        <v>338</v>
      </c>
    </row>
    <row r="33" spans="1:11">
      <c r="B33" s="291"/>
      <c r="C33" s="274"/>
      <c r="D33" s="282"/>
      <c r="E33" s="283"/>
      <c r="H33" s="287"/>
      <c r="I33" s="106"/>
      <c r="J33" s="276"/>
    </row>
    <row r="34" spans="1:11">
      <c r="B34" s="288" t="s">
        <v>284</v>
      </c>
      <c r="C34" s="274"/>
      <c r="D34" s="282"/>
      <c r="E34" s="283"/>
      <c r="F34" s="285">
        <f>-F13+F21+F27+F32</f>
        <v>53118.279999998864</v>
      </c>
      <c r="H34" s="287"/>
      <c r="I34" s="285">
        <f>-I13+I21+I27+I32</f>
        <v>12027.887100786327</v>
      </c>
      <c r="J34" s="276"/>
    </row>
    <row r="35" spans="1:11">
      <c r="C35" s="274"/>
      <c r="F35" s="289"/>
      <c r="J35" s="276"/>
    </row>
    <row r="36" spans="1:11">
      <c r="C36" s="274"/>
      <c r="F36" s="289"/>
      <c r="J36" s="276"/>
    </row>
    <row r="37" spans="1:11">
      <c r="C37" s="274"/>
      <c r="F37" s="289"/>
      <c r="J37" s="276"/>
    </row>
    <row r="42" spans="1:11" ht="13.5" thickBot="1">
      <c r="B42" s="290" t="s">
        <v>283</v>
      </c>
    </row>
    <row r="43" spans="1:11" ht="12.75" customHeight="1">
      <c r="A43" s="359" t="s">
        <v>348</v>
      </c>
      <c r="B43" s="360"/>
      <c r="C43" s="360"/>
      <c r="D43" s="360"/>
      <c r="E43" s="360"/>
      <c r="F43" s="360"/>
      <c r="G43" s="360"/>
      <c r="H43" s="360"/>
      <c r="I43" s="360"/>
      <c r="J43" s="361"/>
      <c r="K43" s="292"/>
    </row>
    <row r="44" spans="1:11">
      <c r="A44" s="362"/>
      <c r="B44" s="363"/>
      <c r="C44" s="363"/>
      <c r="D44" s="363"/>
      <c r="E44" s="363"/>
      <c r="F44" s="363"/>
      <c r="G44" s="363"/>
      <c r="H44" s="363"/>
      <c r="I44" s="363"/>
      <c r="J44" s="364"/>
      <c r="K44" s="292"/>
    </row>
    <row r="45" spans="1:11">
      <c r="A45" s="362"/>
      <c r="B45" s="363"/>
      <c r="C45" s="363"/>
      <c r="D45" s="363"/>
      <c r="E45" s="363"/>
      <c r="F45" s="363"/>
      <c r="G45" s="363"/>
      <c r="H45" s="363"/>
      <c r="I45" s="363"/>
      <c r="J45" s="364"/>
      <c r="K45" s="292"/>
    </row>
    <row r="46" spans="1:11">
      <c r="A46" s="362"/>
      <c r="B46" s="363"/>
      <c r="C46" s="363"/>
      <c r="D46" s="363"/>
      <c r="E46" s="363"/>
      <c r="F46" s="363"/>
      <c r="G46" s="363"/>
      <c r="H46" s="363"/>
      <c r="I46" s="363"/>
      <c r="J46" s="364"/>
      <c r="K46" s="292"/>
    </row>
    <row r="47" spans="1:11">
      <c r="A47" s="362"/>
      <c r="B47" s="363"/>
      <c r="C47" s="363"/>
      <c r="D47" s="363"/>
      <c r="E47" s="363"/>
      <c r="F47" s="363"/>
      <c r="G47" s="363"/>
      <c r="H47" s="363"/>
      <c r="I47" s="363"/>
      <c r="J47" s="364"/>
      <c r="K47" s="292"/>
    </row>
    <row r="48" spans="1:11">
      <c r="A48" s="362"/>
      <c r="B48" s="363"/>
      <c r="C48" s="363"/>
      <c r="D48" s="363"/>
      <c r="E48" s="363"/>
      <c r="F48" s="363"/>
      <c r="G48" s="363"/>
      <c r="H48" s="363"/>
      <c r="I48" s="363"/>
      <c r="J48" s="364"/>
      <c r="K48" s="292"/>
    </row>
    <row r="49" spans="1:11">
      <c r="A49" s="362"/>
      <c r="B49" s="363"/>
      <c r="C49" s="363"/>
      <c r="D49" s="363"/>
      <c r="E49" s="363"/>
      <c r="F49" s="363"/>
      <c r="G49" s="363"/>
      <c r="H49" s="363"/>
      <c r="I49" s="363"/>
      <c r="J49" s="364"/>
      <c r="K49" s="292"/>
    </row>
    <row r="50" spans="1:11" ht="13.5" thickBot="1">
      <c r="A50" s="365"/>
      <c r="B50" s="366"/>
      <c r="C50" s="366"/>
      <c r="D50" s="366"/>
      <c r="E50" s="366"/>
      <c r="F50" s="366"/>
      <c r="G50" s="366"/>
      <c r="H50" s="366"/>
      <c r="I50" s="366"/>
      <c r="J50" s="367"/>
      <c r="K50" s="292"/>
    </row>
  </sheetData>
  <mergeCells count="1">
    <mergeCell ref="A43:J50"/>
  </mergeCells>
  <conditionalFormatting sqref="B9:B26">
    <cfRule type="cellIs" dxfId="35" priority="3" stopIfTrue="1" operator="equal">
      <formula>"Adjustment to Income/Expense/Rate Base:"</formula>
    </cfRule>
  </conditionalFormatting>
  <conditionalFormatting sqref="B20:B22">
    <cfRule type="cellIs" dxfId="34" priority="2" stopIfTrue="1" operator="equal">
      <formula>"Title"</formula>
    </cfRule>
  </conditionalFormatting>
  <conditionalFormatting sqref="B27:B34">
    <cfRule type="cellIs" dxfId="33" priority="1" stopIfTrue="1" operator="equal">
      <formula>"Adjustment to Income/Expense/Rate Base:"</formula>
    </cfRule>
  </conditionalFormatting>
  <pageMargins left="0.65" right="0.72" top="1" bottom="1" header="0.5" footer="0.5"/>
  <pageSetup scale="77" orientation="portrait" r:id="rId1"/>
  <headerFooter alignWithMargins="0">
    <oddHeader>&amp;L&amp;"Arial,Regular"&amp;10WA UE-130043
Bench Request 9&amp;R&amp;"Arial,Bold"&amp;10Attachment Bench Request 9</oddHeader>
    <oddFooter>&amp;L&amp;"Arial,Regular"&amp;10&amp;F&amp;C&amp;A</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pageSetUpPr fitToPage="1"/>
  </sheetPr>
  <dimension ref="A1:S123"/>
  <sheetViews>
    <sheetView view="pageBreakPreview" zoomScale="85" zoomScaleNormal="85" zoomScaleSheetLayoutView="85" workbookViewId="0">
      <pane xSplit="3" ySplit="6" topLeftCell="D7" activePane="bottomRight" state="frozen"/>
      <selection activeCell="T91" sqref="T91"/>
      <selection pane="topRight" activeCell="T91" sqref="T91"/>
      <selection pane="bottomLeft" activeCell="T91" sqref="T91"/>
      <selection pane="bottomRight" activeCell="T91" sqref="T91"/>
    </sheetView>
  </sheetViews>
  <sheetFormatPr defaultColWidth="11" defaultRowHeight="10.5"/>
  <cols>
    <col min="1" max="1" width="3" style="3" customWidth="1"/>
    <col min="2" max="2" width="2.6640625" style="3" customWidth="1"/>
    <col min="3" max="3" width="33.1640625" style="3" customWidth="1"/>
    <col min="4" max="4" width="13.83203125" style="3" customWidth="1"/>
    <col min="5" max="5" width="2.33203125" style="3" customWidth="1"/>
    <col min="6" max="6" width="15.83203125" style="3" customWidth="1"/>
    <col min="7" max="8" width="13.33203125" style="3" bestFit="1" customWidth="1"/>
    <col min="9" max="9" width="13.83203125" style="3" bestFit="1" customWidth="1"/>
    <col min="10" max="10" width="11" style="3" customWidth="1"/>
    <col min="11" max="11" width="14.5" style="3" customWidth="1"/>
    <col min="12" max="12" width="11" style="3" customWidth="1"/>
    <col min="13" max="13" width="14.1640625" style="3" bestFit="1" customWidth="1"/>
    <col min="14" max="14" width="20.1640625" style="27" bestFit="1" customWidth="1"/>
    <col min="15" max="15" width="15" style="3" bestFit="1" customWidth="1"/>
    <col min="16" max="16" width="14.6640625" style="3" bestFit="1" customWidth="1"/>
    <col min="17" max="16384" width="11" style="3"/>
  </cols>
  <sheetData>
    <row r="1" spans="1:14">
      <c r="A1" s="4" t="s">
        <v>118</v>
      </c>
      <c r="D1"/>
      <c r="E1" s="9"/>
      <c r="F1" s="8" t="s">
        <v>42</v>
      </c>
    </row>
    <row r="2" spans="1:14">
      <c r="A2" s="20"/>
      <c r="D2"/>
      <c r="E2" s="9"/>
      <c r="F2" s="9" t="s">
        <v>0</v>
      </c>
      <c r="K2" s="50"/>
    </row>
    <row r="3" spans="1:14">
      <c r="A3" s="5" t="s">
        <v>52</v>
      </c>
      <c r="D3" s="10"/>
      <c r="E3" s="10"/>
      <c r="F3" s="8" t="s">
        <v>1</v>
      </c>
    </row>
    <row r="4" spans="1:14">
      <c r="A4" s="358">
        <v>41974</v>
      </c>
      <c r="B4" s="358"/>
      <c r="C4" s="358"/>
      <c r="D4" s="10"/>
      <c r="E4" s="10"/>
      <c r="F4" s="9"/>
    </row>
    <row r="5" spans="1:14">
      <c r="B5" s="5"/>
      <c r="D5" s="11" t="s">
        <v>2</v>
      </c>
      <c r="E5" s="11"/>
      <c r="F5" s="12" t="s">
        <v>3</v>
      </c>
      <c r="G5" s="12" t="s">
        <v>3</v>
      </c>
      <c r="H5" s="12"/>
      <c r="I5" s="12"/>
    </row>
    <row r="6" spans="1:14" s="11" customFormat="1">
      <c r="A6" s="3"/>
      <c r="B6" s="3"/>
      <c r="C6" s="3"/>
      <c r="D6" s="41" t="s">
        <v>117</v>
      </c>
      <c r="E6" s="15"/>
      <c r="F6" s="13" t="s">
        <v>4</v>
      </c>
      <c r="G6" s="13" t="s">
        <v>5</v>
      </c>
      <c r="H6" s="13" t="s">
        <v>6</v>
      </c>
      <c r="I6" s="13" t="s">
        <v>7</v>
      </c>
      <c r="N6" s="28"/>
    </row>
    <row r="7" spans="1:14">
      <c r="A7" s="3" t="s">
        <v>8</v>
      </c>
      <c r="F7" s="6"/>
      <c r="G7" s="6"/>
      <c r="H7" s="6"/>
      <c r="I7" s="6"/>
    </row>
    <row r="8" spans="1:14">
      <c r="B8" t="s">
        <v>9</v>
      </c>
      <c r="D8" s="26">
        <v>12964800</v>
      </c>
      <c r="E8" s="16"/>
      <c r="F8" s="26">
        <f>D8</f>
        <v>12964800</v>
      </c>
      <c r="G8"/>
      <c r="H8"/>
      <c r="I8"/>
    </row>
    <row r="9" spans="1:14" hidden="1">
      <c r="B9"/>
      <c r="D9" s="16"/>
      <c r="E9" s="16"/>
      <c r="F9" s="1"/>
      <c r="G9" s="6"/>
      <c r="H9" s="6"/>
      <c r="I9" s="6"/>
    </row>
    <row r="10" spans="1:14">
      <c r="B10" t="s">
        <v>10</v>
      </c>
      <c r="D10" s="26">
        <v>60863806.75</v>
      </c>
      <c r="E10" s="16"/>
      <c r="F10" s="1"/>
      <c r="G10" s="6"/>
      <c r="H10" s="6"/>
      <c r="I10" s="26">
        <f>D10</f>
        <v>60863806.75</v>
      </c>
    </row>
    <row r="11" spans="1:14" hidden="1">
      <c r="B11"/>
      <c r="D11" s="16"/>
      <c r="E11" s="16"/>
      <c r="F11" s="1"/>
      <c r="G11" s="6"/>
      <c r="H11" s="6"/>
      <c r="I11" s="6"/>
    </row>
    <row r="12" spans="1:14" hidden="1">
      <c r="B12" t="s">
        <v>11</v>
      </c>
      <c r="D12" s="26">
        <v>0</v>
      </c>
      <c r="E12" s="16"/>
      <c r="F12" s="26">
        <f>D12</f>
        <v>0</v>
      </c>
      <c r="G12" s="6"/>
      <c r="H12" s="6"/>
      <c r="I12" s="6"/>
    </row>
    <row r="13" spans="1:14" hidden="1">
      <c r="C13"/>
      <c r="D13" s="16"/>
      <c r="E13" s="16"/>
      <c r="F13" s="6"/>
      <c r="G13" s="6"/>
      <c r="H13" s="6"/>
      <c r="I13" s="6"/>
    </row>
    <row r="14" spans="1:14" hidden="1">
      <c r="B14" s="3" t="s">
        <v>12</v>
      </c>
      <c r="C14"/>
      <c r="D14" s="26">
        <v>0</v>
      </c>
      <c r="E14" s="16"/>
      <c r="F14" s="6"/>
      <c r="G14" s="6"/>
      <c r="H14" s="26">
        <f>D14</f>
        <v>0</v>
      </c>
      <c r="I14" s="6"/>
    </row>
    <row r="15" spans="1:14" ht="11.25" thickBot="1">
      <c r="D15" s="11" t="s">
        <v>14</v>
      </c>
      <c r="E15" s="14" t="s">
        <v>13</v>
      </c>
      <c r="F15" s="11" t="s">
        <v>14</v>
      </c>
      <c r="G15" s="11" t="s">
        <v>14</v>
      </c>
      <c r="H15" s="11" t="s">
        <v>14</v>
      </c>
      <c r="I15" s="11" t="s">
        <v>14</v>
      </c>
    </row>
    <row r="16" spans="1:14" ht="11.25" thickBot="1">
      <c r="A16" s="3" t="s">
        <v>15</v>
      </c>
      <c r="D16" s="26">
        <f>SUM(D8:D14)</f>
        <v>73828606.75</v>
      </c>
      <c r="E16" s="16"/>
      <c r="F16" s="26">
        <f>SUM(F8:F14)</f>
        <v>12964800</v>
      </c>
      <c r="G16" s="26">
        <f>SUM(G8:G14)</f>
        <v>0</v>
      </c>
      <c r="H16" s="26">
        <f>SUM(H8:H14)</f>
        <v>0</v>
      </c>
      <c r="I16" s="26">
        <f>SUM(I8:I14)</f>
        <v>60863806.75</v>
      </c>
      <c r="K16" s="36">
        <v>0</v>
      </c>
      <c r="L16" s="24" t="s">
        <v>40</v>
      </c>
      <c r="M16" s="37">
        <f>D16-SUM(F16:I16)</f>
        <v>0</v>
      </c>
    </row>
    <row r="17" spans="1:19">
      <c r="D17" s="16"/>
      <c r="E17" s="16"/>
      <c r="F17" s="16"/>
      <c r="G17" s="16"/>
      <c r="H17" s="16"/>
      <c r="I17" s="16"/>
      <c r="P17" s="8" t="s">
        <v>67</v>
      </c>
    </row>
    <row r="18" spans="1:19">
      <c r="D18"/>
      <c r="E18" s="6"/>
      <c r="F18" s="6"/>
      <c r="G18" s="6"/>
      <c r="H18" s="6"/>
      <c r="I18" s="6"/>
      <c r="N18" s="39"/>
      <c r="O18" s="35"/>
      <c r="P18" s="48">
        <f>+A4</f>
        <v>41974</v>
      </c>
    </row>
    <row r="19" spans="1:19" ht="11.25">
      <c r="A19" s="3" t="s">
        <v>16</v>
      </c>
      <c r="D19" s="16"/>
      <c r="E19" s="16"/>
      <c r="F19" s="45"/>
      <c r="G19" s="6"/>
      <c r="H19" s="6"/>
      <c r="I19" s="6"/>
      <c r="N19" s="29" t="s">
        <v>56</v>
      </c>
      <c r="O19" s="42">
        <v>0.42634034956164213</v>
      </c>
      <c r="P19" s="16">
        <v>14785516.07</v>
      </c>
      <c r="Q19" s="44"/>
      <c r="R19" s="30"/>
      <c r="S19" s="16"/>
    </row>
    <row r="20" spans="1:19" ht="11.25" hidden="1">
      <c r="B20"/>
      <c r="C20" s="3" t="s">
        <v>17</v>
      </c>
      <c r="D20" s="26">
        <v>0</v>
      </c>
      <c r="E20" s="16"/>
      <c r="F20" s="26">
        <f>D20</f>
        <v>0</v>
      </c>
      <c r="G20" s="6"/>
      <c r="H20" s="6"/>
      <c r="I20" s="6"/>
      <c r="N20" s="29" t="s">
        <v>58</v>
      </c>
      <c r="O20" s="42">
        <f>1-O19</f>
        <v>0.57365965043835787</v>
      </c>
      <c r="P20" s="16">
        <v>19894560.739999998</v>
      </c>
      <c r="Q20" s="44"/>
      <c r="R20" s="30"/>
      <c r="S20" s="16"/>
    </row>
    <row r="21" spans="1:19" ht="11.25" hidden="1">
      <c r="B21"/>
      <c r="C21" s="3" t="s">
        <v>18</v>
      </c>
      <c r="D21" s="26">
        <v>0</v>
      </c>
      <c r="E21" s="16"/>
      <c r="F21" s="26">
        <f>D21-G21</f>
        <v>0</v>
      </c>
      <c r="G21" s="26">
        <v>0</v>
      </c>
      <c r="H21" s="6"/>
      <c r="I21" s="6"/>
      <c r="N21" s="29" t="s">
        <v>57</v>
      </c>
      <c r="O21" s="42">
        <f>IFERROR(P21/(P21+P22),0)</f>
        <v>0</v>
      </c>
      <c r="P21" s="16">
        <v>0</v>
      </c>
      <c r="Q21" s="44"/>
      <c r="R21" s="30"/>
      <c r="S21" s="16"/>
    </row>
    <row r="22" spans="1:19" ht="11.25">
      <c r="B22"/>
      <c r="C22" s="3" t="s">
        <v>19</v>
      </c>
      <c r="D22" s="26">
        <v>-148246.80999999959</v>
      </c>
      <c r="E22" s="16"/>
      <c r="F22" s="26">
        <f>D22*0.3</f>
        <v>-44474.042999999874</v>
      </c>
      <c r="G22" s="26">
        <f>D22*0.7</f>
        <v>-103772.7669999997</v>
      </c>
      <c r="H22" s="6"/>
      <c r="I22" s="6"/>
      <c r="N22" s="29" t="s">
        <v>59</v>
      </c>
      <c r="O22" s="42">
        <f>1-O21</f>
        <v>1</v>
      </c>
      <c r="P22" s="16">
        <v>0</v>
      </c>
      <c r="Q22" s="44"/>
      <c r="R22" s="30"/>
      <c r="S22" s="16"/>
    </row>
    <row r="23" spans="1:19">
      <c r="B23"/>
      <c r="C23" s="3" t="s">
        <v>20</v>
      </c>
      <c r="D23" s="26">
        <v>323118.28000000003</v>
      </c>
      <c r="E23" s="16"/>
      <c r="F23" s="26">
        <f>D23*0.2073628</f>
        <v>67002.711271984008</v>
      </c>
      <c r="G23" s="26">
        <f>D23-F23</f>
        <v>256115.56872801602</v>
      </c>
      <c r="H23" s="6"/>
      <c r="I23" s="6"/>
    </row>
    <row r="24" spans="1:19">
      <c r="B24"/>
      <c r="C24" s="3" t="s">
        <v>21</v>
      </c>
      <c r="D24" s="26">
        <f>N27</f>
        <v>76897305.959999993</v>
      </c>
      <c r="E24" s="16"/>
      <c r="F24" s="31">
        <f>(N25+N24*O19)*K24</f>
        <v>2517906.851172646</v>
      </c>
      <c r="G24" s="31">
        <f>(N25+N24*O19)*L24</f>
        <v>12267609.214563949</v>
      </c>
      <c r="H24" s="6"/>
      <c r="I24" s="31">
        <f>(N26+N24*O20)</f>
        <v>62111789.894263402</v>
      </c>
      <c r="K24" s="25">
        <v>0.17029549999999999</v>
      </c>
      <c r="L24" s="25">
        <f>1-K24</f>
        <v>0.82970450000000007</v>
      </c>
      <c r="N24" s="26">
        <v>34680076.799999997</v>
      </c>
      <c r="O24" t="s">
        <v>53</v>
      </c>
    </row>
    <row r="25" spans="1:19">
      <c r="B25"/>
      <c r="C25" s="49" t="s">
        <v>90</v>
      </c>
      <c r="D25" s="26">
        <v>0</v>
      </c>
      <c r="E25" s="16"/>
      <c r="F25" s="6"/>
      <c r="G25" s="26">
        <f>D25</f>
        <v>0</v>
      </c>
      <c r="H25" s="6"/>
      <c r="I25" s="26"/>
      <c r="N25" s="26">
        <v>0</v>
      </c>
      <c r="O25" t="s">
        <v>50</v>
      </c>
    </row>
    <row r="26" spans="1:19">
      <c r="B26" s="40" t="s">
        <v>65</v>
      </c>
      <c r="C26" s="14"/>
      <c r="D26" s="11" t="s">
        <v>14</v>
      </c>
      <c r="E26" s="14" t="s">
        <v>13</v>
      </c>
      <c r="F26" s="11" t="s">
        <v>14</v>
      </c>
      <c r="G26" s="11" t="s">
        <v>14</v>
      </c>
      <c r="H26" s="11" t="s">
        <v>14</v>
      </c>
      <c r="I26" s="11" t="s">
        <v>14</v>
      </c>
      <c r="K26" s="25"/>
      <c r="L26" s="25"/>
      <c r="N26" s="43">
        <v>42217229.159999996</v>
      </c>
      <c r="O26" t="s">
        <v>49</v>
      </c>
    </row>
    <row r="27" spans="1:19">
      <c r="B27" s="3" t="s">
        <v>22</v>
      </c>
      <c r="C27"/>
      <c r="D27" s="26">
        <f>SUM(D20:D26)</f>
        <v>77072177.429999992</v>
      </c>
      <c r="E27" s="16"/>
      <c r="F27" s="26">
        <f>SUM(F20:F26)</f>
        <v>2540435.51944463</v>
      </c>
      <c r="G27" s="26">
        <f>SUM(G20:G26)</f>
        <v>12419952.016291965</v>
      </c>
      <c r="H27" s="26">
        <f>SUM(H20:H26)</f>
        <v>0</v>
      </c>
      <c r="I27" s="26">
        <f>SUM(I20:I26)</f>
        <v>62111789.894263402</v>
      </c>
      <c r="K27" s="25"/>
      <c r="L27" s="25"/>
      <c r="N27" s="26">
        <f>SUM(N24:N26)</f>
        <v>76897305.959999993</v>
      </c>
      <c r="O27"/>
    </row>
    <row r="28" spans="1:19" ht="12.75">
      <c r="D28" s="1"/>
      <c r="E28" s="16"/>
      <c r="F28" s="1"/>
      <c r="G28" s="1"/>
      <c r="H28" s="6"/>
      <c r="I28" s="6"/>
      <c r="K28" s="25"/>
      <c r="L28" s="25"/>
      <c r="N28" s="34"/>
      <c r="O28" s="32"/>
    </row>
    <row r="29" spans="1:19" hidden="1">
      <c r="B29"/>
      <c r="C29" s="3" t="s">
        <v>41</v>
      </c>
      <c r="D29" s="26">
        <v>0</v>
      </c>
      <c r="E29" s="16"/>
      <c r="F29" s="26"/>
      <c r="G29" s="26">
        <f>D29</f>
        <v>0</v>
      </c>
      <c r="H29" s="6"/>
      <c r="I29" s="6"/>
      <c r="K29" s="25"/>
      <c r="L29" s="25"/>
      <c r="N29" s="26">
        <v>0</v>
      </c>
      <c r="O29" t="s">
        <v>54</v>
      </c>
    </row>
    <row r="30" spans="1:19" hidden="1">
      <c r="B30"/>
      <c r="C30" s="3" t="s">
        <v>23</v>
      </c>
      <c r="D30" s="26">
        <v>0</v>
      </c>
      <c r="E30" s="16"/>
      <c r="F30" s="26"/>
      <c r="G30" s="26">
        <f>D30</f>
        <v>0</v>
      </c>
      <c r="H30" s="6"/>
      <c r="I30" s="6"/>
      <c r="K30" s="25"/>
      <c r="L30" s="25"/>
      <c r="M30" s="21"/>
      <c r="N30" s="26">
        <v>0</v>
      </c>
      <c r="O30" t="s">
        <v>51</v>
      </c>
    </row>
    <row r="31" spans="1:19" hidden="1">
      <c r="B31"/>
      <c r="C31" s="3" t="s">
        <v>24</v>
      </c>
      <c r="D31" s="26">
        <f>N32</f>
        <v>0</v>
      </c>
      <c r="E31" s="16"/>
      <c r="F31" s="31">
        <f>(N30+N29*O21)*K31</f>
        <v>0</v>
      </c>
      <c r="G31" s="31">
        <f>(N30+N29*O21)*L31</f>
        <v>0</v>
      </c>
      <c r="H31" s="6"/>
      <c r="I31" s="31">
        <f>(N31+N29*O22)</f>
        <v>0</v>
      </c>
      <c r="K31" s="25">
        <v>0.7</v>
      </c>
      <c r="L31" s="25">
        <f>1-K31</f>
        <v>0.30000000000000004</v>
      </c>
      <c r="N31" s="43">
        <v>0</v>
      </c>
      <c r="O31" t="s">
        <v>48</v>
      </c>
    </row>
    <row r="32" spans="1:19" hidden="1">
      <c r="B32"/>
      <c r="C32" s="3" t="s">
        <v>25</v>
      </c>
      <c r="D32" s="26">
        <v>0</v>
      </c>
      <c r="E32" s="16"/>
      <c r="F32" s="26">
        <f>D32</f>
        <v>0</v>
      </c>
      <c r="G32" s="26">
        <v>0</v>
      </c>
      <c r="H32" s="6"/>
      <c r="I32" s="6"/>
      <c r="N32" s="33">
        <f>SUM(N29:N31)</f>
        <v>0</v>
      </c>
      <c r="O32"/>
    </row>
    <row r="33" spans="2:18" hidden="1">
      <c r="B33"/>
      <c r="C33" s="3" t="s">
        <v>89</v>
      </c>
      <c r="D33" s="26">
        <v>0</v>
      </c>
      <c r="E33" s="16"/>
      <c r="F33" s="6"/>
      <c r="G33" s="26">
        <f>D33</f>
        <v>0</v>
      </c>
      <c r="H33" s="6"/>
      <c r="I33" s="6"/>
      <c r="N33" s="33"/>
      <c r="O33"/>
    </row>
    <row r="34" spans="2:18" hidden="1">
      <c r="B34"/>
      <c r="C34" s="3" t="s">
        <v>26</v>
      </c>
      <c r="D34" s="26">
        <v>0</v>
      </c>
      <c r="E34" s="16"/>
      <c r="F34" s="26">
        <v>0</v>
      </c>
      <c r="G34" s="26">
        <v>0</v>
      </c>
      <c r="H34" s="6"/>
      <c r="I34" s="6"/>
    </row>
    <row r="35" spans="2:18" hidden="1">
      <c r="B35" s="40" t="s">
        <v>65</v>
      </c>
      <c r="C35" s="14"/>
      <c r="D35" s="11" t="s">
        <v>14</v>
      </c>
      <c r="E35" s="14" t="s">
        <v>13</v>
      </c>
      <c r="F35" s="11" t="s">
        <v>14</v>
      </c>
      <c r="G35" s="11" t="s">
        <v>14</v>
      </c>
      <c r="H35" s="11" t="s">
        <v>14</v>
      </c>
      <c r="I35" s="11" t="s">
        <v>14</v>
      </c>
      <c r="R35" s="30"/>
    </row>
    <row r="36" spans="2:18" hidden="1">
      <c r="B36" s="3" t="s">
        <v>27</v>
      </c>
      <c r="C36"/>
      <c r="D36" s="26">
        <f>SUM(D29:D35)</f>
        <v>0</v>
      </c>
      <c r="E36" s="16"/>
      <c r="F36" s="26">
        <f>SUM(F29:F35)</f>
        <v>0</v>
      </c>
      <c r="G36" s="26">
        <f>SUM(G29:G35)</f>
        <v>0</v>
      </c>
      <c r="H36" s="26">
        <f>SUM(H29:H35)</f>
        <v>0</v>
      </c>
      <c r="I36" s="26">
        <f>SUM(I29:I35)</f>
        <v>0</v>
      </c>
    </row>
    <row r="37" spans="2:18">
      <c r="D37" s="16"/>
      <c r="E37" s="16"/>
      <c r="F37" s="6"/>
      <c r="G37" s="6"/>
      <c r="H37" s="6"/>
      <c r="I37" s="6"/>
      <c r="N37" s="3"/>
    </row>
    <row r="38" spans="2:18" hidden="1">
      <c r="B38"/>
      <c r="C38" s="3" t="s">
        <v>68</v>
      </c>
      <c r="D38" s="26">
        <v>0</v>
      </c>
      <c r="E38" s="16"/>
      <c r="F38" s="6"/>
      <c r="G38" s="6"/>
      <c r="H38" s="6"/>
      <c r="I38" s="26">
        <f t="shared" ref="I38:I65" si="0">IF(K38="Post Merger",D38,0)</f>
        <v>0</v>
      </c>
      <c r="K38" s="3" t="s">
        <v>10</v>
      </c>
    </row>
    <row r="39" spans="2:18" hidden="1">
      <c r="B39"/>
      <c r="C39" s="3" t="s">
        <v>55</v>
      </c>
      <c r="D39" s="26">
        <v>0</v>
      </c>
      <c r="E39" s="16"/>
      <c r="F39" s="6"/>
      <c r="G39" s="6"/>
      <c r="H39" s="6"/>
      <c r="I39" s="26">
        <f t="shared" si="0"/>
        <v>0</v>
      </c>
      <c r="K39" s="3" t="s">
        <v>10</v>
      </c>
    </row>
    <row r="40" spans="2:18" hidden="1">
      <c r="B40"/>
      <c r="C40" s="3" t="s">
        <v>69</v>
      </c>
      <c r="D40" s="26">
        <v>0</v>
      </c>
      <c r="E40" s="16"/>
      <c r="F40" s="6"/>
      <c r="G40" s="6"/>
      <c r="H40" s="6"/>
      <c r="I40" s="26">
        <f t="shared" si="0"/>
        <v>0</v>
      </c>
      <c r="K40" s="3" t="s">
        <v>10</v>
      </c>
    </row>
    <row r="41" spans="2:18" hidden="1">
      <c r="B41"/>
      <c r="C41" s="3" t="s">
        <v>88</v>
      </c>
      <c r="D41" s="26">
        <v>0</v>
      </c>
      <c r="E41" s="16"/>
      <c r="F41" s="6"/>
      <c r="G41" s="6"/>
      <c r="H41" s="6"/>
      <c r="I41" s="26">
        <f t="shared" si="0"/>
        <v>0</v>
      </c>
      <c r="K41" s="3" t="s">
        <v>10</v>
      </c>
    </row>
    <row r="42" spans="2:18" hidden="1">
      <c r="B42"/>
      <c r="C42" s="3" t="s">
        <v>70</v>
      </c>
      <c r="D42" s="26">
        <v>0</v>
      </c>
      <c r="E42" s="16"/>
      <c r="F42" s="6"/>
      <c r="G42" s="6"/>
      <c r="H42" s="6"/>
      <c r="I42" s="26">
        <f t="shared" si="0"/>
        <v>0</v>
      </c>
      <c r="K42" s="3" t="s">
        <v>10</v>
      </c>
    </row>
    <row r="43" spans="2:18">
      <c r="B43"/>
      <c r="C43" s="3" t="s">
        <v>71</v>
      </c>
      <c r="D43" s="26">
        <v>4575693.2</v>
      </c>
      <c r="E43" s="16"/>
      <c r="F43" s="6"/>
      <c r="G43" s="6"/>
      <c r="H43" s="6"/>
      <c r="I43" s="26">
        <f t="shared" si="0"/>
        <v>4575693.2</v>
      </c>
      <c r="K43" s="3" t="s">
        <v>10</v>
      </c>
    </row>
    <row r="44" spans="2:18" hidden="1">
      <c r="B44"/>
      <c r="C44" s="3" t="s">
        <v>72</v>
      </c>
      <c r="D44" s="26">
        <v>0</v>
      </c>
      <c r="E44" s="16"/>
      <c r="F44" s="6"/>
      <c r="G44" s="6"/>
      <c r="H44" s="6"/>
      <c r="I44" s="26">
        <f t="shared" si="0"/>
        <v>0</v>
      </c>
      <c r="K44" s="3" t="s">
        <v>10</v>
      </c>
    </row>
    <row r="45" spans="2:18">
      <c r="B45"/>
      <c r="C45" s="3" t="s">
        <v>46</v>
      </c>
      <c r="D45" s="26">
        <v>8005931.2199999997</v>
      </c>
      <c r="E45" s="16"/>
      <c r="F45" s="6"/>
      <c r="G45" s="6"/>
      <c r="H45" s="6"/>
      <c r="I45" s="26">
        <f t="shared" si="0"/>
        <v>8005931.2199999997</v>
      </c>
      <c r="K45" s="3" t="s">
        <v>10</v>
      </c>
    </row>
    <row r="46" spans="2:18">
      <c r="B46"/>
      <c r="C46" s="3" t="s">
        <v>73</v>
      </c>
      <c r="D46" s="26">
        <v>84152812.780000001</v>
      </c>
      <c r="E46" s="16"/>
      <c r="F46" s="6"/>
      <c r="G46" s="6"/>
      <c r="H46" s="6"/>
      <c r="I46" s="26">
        <f t="shared" si="0"/>
        <v>84152812.780000001</v>
      </c>
      <c r="K46" s="3" t="s">
        <v>10</v>
      </c>
    </row>
    <row r="47" spans="2:18" hidden="1">
      <c r="B47"/>
      <c r="C47" s="3" t="s">
        <v>74</v>
      </c>
      <c r="D47" s="26">
        <v>0</v>
      </c>
      <c r="E47" s="16"/>
      <c r="F47" s="6"/>
      <c r="G47" s="6"/>
      <c r="H47" s="6"/>
      <c r="I47" s="26">
        <f t="shared" si="0"/>
        <v>0</v>
      </c>
      <c r="K47" s="3" t="s">
        <v>10</v>
      </c>
    </row>
    <row r="48" spans="2:18" hidden="1">
      <c r="B48"/>
      <c r="C48" s="3" t="s">
        <v>75</v>
      </c>
      <c r="D48" s="26">
        <v>0</v>
      </c>
      <c r="E48" s="16"/>
      <c r="F48" s="6"/>
      <c r="G48" s="6"/>
      <c r="H48" s="6"/>
      <c r="I48" s="26">
        <f t="shared" si="0"/>
        <v>0</v>
      </c>
      <c r="K48" s="3" t="s">
        <v>10</v>
      </c>
    </row>
    <row r="49" spans="2:11" hidden="1">
      <c r="B49"/>
      <c r="C49" s="3" t="s">
        <v>45</v>
      </c>
      <c r="D49" s="26">
        <v>0</v>
      </c>
      <c r="E49" s="16"/>
      <c r="F49" s="6"/>
      <c r="G49" s="6"/>
      <c r="H49" s="6"/>
      <c r="I49" s="26">
        <f t="shared" si="0"/>
        <v>0</v>
      </c>
      <c r="K49" s="3" t="s">
        <v>10</v>
      </c>
    </row>
    <row r="50" spans="2:11" hidden="1">
      <c r="B50"/>
      <c r="C50" s="22" t="s">
        <v>76</v>
      </c>
      <c r="D50" s="26">
        <v>0</v>
      </c>
      <c r="E50" s="16"/>
      <c r="F50" s="6"/>
      <c r="G50" s="6"/>
      <c r="H50" s="6"/>
      <c r="I50" s="26">
        <f t="shared" si="0"/>
        <v>0</v>
      </c>
      <c r="K50" s="3" t="s">
        <v>10</v>
      </c>
    </row>
    <row r="51" spans="2:11" hidden="1">
      <c r="B51"/>
      <c r="C51" s="3" t="s">
        <v>77</v>
      </c>
      <c r="D51" s="26">
        <v>0</v>
      </c>
      <c r="E51" s="16"/>
      <c r="F51" s="6"/>
      <c r="G51" s="6"/>
      <c r="H51" s="6"/>
      <c r="I51" s="26">
        <f t="shared" si="0"/>
        <v>0</v>
      </c>
      <c r="K51" s="3" t="s">
        <v>10</v>
      </c>
    </row>
    <row r="52" spans="2:11" hidden="1">
      <c r="B52"/>
      <c r="C52" s="3" t="s">
        <v>78</v>
      </c>
      <c r="D52" s="26">
        <v>0</v>
      </c>
      <c r="E52" s="16"/>
      <c r="F52" s="6"/>
      <c r="G52" s="6"/>
      <c r="H52" s="6"/>
      <c r="I52" s="26">
        <f t="shared" si="0"/>
        <v>0</v>
      </c>
      <c r="K52" s="3" t="s">
        <v>10</v>
      </c>
    </row>
    <row r="53" spans="2:11" hidden="1">
      <c r="B53"/>
      <c r="C53" s="3" t="s">
        <v>79</v>
      </c>
      <c r="D53" s="26">
        <v>0</v>
      </c>
      <c r="E53" s="16"/>
      <c r="F53" s="6"/>
      <c r="G53" s="6"/>
      <c r="H53" s="6"/>
      <c r="I53" s="26">
        <f t="shared" si="0"/>
        <v>0</v>
      </c>
      <c r="K53" s="3" t="s">
        <v>10</v>
      </c>
    </row>
    <row r="54" spans="2:11" hidden="1">
      <c r="B54"/>
      <c r="C54" s="3" t="s">
        <v>80</v>
      </c>
      <c r="D54" s="26">
        <v>0</v>
      </c>
      <c r="E54" s="16"/>
      <c r="F54" s="6"/>
      <c r="G54" s="6"/>
      <c r="H54" s="6"/>
      <c r="I54" s="26">
        <f t="shared" si="0"/>
        <v>0</v>
      </c>
      <c r="K54" s="3" t="s">
        <v>10</v>
      </c>
    </row>
    <row r="55" spans="2:11" hidden="1">
      <c r="B55"/>
      <c r="C55" s="3" t="s">
        <v>81</v>
      </c>
      <c r="D55" s="26">
        <v>0</v>
      </c>
      <c r="E55" s="16"/>
      <c r="F55" s="6"/>
      <c r="G55" s="6"/>
      <c r="H55" s="6"/>
      <c r="I55" s="26">
        <f t="shared" si="0"/>
        <v>0</v>
      </c>
      <c r="K55" s="3" t="s">
        <v>10</v>
      </c>
    </row>
    <row r="56" spans="2:11" hidden="1">
      <c r="B56"/>
      <c r="C56" s="3" t="s">
        <v>82</v>
      </c>
      <c r="D56" s="26">
        <v>0</v>
      </c>
      <c r="E56" s="16"/>
      <c r="F56" s="6"/>
      <c r="G56" s="6"/>
      <c r="H56" s="6"/>
      <c r="I56" s="26">
        <f t="shared" si="0"/>
        <v>0</v>
      </c>
      <c r="K56" s="3" t="s">
        <v>10</v>
      </c>
    </row>
    <row r="57" spans="2:11" hidden="1">
      <c r="B57"/>
      <c r="C57" s="27" t="s">
        <v>83</v>
      </c>
      <c r="D57" s="26">
        <v>0</v>
      </c>
      <c r="E57" s="16"/>
      <c r="F57" s="6"/>
      <c r="G57" s="6"/>
      <c r="H57" s="6"/>
      <c r="I57" s="26">
        <f t="shared" si="0"/>
        <v>0</v>
      </c>
      <c r="K57" s="3" t="s">
        <v>10</v>
      </c>
    </row>
    <row r="58" spans="2:11" hidden="1">
      <c r="B58"/>
      <c r="C58" s="27" t="s">
        <v>92</v>
      </c>
      <c r="D58" s="26">
        <v>0</v>
      </c>
      <c r="E58" s="16"/>
      <c r="F58" s="6"/>
      <c r="G58" s="6"/>
      <c r="H58" s="6"/>
      <c r="I58" s="26">
        <f t="shared" si="0"/>
        <v>0</v>
      </c>
      <c r="K58" s="3" t="s">
        <v>10</v>
      </c>
    </row>
    <row r="59" spans="2:11" hidden="1">
      <c r="B59"/>
      <c r="C59" s="3" t="s">
        <v>84</v>
      </c>
      <c r="D59" s="26">
        <v>0</v>
      </c>
      <c r="E59" s="16"/>
      <c r="F59" s="6"/>
      <c r="G59" s="6"/>
      <c r="H59" s="6"/>
      <c r="I59" s="26">
        <f t="shared" si="0"/>
        <v>0</v>
      </c>
      <c r="K59" s="3" t="s">
        <v>10</v>
      </c>
    </row>
    <row r="60" spans="2:11" hidden="1">
      <c r="B60"/>
      <c r="C60" s="3" t="s">
        <v>95</v>
      </c>
      <c r="D60" s="26">
        <v>0</v>
      </c>
      <c r="E60" s="16"/>
      <c r="F60" s="6"/>
      <c r="G60" s="6"/>
      <c r="H60" s="6"/>
      <c r="I60" s="26">
        <f t="shared" si="0"/>
        <v>0</v>
      </c>
      <c r="K60" s="3" t="s">
        <v>10</v>
      </c>
    </row>
    <row r="61" spans="2:11" hidden="1">
      <c r="B61"/>
      <c r="C61" s="3" t="s">
        <v>85</v>
      </c>
      <c r="D61" s="26">
        <v>0</v>
      </c>
      <c r="E61" s="16"/>
      <c r="F61" s="6"/>
      <c r="G61" s="6"/>
      <c r="H61" s="6"/>
      <c r="I61" s="26">
        <f t="shared" si="0"/>
        <v>0</v>
      </c>
      <c r="K61" s="3" t="s">
        <v>10</v>
      </c>
    </row>
    <row r="62" spans="2:11" hidden="1">
      <c r="B62"/>
      <c r="C62" s="3" t="s">
        <v>86</v>
      </c>
      <c r="D62" s="26">
        <v>0</v>
      </c>
      <c r="E62" s="16"/>
      <c r="F62" s="6"/>
      <c r="G62" s="6"/>
      <c r="H62" s="6"/>
      <c r="I62" s="26">
        <f t="shared" si="0"/>
        <v>0</v>
      </c>
      <c r="K62" s="3" t="s">
        <v>10</v>
      </c>
    </row>
    <row r="63" spans="2:11" hidden="1">
      <c r="B63"/>
      <c r="C63" s="3" t="s">
        <v>94</v>
      </c>
      <c r="D63" s="26">
        <v>0</v>
      </c>
      <c r="E63" s="16"/>
      <c r="F63" s="6"/>
      <c r="G63" s="6"/>
      <c r="H63" s="6"/>
      <c r="I63" s="26">
        <f t="shared" si="0"/>
        <v>0</v>
      </c>
      <c r="K63" s="3" t="s">
        <v>10</v>
      </c>
    </row>
    <row r="64" spans="2:11" hidden="1">
      <c r="B64"/>
      <c r="C64" s="27" t="s">
        <v>87</v>
      </c>
      <c r="D64" s="26">
        <v>0</v>
      </c>
      <c r="E64" s="16"/>
      <c r="F64" s="6"/>
      <c r="G64" s="6"/>
      <c r="H64" s="6"/>
      <c r="I64" s="26">
        <f t="shared" si="0"/>
        <v>0</v>
      </c>
      <c r="K64" s="3" t="s">
        <v>10</v>
      </c>
    </row>
    <row r="65" spans="1:16" hidden="1">
      <c r="B65"/>
      <c r="C65" s="3" t="s">
        <v>93</v>
      </c>
      <c r="D65" s="26">
        <v>0</v>
      </c>
      <c r="E65" s="16"/>
      <c r="F65" s="6"/>
      <c r="G65" s="6"/>
      <c r="H65" s="6"/>
      <c r="I65" s="26">
        <f t="shared" si="0"/>
        <v>0</v>
      </c>
      <c r="K65" s="3" t="s">
        <v>10</v>
      </c>
    </row>
    <row r="66" spans="1:16" ht="11.25" thickBot="1">
      <c r="B66"/>
      <c r="C66" s="27"/>
      <c r="D66" s="26"/>
      <c r="E66" s="16"/>
      <c r="F66" s="6"/>
      <c r="G66" s="6"/>
      <c r="H66" s="6"/>
      <c r="I66" s="26"/>
    </row>
    <row r="67" spans="1:16" hidden="1">
      <c r="B67" s="22" t="s">
        <v>64</v>
      </c>
      <c r="C67" s="27"/>
      <c r="D67" s="26"/>
      <c r="E67" s="16"/>
      <c r="F67" s="6"/>
      <c r="G67" s="6"/>
      <c r="H67" s="6"/>
      <c r="I67" s="26"/>
    </row>
    <row r="68" spans="1:16" ht="11.25" hidden="1" thickBot="1">
      <c r="B68"/>
      <c r="C68" s="3" t="s">
        <v>96</v>
      </c>
      <c r="D68" s="26">
        <v>0</v>
      </c>
      <c r="E68" s="16"/>
      <c r="F68" s="6"/>
      <c r="G68" s="6"/>
      <c r="H68" s="6"/>
      <c r="I68" s="26">
        <f>IF(K68="Post Merger",D68,0)</f>
        <v>0</v>
      </c>
      <c r="K68" s="3" t="s">
        <v>10</v>
      </c>
    </row>
    <row r="69" spans="1:16" ht="11.25" thickBot="1">
      <c r="B69"/>
      <c r="D69" s="16"/>
      <c r="E69" s="16"/>
      <c r="F69" s="6"/>
      <c r="G69" s="6"/>
      <c r="H69" s="6"/>
      <c r="I69" s="6"/>
      <c r="K69" s="36">
        <v>0</v>
      </c>
      <c r="L69" s="24" t="s">
        <v>40</v>
      </c>
      <c r="M69" s="37">
        <v>0</v>
      </c>
    </row>
    <row r="70" spans="1:16">
      <c r="B70"/>
      <c r="C70" t="s">
        <v>115</v>
      </c>
      <c r="D70" s="26">
        <v>67492994.709999993</v>
      </c>
      <c r="E70" s="16"/>
      <c r="F70" s="6"/>
      <c r="G70" s="6"/>
      <c r="H70" s="6"/>
      <c r="I70" s="26">
        <f>D70</f>
        <v>67492994.709999993</v>
      </c>
    </row>
    <row r="71" spans="1:16" ht="11.25" thickBot="1">
      <c r="B71" s="40" t="s">
        <v>65</v>
      </c>
      <c r="C71" s="14"/>
      <c r="D71" s="11" t="s">
        <v>14</v>
      </c>
      <c r="E71" s="14" t="s">
        <v>13</v>
      </c>
      <c r="F71" s="11" t="s">
        <v>14</v>
      </c>
      <c r="G71" s="11" t="s">
        <v>14</v>
      </c>
      <c r="H71" s="11" t="s">
        <v>14</v>
      </c>
      <c r="I71" s="11" t="s">
        <v>14</v>
      </c>
    </row>
    <row r="72" spans="1:16" ht="11.25" thickBot="1">
      <c r="B72" s="3" t="s">
        <v>28</v>
      </c>
      <c r="C72"/>
      <c r="D72" s="26">
        <f>SUM(D38:D70)</f>
        <v>164227431.91</v>
      </c>
      <c r="E72" s="16"/>
      <c r="F72" s="26">
        <f>SUM(F38:F70)</f>
        <v>0</v>
      </c>
      <c r="G72" s="26">
        <f>SUM(G38:G70)</f>
        <v>0</v>
      </c>
      <c r="H72" s="26">
        <f>SUM(H38:H70)</f>
        <v>0</v>
      </c>
      <c r="I72" s="26">
        <f>SUM(I38:I70)</f>
        <v>164227431.91</v>
      </c>
      <c r="K72" s="36"/>
      <c r="L72" s="24" t="s">
        <v>40</v>
      </c>
      <c r="M72" s="37">
        <f>D72-SUM(F72:I72)</f>
        <v>0</v>
      </c>
    </row>
    <row r="73" spans="1:16">
      <c r="B73" s="3" t="s">
        <v>116</v>
      </c>
      <c r="D73" s="26">
        <v>663166.31000000006</v>
      </c>
      <c r="E73" s="16"/>
      <c r="F73" s="14"/>
      <c r="H73" s="26"/>
      <c r="I73" s="26">
        <f>D73</f>
        <v>663166.31000000006</v>
      </c>
      <c r="J73"/>
      <c r="K73"/>
      <c r="L73"/>
      <c r="M73"/>
    </row>
    <row r="74" spans="1:16">
      <c r="B74" s="3" t="s">
        <v>29</v>
      </c>
      <c r="C74"/>
      <c r="D74" s="26">
        <v>0</v>
      </c>
      <c r="E74" s="16"/>
      <c r="F74" s="26"/>
      <c r="G74" s="26"/>
      <c r="H74" s="26">
        <f>D74</f>
        <v>0</v>
      </c>
      <c r="I74" s="6"/>
    </row>
    <row r="75" spans="1:16" ht="11.25" thickBot="1">
      <c r="D75" s="11" t="s">
        <v>14</v>
      </c>
      <c r="E75" s="14" t="s">
        <v>13</v>
      </c>
      <c r="F75" s="11" t="s">
        <v>14</v>
      </c>
      <c r="G75" s="11" t="s">
        <v>14</v>
      </c>
      <c r="H75" s="11" t="s">
        <v>14</v>
      </c>
      <c r="I75" s="11" t="s">
        <v>14</v>
      </c>
    </row>
    <row r="76" spans="1:16" ht="11.25" thickBot="1">
      <c r="A76" s="3" t="s">
        <v>30</v>
      </c>
      <c r="D76" s="26">
        <f>D72+D73+D74+D36+D27</f>
        <v>241962775.64999998</v>
      </c>
      <c r="E76" s="16"/>
      <c r="F76" s="26">
        <f>F72+F73+F74+F36+F27</f>
        <v>2540435.51944463</v>
      </c>
      <c r="G76" s="26">
        <f>G72+G73+G74+G36+G27</f>
        <v>12419952.016291965</v>
      </c>
      <c r="H76" s="26">
        <f>H72+H73+H74+H36+H27</f>
        <v>0</v>
      </c>
      <c r="I76" s="26">
        <f>I72+I73+I74+I36+I27</f>
        <v>227002388.11426342</v>
      </c>
      <c r="K76" s="36">
        <v>0</v>
      </c>
      <c r="L76" s="24" t="s">
        <v>40</v>
      </c>
      <c r="M76" s="37">
        <f>D76-SUM(F76:I76)</f>
        <v>0</v>
      </c>
    </row>
    <row r="77" spans="1:16">
      <c r="D77" s="16"/>
      <c r="E77" s="16"/>
      <c r="F77" s="16"/>
      <c r="G77" s="16"/>
      <c r="H77" s="16"/>
      <c r="I77" s="16"/>
    </row>
    <row r="78" spans="1:16">
      <c r="D78" s="16"/>
      <c r="E78" s="16"/>
      <c r="F78" s="16"/>
      <c r="G78" s="16"/>
      <c r="H78" s="16"/>
      <c r="I78" s="16"/>
    </row>
    <row r="79" spans="1:16" ht="11.25">
      <c r="A79" s="3" t="s">
        <v>31</v>
      </c>
      <c r="F79" s="6"/>
      <c r="G79" s="6"/>
      <c r="H79" s="6"/>
      <c r="I79" s="6"/>
      <c r="N79" s="29" t="s">
        <v>60</v>
      </c>
      <c r="O79" s="32">
        <v>24999835.973468848</v>
      </c>
      <c r="P79" s="26"/>
    </row>
    <row r="80" spans="1:16" ht="11.25">
      <c r="F80" s="6"/>
      <c r="G80" s="6"/>
      <c r="H80" s="6"/>
      <c r="I80" s="6"/>
      <c r="N80" s="29" t="s">
        <v>61</v>
      </c>
      <c r="O80" s="32">
        <v>0</v>
      </c>
      <c r="P80" s="26"/>
    </row>
    <row r="81" spans="1:16" customFormat="1" ht="11.25">
      <c r="A81" s="3"/>
      <c r="B81" s="3" t="s">
        <v>32</v>
      </c>
      <c r="D81" s="26">
        <f>SUM(F81:I81)</f>
        <v>24999835.973468848</v>
      </c>
      <c r="E81" s="16"/>
      <c r="F81" s="26">
        <f>O79</f>
        <v>24999835.973468848</v>
      </c>
      <c r="G81" s="6"/>
      <c r="H81" s="6"/>
      <c r="I81" s="6"/>
      <c r="J81" s="3"/>
      <c r="K81" s="18"/>
      <c r="L81" s="3"/>
      <c r="M81" s="3"/>
      <c r="N81" s="29" t="s">
        <v>62</v>
      </c>
      <c r="O81" s="32">
        <v>83304574.000558719</v>
      </c>
      <c r="P81" s="38"/>
    </row>
    <row r="82" spans="1:16" ht="11.25" hidden="1">
      <c r="A82"/>
      <c r="B82"/>
      <c r="C82"/>
      <c r="D82"/>
      <c r="E82"/>
      <c r="F82"/>
      <c r="G82"/>
      <c r="H82"/>
      <c r="I82"/>
      <c r="J82"/>
      <c r="K82" s="23"/>
      <c r="L82"/>
      <c r="M82"/>
      <c r="N82" s="29" t="s">
        <v>91</v>
      </c>
      <c r="O82" s="32">
        <v>0</v>
      </c>
      <c r="P82" s="26"/>
    </row>
    <row r="83" spans="1:16" ht="12" thickBot="1">
      <c r="B83" s="3" t="s">
        <v>33</v>
      </c>
      <c r="C83"/>
      <c r="D83" s="26">
        <f>SUM(F83:I83)</f>
        <v>0</v>
      </c>
      <c r="E83" s="16"/>
      <c r="F83" s="26">
        <f>O80</f>
        <v>0</v>
      </c>
      <c r="G83" s="6"/>
      <c r="H83" s="6"/>
      <c r="I83" s="6"/>
      <c r="N83" s="29" t="s">
        <v>63</v>
      </c>
      <c r="O83" s="32">
        <v>1038267.1499999999</v>
      </c>
      <c r="P83" s="26"/>
    </row>
    <row r="84" spans="1:16" ht="11.25" hidden="1" thickBot="1">
      <c r="C84"/>
      <c r="D84" s="16"/>
      <c r="E84" s="16"/>
      <c r="F84" s="6"/>
      <c r="G84" s="6"/>
      <c r="H84" s="6"/>
      <c r="I84" s="6"/>
      <c r="O84" s="32">
        <f>SUM(O79:O83)</f>
        <v>109342677.12402758</v>
      </c>
      <c r="P84" s="26"/>
    </row>
    <row r="85" spans="1:16" ht="11.25" thickBot="1">
      <c r="B85" s="3" t="s">
        <v>10</v>
      </c>
      <c r="C85"/>
      <c r="D85" s="26">
        <f>D90-(D81+D83+D87)</f>
        <v>84342841.02653116</v>
      </c>
      <c r="E85" s="16"/>
      <c r="F85" s="17"/>
      <c r="G85" s="6"/>
      <c r="H85" s="6"/>
      <c r="I85" s="26">
        <f>D85</f>
        <v>84342841.02653116</v>
      </c>
      <c r="N85" s="47" t="s">
        <v>40</v>
      </c>
      <c r="O85" s="37">
        <v>0</v>
      </c>
      <c r="P85" s="46"/>
    </row>
    <row r="86" spans="1:16" hidden="1">
      <c r="F86" s="6"/>
      <c r="G86" s="6"/>
      <c r="H86" s="6"/>
      <c r="I86" s="6"/>
    </row>
    <row r="87" spans="1:16" customFormat="1">
      <c r="A87" s="3"/>
      <c r="B87" t="s">
        <v>34</v>
      </c>
      <c r="C87" s="3"/>
      <c r="D87" s="26">
        <v>0</v>
      </c>
      <c r="E87" s="16"/>
      <c r="F87" s="6"/>
      <c r="H87" s="26">
        <f>D87</f>
        <v>0</v>
      </c>
      <c r="I87" s="6"/>
      <c r="J87" s="3"/>
      <c r="K87" s="3"/>
      <c r="L87" s="3"/>
      <c r="M87" s="3"/>
      <c r="N87" s="27"/>
    </row>
    <row r="88" spans="1:16">
      <c r="A88"/>
      <c r="B88"/>
      <c r="C88"/>
      <c r="D88"/>
      <c r="E88"/>
      <c r="F88"/>
      <c r="G88"/>
      <c r="H88"/>
      <c r="I88"/>
      <c r="J88"/>
      <c r="K88"/>
      <c r="L88"/>
      <c r="M88"/>
    </row>
    <row r="89" spans="1:16" ht="11.25" thickBot="1">
      <c r="D89" s="11" t="s">
        <v>14</v>
      </c>
      <c r="E89" s="14" t="s">
        <v>13</v>
      </c>
      <c r="F89" s="11" t="s">
        <v>14</v>
      </c>
      <c r="G89" s="11" t="s">
        <v>14</v>
      </c>
      <c r="H89" s="11" t="s">
        <v>14</v>
      </c>
      <c r="I89" s="11" t="s">
        <v>14</v>
      </c>
    </row>
    <row r="90" spans="1:16" customFormat="1" ht="11.25" thickBot="1">
      <c r="A90" s="3" t="s">
        <v>35</v>
      </c>
      <c r="B90" s="3"/>
      <c r="C90" s="3"/>
      <c r="D90" s="26">
        <v>109342677</v>
      </c>
      <c r="E90" s="16"/>
      <c r="F90" s="26">
        <f>SUM(F81:F87)</f>
        <v>24999835.973468848</v>
      </c>
      <c r="G90" s="26">
        <f>SUM(G81:G87)</f>
        <v>0</v>
      </c>
      <c r="H90" s="26">
        <f>SUM(H81:H87)</f>
        <v>0</v>
      </c>
      <c r="I90" s="26">
        <f>SUM(I81:I87)</f>
        <v>84342841.02653116</v>
      </c>
      <c r="J90" s="3"/>
      <c r="K90" s="36">
        <f>D90-(D81+D83+D85+D87)</f>
        <v>0</v>
      </c>
      <c r="L90" s="24" t="s">
        <v>40</v>
      </c>
      <c r="M90" s="37">
        <f>D90-SUM(F90:I90)</f>
        <v>0</v>
      </c>
      <c r="N90" s="27"/>
    </row>
    <row r="91" spans="1:16" customFormat="1">
      <c r="A91" s="3"/>
      <c r="B91" s="3"/>
      <c r="C91" s="3"/>
      <c r="D91" s="3"/>
      <c r="E91" s="3"/>
      <c r="G91" s="3"/>
      <c r="H91" s="3"/>
      <c r="I91" s="3"/>
      <c r="N91" s="27"/>
    </row>
    <row r="92" spans="1:16" customFormat="1">
      <c r="A92" s="3" t="s">
        <v>36</v>
      </c>
      <c r="B92" s="3"/>
      <c r="C92" s="3"/>
      <c r="D92" s="3"/>
      <c r="E92" s="3"/>
      <c r="G92" s="3"/>
      <c r="H92" s="3"/>
      <c r="I92" s="3"/>
      <c r="N92" s="27"/>
    </row>
    <row r="93" spans="1:16" customFormat="1" hidden="1">
      <c r="A93" s="3"/>
      <c r="B93" s="16" t="s">
        <v>98</v>
      </c>
      <c r="C93" s="3"/>
      <c r="D93" s="26">
        <v>0</v>
      </c>
      <c r="E93" s="16"/>
      <c r="G93" s="3"/>
      <c r="H93" s="26">
        <f t="shared" ref="H93:H107" si="1">D93</f>
        <v>0</v>
      </c>
      <c r="I93" s="2"/>
      <c r="N93" s="27"/>
    </row>
    <row r="94" spans="1:16" customFormat="1" hidden="1">
      <c r="A94" s="3"/>
      <c r="B94" s="16" t="s">
        <v>99</v>
      </c>
      <c r="C94" s="3"/>
      <c r="D94" s="26">
        <v>0</v>
      </c>
      <c r="E94" s="16"/>
      <c r="G94" s="3"/>
      <c r="H94" s="26">
        <f t="shared" si="1"/>
        <v>0</v>
      </c>
      <c r="I94" s="2"/>
      <c r="N94" s="27"/>
    </row>
    <row r="95" spans="1:16" customFormat="1">
      <c r="A95" s="3"/>
      <c r="B95" s="16" t="s">
        <v>100</v>
      </c>
      <c r="C95" s="3"/>
      <c r="D95" s="26">
        <v>8051919.5899999999</v>
      </c>
      <c r="E95" s="16"/>
      <c r="G95" s="3"/>
      <c r="H95" s="26">
        <f t="shared" si="1"/>
        <v>8051919.5899999999</v>
      </c>
      <c r="I95" s="2"/>
      <c r="N95" s="27"/>
    </row>
    <row r="96" spans="1:16" customFormat="1" hidden="1">
      <c r="A96" s="3"/>
      <c r="B96" s="16" t="s">
        <v>101</v>
      </c>
      <c r="C96" s="3"/>
      <c r="D96" s="26">
        <v>0</v>
      </c>
      <c r="E96" s="16"/>
      <c r="G96" s="3"/>
      <c r="H96" s="26">
        <f t="shared" si="1"/>
        <v>0</v>
      </c>
      <c r="I96" s="2"/>
      <c r="N96" s="27"/>
    </row>
    <row r="97" spans="1:14" customFormat="1">
      <c r="A97" s="3"/>
      <c r="B97" s="16" t="s">
        <v>66</v>
      </c>
      <c r="C97" s="3"/>
      <c r="D97" s="26">
        <v>50918245.159999996</v>
      </c>
      <c r="E97" s="16"/>
      <c r="G97" s="3"/>
      <c r="H97" s="26">
        <f t="shared" si="1"/>
        <v>50918245.159999996</v>
      </c>
      <c r="I97" s="2"/>
      <c r="N97" s="27"/>
    </row>
    <row r="98" spans="1:14" customFormat="1" hidden="1">
      <c r="A98" s="3"/>
      <c r="B98" s="16" t="s">
        <v>47</v>
      </c>
      <c r="C98" s="3"/>
      <c r="D98" s="26">
        <v>0</v>
      </c>
      <c r="E98" s="16"/>
      <c r="G98" s="3"/>
      <c r="H98" s="26">
        <f t="shared" si="1"/>
        <v>0</v>
      </c>
      <c r="I98" s="2"/>
      <c r="N98" s="27"/>
    </row>
    <row r="99" spans="1:14" customFormat="1" hidden="1">
      <c r="A99" s="3"/>
      <c r="B99" s="16" t="s">
        <v>102</v>
      </c>
      <c r="C99" s="3"/>
      <c r="D99" s="26">
        <v>0</v>
      </c>
      <c r="E99" s="16"/>
      <c r="G99" s="3"/>
      <c r="H99" s="26">
        <f t="shared" si="1"/>
        <v>0</v>
      </c>
      <c r="I99" s="2"/>
      <c r="N99" s="27"/>
    </row>
    <row r="100" spans="1:14" customFormat="1" hidden="1">
      <c r="A100" s="3"/>
      <c r="B100" s="16" t="s">
        <v>103</v>
      </c>
      <c r="C100" s="3"/>
      <c r="D100" s="26">
        <v>0</v>
      </c>
      <c r="E100" s="16"/>
      <c r="G100" s="3"/>
      <c r="H100" s="26">
        <f t="shared" si="1"/>
        <v>0</v>
      </c>
      <c r="I100" s="2"/>
      <c r="N100" s="27"/>
    </row>
    <row r="101" spans="1:14" customFormat="1" hidden="1">
      <c r="A101" s="3"/>
      <c r="B101" s="16" t="s">
        <v>104</v>
      </c>
      <c r="C101" s="3"/>
      <c r="D101" s="26">
        <v>0</v>
      </c>
      <c r="E101" s="16"/>
      <c r="G101" s="3"/>
      <c r="H101" s="26">
        <f t="shared" si="1"/>
        <v>0</v>
      </c>
      <c r="I101" s="2"/>
      <c r="N101" s="27"/>
    </row>
    <row r="102" spans="1:14" customFormat="1" hidden="1">
      <c r="A102" s="3"/>
      <c r="B102" s="16" t="s">
        <v>105</v>
      </c>
      <c r="C102" s="3"/>
      <c r="D102" s="26">
        <v>0</v>
      </c>
      <c r="E102" s="16"/>
      <c r="F102" s="14"/>
      <c r="G102" s="3"/>
      <c r="H102" s="26">
        <f t="shared" si="1"/>
        <v>0</v>
      </c>
      <c r="I102" s="2"/>
      <c r="N102" s="27"/>
    </row>
    <row r="103" spans="1:14" customFormat="1">
      <c r="A103" s="3"/>
      <c r="B103" s="16" t="s">
        <v>106</v>
      </c>
      <c r="C103" s="3"/>
      <c r="D103" s="26">
        <v>46003985.939999998</v>
      </c>
      <c r="E103" s="16"/>
      <c r="F103" s="14"/>
      <c r="G103" s="3"/>
      <c r="H103" s="26">
        <f t="shared" si="1"/>
        <v>46003985.939999998</v>
      </c>
      <c r="I103" s="2"/>
      <c r="N103" s="27"/>
    </row>
    <row r="104" spans="1:14" customFormat="1" hidden="1">
      <c r="A104" s="3"/>
      <c r="B104" s="16" t="s">
        <v>107</v>
      </c>
      <c r="C104" s="3"/>
      <c r="D104" s="26">
        <v>0</v>
      </c>
      <c r="E104" s="16"/>
      <c r="F104" s="14"/>
      <c r="G104" s="3"/>
      <c r="H104" s="26">
        <f t="shared" si="1"/>
        <v>0</v>
      </c>
      <c r="I104" s="2"/>
      <c r="N104" s="27"/>
    </row>
    <row r="105" spans="1:14" customFormat="1" hidden="1">
      <c r="A105" s="3"/>
      <c r="B105" s="16" t="s">
        <v>108</v>
      </c>
      <c r="C105" s="3"/>
      <c r="D105" s="26">
        <v>0</v>
      </c>
      <c r="E105" s="16"/>
      <c r="F105" s="14"/>
      <c r="G105" s="3"/>
      <c r="H105" s="26">
        <f t="shared" si="1"/>
        <v>0</v>
      </c>
      <c r="I105" s="2"/>
      <c r="N105" s="27"/>
    </row>
    <row r="106" spans="1:14" customFormat="1">
      <c r="A106" s="3"/>
      <c r="B106" s="16" t="s">
        <v>109</v>
      </c>
      <c r="C106" s="3"/>
      <c r="D106" s="26">
        <v>198244684.53999999</v>
      </c>
      <c r="E106" s="16"/>
      <c r="F106" s="14"/>
      <c r="G106" s="3"/>
      <c r="H106" s="26">
        <f t="shared" si="1"/>
        <v>198244684.53999999</v>
      </c>
      <c r="I106" s="2"/>
      <c r="N106" s="27"/>
    </row>
    <row r="107" spans="1:14" customFormat="1" hidden="1">
      <c r="A107" s="3"/>
      <c r="B107" s="16" t="s">
        <v>110</v>
      </c>
      <c r="C107" s="3"/>
      <c r="D107" s="26">
        <v>0</v>
      </c>
      <c r="E107" s="16"/>
      <c r="F107" s="14"/>
      <c r="G107" s="3"/>
      <c r="H107" s="26">
        <f t="shared" si="1"/>
        <v>0</v>
      </c>
      <c r="I107" s="2"/>
      <c r="N107" s="27"/>
    </row>
    <row r="108" spans="1:14" customFormat="1" hidden="1">
      <c r="A108" s="3"/>
      <c r="B108" s="16"/>
      <c r="C108" s="3"/>
      <c r="D108" s="26"/>
      <c r="E108" s="16"/>
      <c r="F108" s="14"/>
      <c r="G108" s="3"/>
      <c r="H108" s="26"/>
      <c r="I108" s="2"/>
      <c r="N108" s="27"/>
    </row>
    <row r="109" spans="1:14" customFormat="1" hidden="1">
      <c r="A109" s="3"/>
      <c r="B109" s="16" t="s">
        <v>111</v>
      </c>
      <c r="C109" s="3"/>
      <c r="D109" s="26">
        <v>0</v>
      </c>
      <c r="E109" s="16"/>
      <c r="F109" s="14"/>
      <c r="G109" s="3"/>
      <c r="H109" s="26">
        <f>D109</f>
        <v>0</v>
      </c>
      <c r="I109" s="2"/>
      <c r="N109" s="27"/>
    </row>
    <row r="110" spans="1:14" customFormat="1" hidden="1">
      <c r="A110" s="3"/>
      <c r="B110" s="16" t="s">
        <v>112</v>
      </c>
      <c r="C110" s="3"/>
      <c r="D110" s="26">
        <v>0</v>
      </c>
      <c r="E110" s="16"/>
      <c r="F110" s="14"/>
      <c r="G110" s="3"/>
      <c r="H110" s="26">
        <f>D110</f>
        <v>0</v>
      </c>
      <c r="I110" s="2"/>
      <c r="N110" s="27"/>
    </row>
    <row r="111" spans="1:14" customFormat="1" hidden="1">
      <c r="A111" s="3"/>
      <c r="B111" s="16" t="s">
        <v>113</v>
      </c>
      <c r="C111" s="3"/>
      <c r="D111" s="26">
        <v>0</v>
      </c>
      <c r="E111" s="16"/>
      <c r="F111" s="14"/>
      <c r="G111" s="3"/>
      <c r="H111" s="26">
        <f>D111</f>
        <v>0</v>
      </c>
      <c r="I111" s="2"/>
      <c r="N111" s="27"/>
    </row>
    <row r="112" spans="1:14" customFormat="1" hidden="1">
      <c r="A112" s="3"/>
      <c r="B112" s="16"/>
      <c r="C112" s="3"/>
      <c r="D112" s="26"/>
      <c r="E112" s="16"/>
      <c r="F112" s="14"/>
      <c r="G112" s="3"/>
      <c r="H112" s="26"/>
      <c r="I112" s="2"/>
      <c r="N112" s="27"/>
    </row>
    <row r="113" spans="1:14" customFormat="1" hidden="1">
      <c r="A113" s="3"/>
      <c r="B113" s="16" t="s">
        <v>114</v>
      </c>
      <c r="C113" s="3"/>
      <c r="D113" s="26">
        <v>0</v>
      </c>
      <c r="E113" s="16"/>
      <c r="F113" s="14"/>
      <c r="G113" s="3"/>
      <c r="H113" s="26">
        <f>D113</f>
        <v>0</v>
      </c>
      <c r="I113" s="2"/>
      <c r="N113" s="27"/>
    </row>
    <row r="114" spans="1:14" customFormat="1" ht="11.25" thickBot="1">
      <c r="A114" s="3"/>
      <c r="B114" s="3"/>
      <c r="C114" s="3"/>
      <c r="D114" s="11" t="s">
        <v>14</v>
      </c>
      <c r="E114" s="14" t="s">
        <v>13</v>
      </c>
      <c r="F114" s="11" t="s">
        <v>14</v>
      </c>
      <c r="G114" s="11" t="s">
        <v>14</v>
      </c>
      <c r="H114" s="11" t="s">
        <v>14</v>
      </c>
      <c r="I114" s="11" t="s">
        <v>14</v>
      </c>
      <c r="N114" s="27"/>
    </row>
    <row r="115" spans="1:14" customFormat="1" ht="11.25" thickBot="1">
      <c r="A115" s="3" t="s">
        <v>37</v>
      </c>
      <c r="B115" s="3"/>
      <c r="C115" s="3"/>
      <c r="D115" s="26">
        <f>SUM(D93:D113)</f>
        <v>303218835.23000002</v>
      </c>
      <c r="E115" s="16"/>
      <c r="F115" s="26">
        <f>SUM(F92:F113)</f>
        <v>0</v>
      </c>
      <c r="G115" s="26">
        <f>SUM(G92:G113)</f>
        <v>0</v>
      </c>
      <c r="H115" s="26">
        <f>SUM(H92:H113)</f>
        <v>303218835.23000002</v>
      </c>
      <c r="I115" s="26">
        <f>SUM(I92:I105)</f>
        <v>0</v>
      </c>
      <c r="K115" s="36">
        <v>0</v>
      </c>
      <c r="L115" s="24" t="s">
        <v>40</v>
      </c>
      <c r="M115" s="37">
        <f>D115-SUM(F115:I115)</f>
        <v>0</v>
      </c>
      <c r="N115" s="27"/>
    </row>
    <row r="116" spans="1:14" customFormat="1">
      <c r="A116" s="3"/>
      <c r="B116" s="3"/>
      <c r="C116" s="3"/>
      <c r="D116" s="7"/>
      <c r="E116" s="16"/>
      <c r="F116" s="16"/>
      <c r="G116" s="16"/>
      <c r="H116" s="16"/>
      <c r="I116" s="16"/>
      <c r="N116" s="27"/>
    </row>
    <row r="117" spans="1:14" customFormat="1">
      <c r="A117" s="3" t="s">
        <v>43</v>
      </c>
      <c r="B117" s="3"/>
      <c r="C117" s="3"/>
      <c r="D117" s="7"/>
      <c r="E117" s="16"/>
      <c r="F117" s="16"/>
      <c r="G117" s="16"/>
      <c r="H117" s="16"/>
      <c r="I117" s="16"/>
      <c r="N117" s="27"/>
    </row>
    <row r="118" spans="1:14" customFormat="1">
      <c r="A118" s="3"/>
      <c r="B118" s="16" t="s">
        <v>97</v>
      </c>
      <c r="C118" s="3"/>
      <c r="D118" s="26">
        <v>0</v>
      </c>
      <c r="E118" s="16"/>
      <c r="F118" s="14"/>
      <c r="G118" s="3"/>
      <c r="H118" s="26">
        <f>D118</f>
        <v>0</v>
      </c>
      <c r="I118" s="2"/>
      <c r="N118" s="27"/>
    </row>
    <row r="119" spans="1:14">
      <c r="D119" s="11" t="s">
        <v>14</v>
      </c>
      <c r="E119" s="14" t="s">
        <v>13</v>
      </c>
      <c r="F119" s="11" t="s">
        <v>14</v>
      </c>
      <c r="G119" s="11" t="s">
        <v>14</v>
      </c>
      <c r="H119" s="11" t="s">
        <v>14</v>
      </c>
      <c r="I119" s="11" t="s">
        <v>14</v>
      </c>
    </row>
    <row r="120" spans="1:14">
      <c r="A120" s="3" t="s">
        <v>44</v>
      </c>
      <c r="D120" s="26">
        <v>0</v>
      </c>
      <c r="E120" s="16"/>
      <c r="F120" s="26">
        <f>SUM(F118:F118)</f>
        <v>0</v>
      </c>
      <c r="G120" s="26">
        <f>SUM(G118:G118)</f>
        <v>0</v>
      </c>
      <c r="H120" s="26">
        <f>SUM(H118:H118)</f>
        <v>0</v>
      </c>
      <c r="I120" s="26">
        <f>SUM(I118:I118)</f>
        <v>0</v>
      </c>
    </row>
    <row r="121" spans="1:14" ht="11.25" thickBot="1">
      <c r="D121" s="19" t="s">
        <v>38</v>
      </c>
      <c r="E121" s="14" t="s">
        <v>13</v>
      </c>
      <c r="F121" s="19" t="s">
        <v>38</v>
      </c>
      <c r="G121" s="19" t="s">
        <v>38</v>
      </c>
      <c r="H121" s="19" t="s">
        <v>38</v>
      </c>
      <c r="I121" s="19" t="s">
        <v>38</v>
      </c>
    </row>
    <row r="122" spans="1:14" ht="11.25" thickBot="1">
      <c r="A122" s="3" t="s">
        <v>39</v>
      </c>
      <c r="D122" s="26">
        <f>D115+D90+D76+D120-D16</f>
        <v>580695681.13</v>
      </c>
      <c r="E122" s="16" t="s">
        <v>13</v>
      </c>
      <c r="F122" s="26">
        <f>F115+F90+F76+F120-F16</f>
        <v>14575471.492913477</v>
      </c>
      <c r="G122" s="26">
        <f>G115+G90+G76+G120-G16</f>
        <v>12419952.016291965</v>
      </c>
      <c r="H122" s="26">
        <f>H115+H90+H76+H120-H16</f>
        <v>303218835.23000002</v>
      </c>
      <c r="I122" s="26">
        <f>I115+I90+I76+I120-I16</f>
        <v>250481422.39079458</v>
      </c>
      <c r="K122" s="36">
        <v>0</v>
      </c>
      <c r="L122" s="24" t="s">
        <v>40</v>
      </c>
      <c r="M122" s="37">
        <f>D122-SUM(F122:I122)</f>
        <v>0</v>
      </c>
    </row>
    <row r="123" spans="1:14">
      <c r="D123" s="19" t="s">
        <v>38</v>
      </c>
      <c r="E123" s="14" t="s">
        <v>13</v>
      </c>
      <c r="F123" s="19" t="s">
        <v>38</v>
      </c>
      <c r="G123" s="19" t="s">
        <v>38</v>
      </c>
      <c r="H123" s="19" t="s">
        <v>38</v>
      </c>
      <c r="I123" s="19" t="s">
        <v>38</v>
      </c>
    </row>
  </sheetData>
  <mergeCells count="1">
    <mergeCell ref="A4:C4"/>
  </mergeCells>
  <pageMargins left="0.65" right="0.72" top="1" bottom="1" header="0.5" footer="0.5"/>
  <pageSetup scale="67" orientation="portrait" r:id="rId1"/>
  <headerFooter alignWithMargins="0">
    <oddHeader>&amp;L&amp;"Arial,Regular"&amp;10WA UE-130043
Bench Request 9&amp;R&amp;"Arial,Bold"&amp;10Attachment Bench Request 9</oddHeader>
    <oddFooter>&amp;L&amp;"Arial,Regular"&amp;10&amp;F&amp;C&amp;A</oddFooter>
  </headerFooter>
  <rowBreaks count="1" manualBreakCount="1">
    <brk id="69"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0"/>
  <sheetViews>
    <sheetView zoomScale="85" zoomScaleNormal="85" workbookViewId="0">
      <selection activeCell="T91" sqref="T91"/>
    </sheetView>
  </sheetViews>
  <sheetFormatPr defaultRowHeight="12.75"/>
  <cols>
    <col min="1" max="1" width="4.83203125" style="275" customWidth="1"/>
    <col min="2" max="2" width="8" style="275" customWidth="1"/>
    <col min="3" max="3" width="32.83203125" style="275" customWidth="1"/>
    <col min="4" max="4" width="12.33203125" style="275" customWidth="1"/>
    <col min="5" max="5" width="9.33203125" style="275"/>
    <col min="6" max="6" width="17" style="106" customWidth="1"/>
    <col min="7" max="7" width="9.33203125" style="276"/>
    <col min="8" max="8" width="12.1640625" style="276" bestFit="1" customWidth="1"/>
    <col min="9" max="9" width="15.33203125" style="276" bestFit="1" customWidth="1"/>
    <col min="10" max="16384" width="9.33203125" style="275"/>
  </cols>
  <sheetData>
    <row r="1" spans="1:10">
      <c r="A1" s="274" t="s">
        <v>118</v>
      </c>
      <c r="B1" s="274"/>
      <c r="I1" s="277" t="s">
        <v>272</v>
      </c>
      <c r="J1" s="278">
        <v>9.1999999999999993</v>
      </c>
    </row>
    <row r="2" spans="1:10">
      <c r="A2" s="274" t="s">
        <v>186</v>
      </c>
      <c r="B2" s="274"/>
    </row>
    <row r="3" spans="1:10">
      <c r="A3" s="274" t="s">
        <v>378</v>
      </c>
      <c r="B3" s="274"/>
    </row>
    <row r="5" spans="1:10">
      <c r="F5" s="105" t="s">
        <v>274</v>
      </c>
      <c r="I5" s="276" t="s">
        <v>126</v>
      </c>
    </row>
    <row r="6" spans="1:10" ht="15">
      <c r="D6" s="279" t="s">
        <v>275</v>
      </c>
      <c r="E6" s="279" t="s">
        <v>276</v>
      </c>
      <c r="F6" s="280" t="s">
        <v>277</v>
      </c>
      <c r="G6" s="279" t="s">
        <v>278</v>
      </c>
      <c r="H6" s="279" t="s">
        <v>134</v>
      </c>
      <c r="I6" s="279" t="s">
        <v>279</v>
      </c>
      <c r="J6" s="279" t="s">
        <v>280</v>
      </c>
    </row>
    <row r="7" spans="1:10" ht="15">
      <c r="B7" s="274" t="s">
        <v>281</v>
      </c>
      <c r="D7" s="279"/>
      <c r="E7" s="279"/>
      <c r="F7" s="280"/>
      <c r="G7" s="279"/>
      <c r="H7" s="279"/>
      <c r="I7" s="279"/>
      <c r="J7" s="279"/>
    </row>
    <row r="8" spans="1:10" ht="15">
      <c r="B8" s="274"/>
      <c r="C8" s="281"/>
      <c r="D8" s="279"/>
      <c r="E8" s="279"/>
      <c r="F8" s="280"/>
      <c r="G8" s="279"/>
      <c r="H8" s="279"/>
      <c r="I8" s="279"/>
      <c r="J8" s="279"/>
    </row>
    <row r="9" spans="1:10">
      <c r="B9" s="274" t="s">
        <v>137</v>
      </c>
      <c r="C9" s="281"/>
    </row>
    <row r="10" spans="1:10">
      <c r="B10" s="281" t="s">
        <v>138</v>
      </c>
      <c r="C10" s="281"/>
      <c r="D10" s="282" t="s">
        <v>139</v>
      </c>
      <c r="E10" s="283" t="s">
        <v>285</v>
      </c>
      <c r="F10" s="106">
        <f>'9.1 - Summary '!E15</f>
        <v>8952900.0700000003</v>
      </c>
      <c r="G10" s="276" t="s">
        <v>140</v>
      </c>
      <c r="H10" s="284">
        <v>0.2262649010137</v>
      </c>
      <c r="I10" s="276">
        <f>F10*H10</f>
        <v>2025727.048124098</v>
      </c>
      <c r="J10" s="276"/>
    </row>
    <row r="11" spans="1:10">
      <c r="B11" s="281" t="s">
        <v>141</v>
      </c>
      <c r="C11" s="281"/>
      <c r="D11" s="282" t="s">
        <v>139</v>
      </c>
      <c r="E11" s="283" t="s">
        <v>285</v>
      </c>
      <c r="F11" s="106">
        <f>'9.1 - Summary '!E16</f>
        <v>80695779.329999998</v>
      </c>
      <c r="G11" s="276" t="s">
        <v>140</v>
      </c>
      <c r="H11" s="284">
        <v>0.2262649010137</v>
      </c>
      <c r="I11" s="276">
        <f t="shared" ref="I11:I12" si="0">F11*H11</f>
        <v>18258622.522325829</v>
      </c>
      <c r="J11" s="276"/>
    </row>
    <row r="12" spans="1:10">
      <c r="B12" s="281" t="s">
        <v>142</v>
      </c>
      <c r="C12" s="281"/>
      <c r="D12" s="282" t="s">
        <v>139</v>
      </c>
      <c r="E12" s="283" t="s">
        <v>285</v>
      </c>
      <c r="F12" s="106">
        <f>'9.1 - Summary '!E17</f>
        <v>0</v>
      </c>
      <c r="G12" s="276" t="s">
        <v>143</v>
      </c>
      <c r="H12" s="284">
        <v>0.22648067236840891</v>
      </c>
      <c r="I12" s="276">
        <f t="shared" si="0"/>
        <v>0</v>
      </c>
      <c r="J12" s="276"/>
    </row>
    <row r="13" spans="1:10">
      <c r="B13" s="281" t="s">
        <v>144</v>
      </c>
      <c r="C13" s="281"/>
      <c r="D13" s="282"/>
      <c r="E13" s="283"/>
      <c r="F13" s="285">
        <f>SUM(F10:F12)</f>
        <v>89648679.400000006</v>
      </c>
      <c r="H13" s="284"/>
      <c r="I13" s="285">
        <f>SUM(I10:I12)</f>
        <v>20284349.570449926</v>
      </c>
      <c r="J13" s="282" t="s">
        <v>290</v>
      </c>
    </row>
    <row r="14" spans="1:10">
      <c r="B14" s="281"/>
      <c r="C14" s="286"/>
      <c r="D14" s="282"/>
      <c r="E14" s="283"/>
      <c r="H14" s="284"/>
    </row>
    <row r="15" spans="1:10">
      <c r="B15" s="274" t="s">
        <v>145</v>
      </c>
      <c r="C15" s="286"/>
      <c r="D15" s="282"/>
      <c r="E15" s="283"/>
      <c r="H15" s="284"/>
    </row>
    <row r="16" spans="1:10">
      <c r="B16" s="281" t="s">
        <v>146</v>
      </c>
      <c r="C16" s="286"/>
      <c r="D16" s="282" t="s">
        <v>147</v>
      </c>
      <c r="E16" s="283" t="s">
        <v>285</v>
      </c>
      <c r="F16" s="106">
        <f>'9.1 - Summary '!E21</f>
        <v>12043097.264185959</v>
      </c>
      <c r="G16" s="276" t="s">
        <v>140</v>
      </c>
      <c r="H16" s="284">
        <v>0.2262649010137</v>
      </c>
      <c r="I16" s="276">
        <f t="shared" ref="I16:I20" si="1">F16*H16</f>
        <v>2724930.2103793975</v>
      </c>
      <c r="J16" s="276"/>
    </row>
    <row r="17" spans="2:10">
      <c r="B17" s="281" t="s">
        <v>148</v>
      </c>
      <c r="C17" s="286"/>
      <c r="D17" s="282" t="s">
        <v>147</v>
      </c>
      <c r="E17" s="283" t="s">
        <v>285</v>
      </c>
      <c r="F17" s="106">
        <f>'9.1 - Summary '!E22</f>
        <v>7773178.6158140404</v>
      </c>
      <c r="G17" s="276" t="s">
        <v>143</v>
      </c>
      <c r="H17" s="284">
        <v>0.22648067236840891</v>
      </c>
      <c r="I17" s="276">
        <f t="shared" si="1"/>
        <v>1760474.7193493019</v>
      </c>
      <c r="J17" s="276"/>
    </row>
    <row r="18" spans="2:10">
      <c r="B18" s="281" t="s">
        <v>149</v>
      </c>
      <c r="C18" s="286"/>
      <c r="D18" s="282" t="s">
        <v>147</v>
      </c>
      <c r="E18" s="283" t="s">
        <v>285</v>
      </c>
      <c r="F18" s="106">
        <f>'9.1 - Summary '!E23</f>
        <v>61888677.790000007</v>
      </c>
      <c r="G18" s="276" t="s">
        <v>140</v>
      </c>
      <c r="H18" s="284">
        <v>0.2262649010137</v>
      </c>
      <c r="I18" s="276">
        <f t="shared" si="1"/>
        <v>14003235.554023126</v>
      </c>
      <c r="J18" s="276"/>
    </row>
    <row r="19" spans="2:10">
      <c r="B19" s="281" t="s">
        <v>150</v>
      </c>
      <c r="C19" s="286"/>
      <c r="D19" s="282" t="s">
        <v>147</v>
      </c>
      <c r="E19" s="283" t="s">
        <v>285</v>
      </c>
      <c r="F19" s="106">
        <f>'9.1 - Summary '!E24</f>
        <v>215715474.29999995</v>
      </c>
      <c r="G19" s="276" t="s">
        <v>140</v>
      </c>
      <c r="H19" s="284">
        <v>0.2262649010137</v>
      </c>
      <c r="I19" s="276">
        <f t="shared" si="1"/>
        <v>48808840.439612836</v>
      </c>
      <c r="J19" s="276"/>
    </row>
    <row r="20" spans="2:10">
      <c r="B20" s="281" t="s">
        <v>151</v>
      </c>
      <c r="C20" s="281"/>
      <c r="D20" s="282" t="s">
        <v>147</v>
      </c>
      <c r="E20" s="283" t="s">
        <v>285</v>
      </c>
      <c r="F20" s="106">
        <f>'9.1 - Summary '!E25</f>
        <v>0</v>
      </c>
      <c r="G20" s="276" t="s">
        <v>140</v>
      </c>
      <c r="H20" s="284">
        <v>0.2262649010137</v>
      </c>
      <c r="I20" s="276">
        <f t="shared" si="1"/>
        <v>0</v>
      </c>
      <c r="J20" s="276"/>
    </row>
    <row r="21" spans="2:10">
      <c r="B21" s="281" t="s">
        <v>152</v>
      </c>
      <c r="C21" s="281"/>
      <c r="D21" s="282"/>
      <c r="E21" s="283"/>
      <c r="F21" s="285">
        <f>SUM(F16:F20)</f>
        <v>297420427.96999997</v>
      </c>
      <c r="H21" s="284"/>
      <c r="I21" s="285">
        <f>SUM(I16:I20)</f>
        <v>67297480.923364669</v>
      </c>
      <c r="J21" s="282" t="s">
        <v>290</v>
      </c>
    </row>
    <row r="22" spans="2:10">
      <c r="B22" s="281"/>
      <c r="C22" s="281"/>
      <c r="D22" s="282"/>
      <c r="E22" s="283"/>
      <c r="H22" s="284"/>
    </row>
    <row r="23" spans="2:10">
      <c r="B23" s="274" t="s">
        <v>153</v>
      </c>
      <c r="C23" s="281"/>
      <c r="D23" s="282"/>
      <c r="E23" s="283"/>
      <c r="H23" s="284"/>
      <c r="J23" s="276"/>
    </row>
    <row r="24" spans="2:10">
      <c r="B24" s="281" t="s">
        <v>154</v>
      </c>
      <c r="C24" s="281"/>
      <c r="D24" s="282" t="s">
        <v>155</v>
      </c>
      <c r="E24" s="283" t="s">
        <v>285</v>
      </c>
      <c r="F24" s="106">
        <f>'9.1 - Summary '!E29</f>
        <v>0</v>
      </c>
      <c r="G24" s="276" t="s">
        <v>140</v>
      </c>
      <c r="H24" s="284">
        <v>0.2262649010137</v>
      </c>
      <c r="I24" s="276">
        <f t="shared" ref="I24:I26" si="2">F24*H24</f>
        <v>0</v>
      </c>
      <c r="J24" s="276"/>
    </row>
    <row r="25" spans="2:10">
      <c r="B25" s="281" t="s">
        <v>156</v>
      </c>
      <c r="C25" s="286"/>
      <c r="D25" s="282" t="s">
        <v>155</v>
      </c>
      <c r="E25" s="283" t="s">
        <v>285</v>
      </c>
      <c r="F25" s="106">
        <f>'9.1 - Summary '!E30</f>
        <v>106273125.68000001</v>
      </c>
      <c r="G25" s="276" t="s">
        <v>140</v>
      </c>
      <c r="H25" s="284">
        <v>0.2262649010137</v>
      </c>
      <c r="I25" s="276">
        <f t="shared" si="2"/>
        <v>24045878.2624017</v>
      </c>
      <c r="J25" s="276"/>
    </row>
    <row r="26" spans="2:10">
      <c r="B26" s="281" t="s">
        <v>157</v>
      </c>
      <c r="C26" s="286"/>
      <c r="D26" s="282" t="s">
        <v>155</v>
      </c>
      <c r="E26" s="283" t="s">
        <v>285</v>
      </c>
      <c r="F26" s="106">
        <f>'9.1 - Summary '!E31</f>
        <v>0</v>
      </c>
      <c r="G26" s="276" t="s">
        <v>143</v>
      </c>
      <c r="H26" s="284">
        <v>0.22648067236840891</v>
      </c>
      <c r="I26" s="276">
        <f t="shared" si="2"/>
        <v>0</v>
      </c>
      <c r="J26" s="276"/>
    </row>
    <row r="27" spans="2:10">
      <c r="B27" s="281" t="s">
        <v>158</v>
      </c>
      <c r="C27" s="281"/>
      <c r="D27" s="282"/>
      <c r="E27" s="283"/>
      <c r="F27" s="285">
        <f>SUM(F24:F26)</f>
        <v>106273125.68000001</v>
      </c>
      <c r="H27" s="284"/>
      <c r="I27" s="285">
        <f>SUM(I24:I26)</f>
        <v>24045878.2624017</v>
      </c>
      <c r="J27" s="282" t="s">
        <v>290</v>
      </c>
    </row>
    <row r="28" spans="2:10">
      <c r="B28" s="281"/>
      <c r="C28" s="281"/>
      <c r="D28" s="282"/>
      <c r="E28" s="283"/>
      <c r="H28" s="284"/>
    </row>
    <row r="29" spans="2:10">
      <c r="B29" s="274" t="s">
        <v>159</v>
      </c>
      <c r="C29" s="274"/>
      <c r="D29" s="282"/>
      <c r="E29" s="283"/>
      <c r="H29" s="284"/>
      <c r="J29" s="276"/>
    </row>
    <row r="30" spans="2:10">
      <c r="B30" s="281" t="s">
        <v>160</v>
      </c>
      <c r="C30" s="274"/>
      <c r="D30" s="282" t="s">
        <v>161</v>
      </c>
      <c r="E30" s="283" t="s">
        <v>285</v>
      </c>
      <c r="F30" s="106">
        <f>'9.1 - Summary '!E35</f>
        <v>193301244.15000001</v>
      </c>
      <c r="G30" s="276" t="s">
        <v>143</v>
      </c>
      <c r="H30" s="284">
        <v>0.22648067236840891</v>
      </c>
      <c r="I30" s="276">
        <f t="shared" ref="I30:I31" si="3">F30*H30</f>
        <v>43778995.744741969</v>
      </c>
      <c r="J30" s="276"/>
    </row>
    <row r="31" spans="2:10">
      <c r="B31" s="281" t="s">
        <v>162</v>
      </c>
      <c r="C31" s="274"/>
      <c r="D31" s="282" t="s">
        <v>163</v>
      </c>
      <c r="E31" s="283" t="s">
        <v>285</v>
      </c>
      <c r="F31" s="106">
        <f>'9.1 - Summary '!E36</f>
        <v>107632580.51000001</v>
      </c>
      <c r="G31" s="276" t="s">
        <v>143</v>
      </c>
      <c r="H31" s="284">
        <v>0.22648067236840891</v>
      </c>
      <c r="I31" s="276">
        <f t="shared" si="3"/>
        <v>24376699.202651706</v>
      </c>
      <c r="J31" s="276"/>
    </row>
    <row r="32" spans="2:10">
      <c r="B32" s="281" t="s">
        <v>164</v>
      </c>
      <c r="C32" s="274"/>
      <c r="D32" s="282"/>
      <c r="E32" s="283"/>
      <c r="F32" s="285">
        <f>SUM(F30:F31)</f>
        <v>300933824.66000003</v>
      </c>
      <c r="H32" s="287"/>
      <c r="I32" s="285">
        <f>SUM(I30:I31)</f>
        <v>68155694.947393671</v>
      </c>
      <c r="J32" s="282" t="s">
        <v>290</v>
      </c>
    </row>
    <row r="33" spans="1:11">
      <c r="B33" s="281"/>
      <c r="C33" s="274"/>
      <c r="D33" s="282"/>
      <c r="E33" s="283"/>
      <c r="H33" s="287"/>
      <c r="I33" s="106"/>
      <c r="J33" s="276"/>
    </row>
    <row r="34" spans="1:11">
      <c r="B34" s="288" t="s">
        <v>282</v>
      </c>
      <c r="C34" s="274"/>
      <c r="D34" s="282"/>
      <c r="E34" s="283"/>
      <c r="F34" s="285">
        <f>-F13+F21+F27+F32</f>
        <v>614978698.91000009</v>
      </c>
      <c r="H34" s="287"/>
      <c r="I34" s="285">
        <f>-I13+I21+I27+I32</f>
        <v>139214704.56271011</v>
      </c>
      <c r="J34" s="282" t="s">
        <v>290</v>
      </c>
    </row>
    <row r="35" spans="1:11">
      <c r="C35" s="274"/>
      <c r="F35" s="289"/>
      <c r="J35" s="276"/>
    </row>
    <row r="36" spans="1:11">
      <c r="C36" s="274"/>
      <c r="F36" s="289"/>
      <c r="J36" s="276"/>
    </row>
    <row r="37" spans="1:11">
      <c r="C37" s="274"/>
      <c r="F37" s="289"/>
      <c r="J37" s="276"/>
    </row>
    <row r="42" spans="1:11" ht="13.5" thickBot="1">
      <c r="B42" s="290" t="s">
        <v>283</v>
      </c>
    </row>
    <row r="43" spans="1:11">
      <c r="A43" s="347" t="s">
        <v>380</v>
      </c>
      <c r="B43" s="348"/>
      <c r="C43" s="348"/>
      <c r="D43" s="348"/>
      <c r="E43" s="348"/>
      <c r="F43" s="348"/>
      <c r="G43" s="348"/>
      <c r="H43" s="348"/>
      <c r="I43" s="348"/>
      <c r="J43" s="348"/>
      <c r="K43" s="349"/>
    </row>
    <row r="44" spans="1:11">
      <c r="A44" s="350"/>
      <c r="B44" s="351"/>
      <c r="C44" s="351"/>
      <c r="D44" s="351"/>
      <c r="E44" s="351"/>
      <c r="F44" s="351"/>
      <c r="G44" s="351"/>
      <c r="H44" s="351"/>
      <c r="I44" s="351"/>
      <c r="J44" s="351"/>
      <c r="K44" s="352"/>
    </row>
    <row r="45" spans="1:11">
      <c r="A45" s="350"/>
      <c r="B45" s="351"/>
      <c r="C45" s="351"/>
      <c r="D45" s="351"/>
      <c r="E45" s="351"/>
      <c r="F45" s="351"/>
      <c r="G45" s="351"/>
      <c r="H45" s="351"/>
      <c r="I45" s="351"/>
      <c r="J45" s="351"/>
      <c r="K45" s="352"/>
    </row>
    <row r="46" spans="1:11">
      <c r="A46" s="350"/>
      <c r="B46" s="351"/>
      <c r="C46" s="351"/>
      <c r="D46" s="351"/>
      <c r="E46" s="351"/>
      <c r="F46" s="351"/>
      <c r="G46" s="351"/>
      <c r="H46" s="351"/>
      <c r="I46" s="351"/>
      <c r="J46" s="351"/>
      <c r="K46" s="352"/>
    </row>
    <row r="47" spans="1:11">
      <c r="A47" s="350"/>
      <c r="B47" s="351"/>
      <c r="C47" s="351"/>
      <c r="D47" s="351"/>
      <c r="E47" s="351"/>
      <c r="F47" s="351"/>
      <c r="G47" s="351"/>
      <c r="H47" s="351"/>
      <c r="I47" s="351"/>
      <c r="J47" s="351"/>
      <c r="K47" s="352"/>
    </row>
    <row r="48" spans="1:11">
      <c r="A48" s="350"/>
      <c r="B48" s="351"/>
      <c r="C48" s="351"/>
      <c r="D48" s="351"/>
      <c r="E48" s="351"/>
      <c r="F48" s="351"/>
      <c r="G48" s="351"/>
      <c r="H48" s="351"/>
      <c r="I48" s="351"/>
      <c r="J48" s="351"/>
      <c r="K48" s="352"/>
    </row>
    <row r="49" spans="1:11">
      <c r="A49" s="350"/>
      <c r="B49" s="351"/>
      <c r="C49" s="351"/>
      <c r="D49" s="351"/>
      <c r="E49" s="351"/>
      <c r="F49" s="351"/>
      <c r="G49" s="351"/>
      <c r="H49" s="351"/>
      <c r="I49" s="351"/>
      <c r="J49" s="351"/>
      <c r="K49" s="352"/>
    </row>
    <row r="50" spans="1:11" ht="13.5" thickBot="1">
      <c r="A50" s="353"/>
      <c r="B50" s="354"/>
      <c r="C50" s="354"/>
      <c r="D50" s="354"/>
      <c r="E50" s="354"/>
      <c r="F50" s="354"/>
      <c r="G50" s="354"/>
      <c r="H50" s="354"/>
      <c r="I50" s="354"/>
      <c r="J50" s="354"/>
      <c r="K50" s="355"/>
    </row>
  </sheetData>
  <mergeCells count="1">
    <mergeCell ref="A43:K50"/>
  </mergeCells>
  <conditionalFormatting sqref="B9:B26">
    <cfRule type="cellIs" dxfId="74" priority="3" stopIfTrue="1" operator="equal">
      <formula>"Adjustment to Income/Expense/Rate Base:"</formula>
    </cfRule>
  </conditionalFormatting>
  <conditionalFormatting sqref="B20:B22">
    <cfRule type="cellIs" dxfId="73" priority="2" stopIfTrue="1" operator="equal">
      <formula>"Title"</formula>
    </cfRule>
  </conditionalFormatting>
  <conditionalFormatting sqref="B27:B34">
    <cfRule type="cellIs" dxfId="72" priority="1" stopIfTrue="1" operator="equal">
      <formula>"Adjustment to Income/Expense/Rate Base:"</formula>
    </cfRule>
  </conditionalFormatting>
  <pageMargins left="0.65" right="0.72" top="1" bottom="1" header="0.5" footer="0.5"/>
  <pageSetup scale="72" orientation="portrait" r:id="rId1"/>
  <headerFooter alignWithMargins="0">
    <oddHeader>&amp;L&amp;"Arial,Regular"&amp;10WA UE-130043
Bench Request 9&amp;R&amp;"Arial,Bold"&amp;10Attachment Bench Request 9</oddHeader>
    <oddFooter>&amp;L&amp;"Arial,Regular"&amp;10&amp;F&amp;C&amp;A</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pageSetUpPr fitToPage="1"/>
  </sheetPr>
  <dimension ref="A1:K50"/>
  <sheetViews>
    <sheetView view="pageBreakPreview" zoomScale="85" zoomScaleNormal="100" zoomScaleSheetLayoutView="85" workbookViewId="0">
      <selection activeCell="T91" sqref="T91"/>
    </sheetView>
  </sheetViews>
  <sheetFormatPr defaultRowHeight="12.75"/>
  <cols>
    <col min="1" max="1" width="4.83203125" style="275" customWidth="1"/>
    <col min="2" max="2" width="8" style="275" customWidth="1"/>
    <col min="3" max="3" width="32.83203125" style="275" customWidth="1"/>
    <col min="4" max="4" width="12.33203125" style="275" customWidth="1"/>
    <col min="5" max="5" width="9.33203125" style="276"/>
    <col min="6" max="6" width="17" style="106" customWidth="1"/>
    <col min="7" max="7" width="9.33203125" style="276"/>
    <col min="8" max="8" width="12" style="276" bestFit="1" customWidth="1"/>
    <col min="9" max="9" width="15.33203125" style="276" bestFit="1" customWidth="1"/>
    <col min="10" max="16384" width="9.33203125" style="275"/>
  </cols>
  <sheetData>
    <row r="1" spans="1:10">
      <c r="A1" s="274" t="s">
        <v>118</v>
      </c>
      <c r="B1" s="274"/>
      <c r="I1" s="277" t="s">
        <v>272</v>
      </c>
      <c r="J1" s="296" t="s">
        <v>299</v>
      </c>
    </row>
    <row r="2" spans="1:10">
      <c r="A2" s="274" t="s">
        <v>255</v>
      </c>
      <c r="B2" s="274"/>
    </row>
    <row r="3" spans="1:10">
      <c r="A3" s="274" t="s">
        <v>322</v>
      </c>
      <c r="B3" s="274"/>
    </row>
    <row r="5" spans="1:10">
      <c r="F5" s="105" t="s">
        <v>274</v>
      </c>
      <c r="I5" s="276" t="s">
        <v>126</v>
      </c>
    </row>
    <row r="6" spans="1:10" ht="15">
      <c r="D6" s="279" t="s">
        <v>275</v>
      </c>
      <c r="E6" s="279" t="s">
        <v>276</v>
      </c>
      <c r="F6" s="280" t="s">
        <v>277</v>
      </c>
      <c r="G6" s="279" t="s">
        <v>278</v>
      </c>
      <c r="H6" s="279" t="s">
        <v>134</v>
      </c>
      <c r="I6" s="279" t="s">
        <v>279</v>
      </c>
      <c r="J6" s="279" t="s">
        <v>280</v>
      </c>
    </row>
    <row r="7" spans="1:10" ht="15">
      <c r="B7" s="274" t="s">
        <v>281</v>
      </c>
      <c r="C7" s="281"/>
      <c r="D7" s="279"/>
      <c r="E7" s="279"/>
      <c r="F7" s="280"/>
      <c r="G7" s="279"/>
      <c r="H7" s="279"/>
      <c r="I7" s="279"/>
      <c r="J7" s="279"/>
    </row>
    <row r="8" spans="1:10" ht="15">
      <c r="B8" s="274"/>
      <c r="C8" s="281"/>
      <c r="D8" s="279"/>
      <c r="E8" s="279"/>
      <c r="F8" s="280"/>
      <c r="G8" s="279"/>
      <c r="H8" s="279"/>
      <c r="I8" s="279"/>
      <c r="J8" s="279"/>
    </row>
    <row r="9" spans="1:10">
      <c r="B9" s="274" t="s">
        <v>137</v>
      </c>
      <c r="C9" s="281"/>
    </row>
    <row r="10" spans="1:10">
      <c r="B10" s="281" t="s">
        <v>138</v>
      </c>
      <c r="C10" s="281"/>
      <c r="D10" s="282" t="s">
        <v>139</v>
      </c>
      <c r="E10" s="283" t="s">
        <v>286</v>
      </c>
      <c r="F10" s="106">
        <f>'9.1 - Summary '!BA15</f>
        <v>0</v>
      </c>
      <c r="G10" s="276" t="s">
        <v>140</v>
      </c>
      <c r="H10" s="284">
        <v>0.2262649010137</v>
      </c>
      <c r="I10" s="276">
        <f>F10*H10</f>
        <v>0</v>
      </c>
      <c r="J10" s="276"/>
    </row>
    <row r="11" spans="1:10">
      <c r="B11" s="281" t="s">
        <v>141</v>
      </c>
      <c r="C11" s="281"/>
      <c r="D11" s="282" t="s">
        <v>139</v>
      </c>
      <c r="E11" s="283" t="s">
        <v>286</v>
      </c>
      <c r="F11" s="106">
        <f>'9.1 - Summary '!BA16</f>
        <v>-154555.29999999702</v>
      </c>
      <c r="G11" s="276" t="s">
        <v>140</v>
      </c>
      <c r="H11" s="284">
        <v>0.2262649010137</v>
      </c>
      <c r="I11" s="276">
        <f t="shared" ref="I11:I12" si="0">F11*H11</f>
        <v>-34970.439655642032</v>
      </c>
      <c r="J11" s="276"/>
    </row>
    <row r="12" spans="1:10">
      <c r="B12" s="281" t="s">
        <v>142</v>
      </c>
      <c r="C12" s="281"/>
      <c r="D12" s="282" t="s">
        <v>139</v>
      </c>
      <c r="E12" s="283" t="s">
        <v>286</v>
      </c>
      <c r="F12" s="106">
        <f>'9.1 - Summary '!BA17</f>
        <v>0</v>
      </c>
      <c r="G12" s="276" t="s">
        <v>143</v>
      </c>
      <c r="H12" s="284">
        <v>0.22648067236840891</v>
      </c>
      <c r="I12" s="276">
        <f t="shared" si="0"/>
        <v>0</v>
      </c>
    </row>
    <row r="13" spans="1:10">
      <c r="B13" s="281" t="s">
        <v>144</v>
      </c>
      <c r="C13" s="281"/>
      <c r="D13" s="282"/>
      <c r="E13" s="283"/>
      <c r="F13" s="285">
        <f>SUM(F10:F12)</f>
        <v>-154555.29999999702</v>
      </c>
      <c r="H13" s="284"/>
      <c r="I13" s="285">
        <f>SUM(I10:I12)</f>
        <v>-34970.439655642032</v>
      </c>
      <c r="J13" s="282" t="s">
        <v>339</v>
      </c>
    </row>
    <row r="14" spans="1:10">
      <c r="B14" s="281"/>
      <c r="C14" s="286"/>
      <c r="D14" s="282"/>
      <c r="E14" s="283"/>
      <c r="H14" s="284"/>
    </row>
    <row r="15" spans="1:10">
      <c r="B15" s="274" t="s">
        <v>145</v>
      </c>
      <c r="C15" s="286"/>
      <c r="D15" s="282"/>
      <c r="E15" s="283"/>
      <c r="H15" s="284"/>
    </row>
    <row r="16" spans="1:10">
      <c r="B16" s="281" t="s">
        <v>146</v>
      </c>
      <c r="C16" s="286"/>
      <c r="D16" s="282" t="s">
        <v>147</v>
      </c>
      <c r="E16" s="283" t="s">
        <v>286</v>
      </c>
      <c r="F16" s="106">
        <f>'9.1 - Summary '!BA21</f>
        <v>0</v>
      </c>
      <c r="G16" s="276" t="s">
        <v>140</v>
      </c>
      <c r="H16" s="284">
        <v>0.2262649010137</v>
      </c>
      <c r="I16" s="276">
        <f t="shared" ref="I16:I20" si="1">F16*H16</f>
        <v>0</v>
      </c>
      <c r="J16" s="276"/>
    </row>
    <row r="17" spans="2:10">
      <c r="B17" s="281" t="s">
        <v>148</v>
      </c>
      <c r="C17" s="286"/>
      <c r="D17" s="282" t="s">
        <v>147</v>
      </c>
      <c r="E17" s="283" t="s">
        <v>286</v>
      </c>
      <c r="F17" s="106">
        <f>'9.1 - Summary '!BA22</f>
        <v>0</v>
      </c>
      <c r="G17" s="276" t="s">
        <v>143</v>
      </c>
      <c r="H17" s="284">
        <v>0.22648067236840891</v>
      </c>
      <c r="I17" s="276">
        <f t="shared" si="1"/>
        <v>0</v>
      </c>
      <c r="J17" s="276"/>
    </row>
    <row r="18" spans="2:10">
      <c r="B18" s="281" t="s">
        <v>149</v>
      </c>
      <c r="C18" s="286"/>
      <c r="D18" s="282" t="s">
        <v>147</v>
      </c>
      <c r="E18" s="283" t="s">
        <v>286</v>
      </c>
      <c r="F18" s="106">
        <f>'9.1 - Summary '!BA23</f>
        <v>-7352652.150000006</v>
      </c>
      <c r="G18" s="276" t="s">
        <v>140</v>
      </c>
      <c r="H18" s="284">
        <v>0.2262649010137</v>
      </c>
      <c r="I18" s="276">
        <f t="shared" si="1"/>
        <v>-1663647.1109079199</v>
      </c>
      <c r="J18" s="276"/>
    </row>
    <row r="19" spans="2:10">
      <c r="B19" s="281" t="s">
        <v>150</v>
      </c>
      <c r="C19" s="286"/>
      <c r="D19" s="282" t="s">
        <v>147</v>
      </c>
      <c r="E19" s="283" t="s">
        <v>286</v>
      </c>
      <c r="F19" s="106">
        <f>'9.1 - Summary '!BA24</f>
        <v>1587888.0199999809</v>
      </c>
      <c r="G19" s="276" t="s">
        <v>140</v>
      </c>
      <c r="H19" s="284">
        <v>0.2262649010137</v>
      </c>
      <c r="I19" s="276">
        <f t="shared" si="1"/>
        <v>359283.32566613576</v>
      </c>
      <c r="J19" s="276"/>
    </row>
    <row r="20" spans="2:10">
      <c r="B20" s="281" t="s">
        <v>151</v>
      </c>
      <c r="C20" s="281"/>
      <c r="D20" s="282" t="s">
        <v>147</v>
      </c>
      <c r="E20" s="283" t="s">
        <v>286</v>
      </c>
      <c r="F20" s="106">
        <f>'9.1 - Summary '!BA25</f>
        <v>-38542.880000000005</v>
      </c>
      <c r="G20" s="276" t="s">
        <v>140</v>
      </c>
      <c r="H20" s="284">
        <v>0.2262649010137</v>
      </c>
      <c r="I20" s="276">
        <f t="shared" si="1"/>
        <v>-8720.9009279829188</v>
      </c>
    </row>
    <row r="21" spans="2:10">
      <c r="B21" s="281" t="s">
        <v>152</v>
      </c>
      <c r="C21" s="281"/>
      <c r="D21" s="282"/>
      <c r="E21" s="283"/>
      <c r="F21" s="285">
        <f>SUM(F16:F20)</f>
        <v>-5803307.0100000249</v>
      </c>
      <c r="H21" s="284"/>
      <c r="I21" s="285">
        <f>SUM(I16:I20)</f>
        <v>-1313084.6861697671</v>
      </c>
      <c r="J21" s="282" t="s">
        <v>339</v>
      </c>
    </row>
    <row r="22" spans="2:10">
      <c r="B22" s="281"/>
      <c r="C22" s="281"/>
      <c r="D22" s="282"/>
      <c r="E22" s="283"/>
      <c r="H22" s="284"/>
    </row>
    <row r="23" spans="2:10">
      <c r="B23" s="274" t="s">
        <v>153</v>
      </c>
      <c r="C23" s="281"/>
      <c r="D23" s="282"/>
      <c r="E23" s="283"/>
      <c r="H23" s="284"/>
      <c r="J23" s="276"/>
    </row>
    <row r="24" spans="2:10">
      <c r="B24" s="281" t="s">
        <v>154</v>
      </c>
      <c r="C24" s="281"/>
      <c r="D24" s="282" t="s">
        <v>155</v>
      </c>
      <c r="E24" s="283" t="s">
        <v>286</v>
      </c>
      <c r="F24" s="106">
        <f>'9.1 - Summary '!BA29</f>
        <v>0</v>
      </c>
      <c r="G24" s="276" t="s">
        <v>140</v>
      </c>
      <c r="H24" s="284">
        <v>0.2262649010137</v>
      </c>
      <c r="I24" s="276">
        <f t="shared" ref="I24:I26" si="2">F24*H24</f>
        <v>0</v>
      </c>
      <c r="J24" s="276"/>
    </row>
    <row r="25" spans="2:10">
      <c r="B25" s="281" t="s">
        <v>156</v>
      </c>
      <c r="C25" s="286"/>
      <c r="D25" s="282" t="s">
        <v>155</v>
      </c>
      <c r="E25" s="283" t="s">
        <v>286</v>
      </c>
      <c r="F25" s="106">
        <f>'9.1 - Summary '!BA30</f>
        <v>0</v>
      </c>
      <c r="G25" s="276" t="s">
        <v>140</v>
      </c>
      <c r="H25" s="284">
        <v>0.2262649010137</v>
      </c>
      <c r="I25" s="276">
        <f t="shared" si="2"/>
        <v>0</v>
      </c>
      <c r="J25" s="276"/>
    </row>
    <row r="26" spans="2:10">
      <c r="B26" s="281" t="s">
        <v>157</v>
      </c>
      <c r="C26" s="286"/>
      <c r="D26" s="282" t="s">
        <v>155</v>
      </c>
      <c r="E26" s="283" t="s">
        <v>286</v>
      </c>
      <c r="F26" s="106">
        <f>'9.1 - Summary '!BA31</f>
        <v>0</v>
      </c>
      <c r="G26" s="276" t="s">
        <v>143</v>
      </c>
      <c r="H26" s="284">
        <v>0.22648067236840891</v>
      </c>
      <c r="I26" s="276">
        <f t="shared" si="2"/>
        <v>0</v>
      </c>
      <c r="J26" s="276"/>
    </row>
    <row r="27" spans="2:10">
      <c r="B27" s="281" t="s">
        <v>158</v>
      </c>
      <c r="C27" s="281"/>
      <c r="D27" s="282"/>
      <c r="E27" s="283"/>
      <c r="F27" s="285">
        <f>SUM(F24:F26)</f>
        <v>0</v>
      </c>
      <c r="H27" s="284"/>
      <c r="I27" s="285">
        <f>SUM(I24:I26)</f>
        <v>0</v>
      </c>
      <c r="J27" s="282" t="s">
        <v>339</v>
      </c>
    </row>
    <row r="28" spans="2:10">
      <c r="B28" s="281"/>
      <c r="C28" s="281"/>
      <c r="D28" s="282"/>
      <c r="E28" s="283"/>
      <c r="H28" s="284"/>
    </row>
    <row r="29" spans="2:10">
      <c r="B29" s="274" t="s">
        <v>159</v>
      </c>
      <c r="C29" s="274"/>
      <c r="D29" s="282"/>
      <c r="E29" s="283"/>
      <c r="H29" s="284"/>
      <c r="J29" s="276"/>
    </row>
    <row r="30" spans="2:10">
      <c r="B30" s="281" t="s">
        <v>160</v>
      </c>
      <c r="C30" s="274"/>
      <c r="D30" s="282" t="s">
        <v>161</v>
      </c>
      <c r="E30" s="283" t="s">
        <v>286</v>
      </c>
      <c r="F30" s="106">
        <f>'9.1 - Summary '!BA35</f>
        <v>668107.61000001431</v>
      </c>
      <c r="G30" s="276" t="s">
        <v>143</v>
      </c>
      <c r="H30" s="284">
        <v>0.22648067236840891</v>
      </c>
      <c r="I30" s="276">
        <f t="shared" ref="I30:I31" si="3">F30*H30</f>
        <v>151313.46072725396</v>
      </c>
      <c r="J30" s="276"/>
    </row>
    <row r="31" spans="2:10">
      <c r="B31" s="281" t="s">
        <v>162</v>
      </c>
      <c r="C31" s="274"/>
      <c r="D31" s="282" t="s">
        <v>163</v>
      </c>
      <c r="E31" s="283" t="s">
        <v>286</v>
      </c>
      <c r="F31" s="106">
        <f>'9.1 - Summary '!BA36</f>
        <v>215537.90999999642</v>
      </c>
      <c r="G31" s="276" t="s">
        <v>143</v>
      </c>
      <c r="H31" s="284">
        <v>0.22648067236840891</v>
      </c>
      <c r="I31" s="276">
        <f t="shared" si="3"/>
        <v>48815.170777680796</v>
      </c>
    </row>
    <row r="32" spans="2:10">
      <c r="B32" s="281" t="s">
        <v>164</v>
      </c>
      <c r="C32" s="274"/>
      <c r="D32" s="282"/>
      <c r="E32" s="283"/>
      <c r="F32" s="285">
        <f>SUM(F30:F31)</f>
        <v>883645.52000001073</v>
      </c>
      <c r="H32" s="287"/>
      <c r="I32" s="285">
        <f>SUM(I30:I31)</f>
        <v>200128.63150493475</v>
      </c>
      <c r="J32" s="282" t="s">
        <v>339</v>
      </c>
    </row>
    <row r="33" spans="1:11">
      <c r="B33" s="291"/>
      <c r="C33" s="274"/>
      <c r="D33" s="282"/>
      <c r="E33" s="283"/>
      <c r="H33" s="287"/>
      <c r="I33" s="106"/>
      <c r="J33" s="276"/>
    </row>
    <row r="34" spans="1:11">
      <c r="B34" s="288" t="s">
        <v>284</v>
      </c>
      <c r="C34" s="274"/>
      <c r="D34" s="282"/>
      <c r="E34" s="283"/>
      <c r="F34" s="285">
        <f>-F13+F21+F27+F32</f>
        <v>-4765106.1900000172</v>
      </c>
      <c r="H34" s="287"/>
      <c r="I34" s="285">
        <f>-I13+I21+I27+I32</f>
        <v>-1077985.6150091903</v>
      </c>
      <c r="J34" s="276"/>
    </row>
    <row r="35" spans="1:11">
      <c r="C35" s="274"/>
      <c r="F35" s="289"/>
      <c r="J35" s="276"/>
    </row>
    <row r="36" spans="1:11">
      <c r="C36" s="274"/>
      <c r="F36" s="289"/>
      <c r="J36" s="276"/>
    </row>
    <row r="37" spans="1:11">
      <c r="C37" s="274"/>
      <c r="F37" s="289"/>
      <c r="J37" s="276"/>
    </row>
    <row r="42" spans="1:11" ht="13.5" thickBot="1">
      <c r="B42" s="290" t="s">
        <v>283</v>
      </c>
    </row>
    <row r="43" spans="1:11" ht="12.75" customHeight="1">
      <c r="A43" s="359" t="s">
        <v>410</v>
      </c>
      <c r="B43" s="360"/>
      <c r="C43" s="360"/>
      <c r="D43" s="360"/>
      <c r="E43" s="360"/>
      <c r="F43" s="360"/>
      <c r="G43" s="360"/>
      <c r="H43" s="360"/>
      <c r="I43" s="360"/>
      <c r="J43" s="361"/>
      <c r="K43" s="292"/>
    </row>
    <row r="44" spans="1:11">
      <c r="A44" s="362"/>
      <c r="B44" s="363"/>
      <c r="C44" s="363"/>
      <c r="D44" s="363"/>
      <c r="E44" s="363"/>
      <c r="F44" s="363"/>
      <c r="G44" s="363"/>
      <c r="H44" s="363"/>
      <c r="I44" s="363"/>
      <c r="J44" s="364"/>
      <c r="K44" s="292"/>
    </row>
    <row r="45" spans="1:11">
      <c r="A45" s="362"/>
      <c r="B45" s="363"/>
      <c r="C45" s="363"/>
      <c r="D45" s="363"/>
      <c r="E45" s="363"/>
      <c r="F45" s="363"/>
      <c r="G45" s="363"/>
      <c r="H45" s="363"/>
      <c r="I45" s="363"/>
      <c r="J45" s="364"/>
      <c r="K45" s="292"/>
    </row>
    <row r="46" spans="1:11">
      <c r="A46" s="362"/>
      <c r="B46" s="363"/>
      <c r="C46" s="363"/>
      <c r="D46" s="363"/>
      <c r="E46" s="363"/>
      <c r="F46" s="363"/>
      <c r="G46" s="363"/>
      <c r="H46" s="363"/>
      <c r="I46" s="363"/>
      <c r="J46" s="364"/>
      <c r="K46" s="292"/>
    </row>
    <row r="47" spans="1:11">
      <c r="A47" s="362"/>
      <c r="B47" s="363"/>
      <c r="C47" s="363"/>
      <c r="D47" s="363"/>
      <c r="E47" s="363"/>
      <c r="F47" s="363"/>
      <c r="G47" s="363"/>
      <c r="H47" s="363"/>
      <c r="I47" s="363"/>
      <c r="J47" s="364"/>
      <c r="K47" s="292"/>
    </row>
    <row r="48" spans="1:11">
      <c r="A48" s="362"/>
      <c r="B48" s="363"/>
      <c r="C48" s="363"/>
      <c r="D48" s="363"/>
      <c r="E48" s="363"/>
      <c r="F48" s="363"/>
      <c r="G48" s="363"/>
      <c r="H48" s="363"/>
      <c r="I48" s="363"/>
      <c r="J48" s="364"/>
      <c r="K48" s="292"/>
    </row>
    <row r="49" spans="1:11">
      <c r="A49" s="362"/>
      <c r="B49" s="363"/>
      <c r="C49" s="363"/>
      <c r="D49" s="363"/>
      <c r="E49" s="363"/>
      <c r="F49" s="363"/>
      <c r="G49" s="363"/>
      <c r="H49" s="363"/>
      <c r="I49" s="363"/>
      <c r="J49" s="364"/>
      <c r="K49" s="292"/>
    </row>
    <row r="50" spans="1:11" ht="13.5" thickBot="1">
      <c r="A50" s="365"/>
      <c r="B50" s="366"/>
      <c r="C50" s="366"/>
      <c r="D50" s="366"/>
      <c r="E50" s="366"/>
      <c r="F50" s="366"/>
      <c r="G50" s="366"/>
      <c r="H50" s="366"/>
      <c r="I50" s="366"/>
      <c r="J50" s="367"/>
      <c r="K50" s="292"/>
    </row>
  </sheetData>
  <mergeCells count="1">
    <mergeCell ref="A43:J50"/>
  </mergeCells>
  <conditionalFormatting sqref="B9:B26">
    <cfRule type="cellIs" dxfId="32" priority="3" stopIfTrue="1" operator="equal">
      <formula>"Adjustment to Income/Expense/Rate Base:"</formula>
    </cfRule>
  </conditionalFormatting>
  <conditionalFormatting sqref="B20:B22">
    <cfRule type="cellIs" dxfId="31" priority="2" stopIfTrue="1" operator="equal">
      <formula>"Title"</formula>
    </cfRule>
  </conditionalFormatting>
  <conditionalFormatting sqref="B27:B34">
    <cfRule type="cellIs" dxfId="30" priority="1" stopIfTrue="1" operator="equal">
      <formula>"Adjustment to Income/Expense/Rate Base:"</formula>
    </cfRule>
  </conditionalFormatting>
  <pageMargins left="0.65" right="0.72" top="1" bottom="1" header="0.5" footer="0.5"/>
  <pageSetup scale="77" orientation="portrait" r:id="rId1"/>
  <headerFooter alignWithMargins="0">
    <oddHeader>&amp;L&amp;"Arial,Regular"&amp;10WA UE-130043
Bench Request 9&amp;R&amp;"Arial,Bold"&amp;10Attachment Bench Request 9</oddHeader>
    <oddFooter>&amp;L&amp;"Arial,Regular"&amp;10&amp;F&amp;C&amp;A</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pageSetUpPr fitToPage="1"/>
  </sheetPr>
  <dimension ref="A1:S123"/>
  <sheetViews>
    <sheetView view="pageBreakPreview" zoomScale="85" zoomScaleNormal="85" zoomScaleSheetLayoutView="85" workbookViewId="0">
      <pane xSplit="3" ySplit="6" topLeftCell="D7" activePane="bottomRight" state="frozen"/>
      <selection activeCell="T91" sqref="T91"/>
      <selection pane="topRight" activeCell="T91" sqref="T91"/>
      <selection pane="bottomLeft" activeCell="T91" sqref="T91"/>
      <selection pane="bottomRight" activeCell="T91" sqref="T91"/>
    </sheetView>
  </sheetViews>
  <sheetFormatPr defaultColWidth="11" defaultRowHeight="10.5"/>
  <cols>
    <col min="1" max="1" width="3" style="3" customWidth="1"/>
    <col min="2" max="2" width="2.6640625" style="3" customWidth="1"/>
    <col min="3" max="3" width="33.1640625" style="3" customWidth="1"/>
    <col min="4" max="4" width="13.83203125" style="3" customWidth="1"/>
    <col min="5" max="5" width="2.33203125" style="3" customWidth="1"/>
    <col min="6" max="6" width="15.83203125" style="3" customWidth="1"/>
    <col min="7" max="8" width="13.33203125" style="3" bestFit="1" customWidth="1"/>
    <col min="9" max="9" width="13.83203125" style="3" bestFit="1" customWidth="1"/>
    <col min="10" max="10" width="11" style="3" customWidth="1"/>
    <col min="11" max="11" width="14.5" style="3" customWidth="1"/>
    <col min="12" max="12" width="11" style="3" customWidth="1"/>
    <col min="13" max="13" width="14.1640625" style="3" bestFit="1" customWidth="1"/>
    <col min="14" max="14" width="20.1640625" style="27" bestFit="1" customWidth="1"/>
    <col min="15" max="15" width="15" style="3" bestFit="1" customWidth="1"/>
    <col min="16" max="16" width="14.6640625" style="3" bestFit="1" customWidth="1"/>
    <col min="17" max="16384" width="11" style="3"/>
  </cols>
  <sheetData>
    <row r="1" spans="1:14">
      <c r="A1" s="4" t="s">
        <v>118</v>
      </c>
      <c r="D1"/>
      <c r="E1" s="9"/>
      <c r="F1" s="8" t="s">
        <v>42</v>
      </c>
    </row>
    <row r="2" spans="1:14">
      <c r="A2" s="20"/>
      <c r="D2"/>
      <c r="E2" s="9"/>
      <c r="F2" s="9" t="s">
        <v>0</v>
      </c>
      <c r="K2" s="50"/>
    </row>
    <row r="3" spans="1:14">
      <c r="A3" s="5" t="s">
        <v>52</v>
      </c>
      <c r="D3" s="10"/>
      <c r="E3" s="10"/>
      <c r="F3" s="8" t="s">
        <v>1</v>
      </c>
    </row>
    <row r="4" spans="1:14">
      <c r="A4" s="358">
        <v>41974</v>
      </c>
      <c r="B4" s="358"/>
      <c r="C4" s="358"/>
      <c r="D4" s="10"/>
      <c r="E4" s="10"/>
      <c r="F4" s="9"/>
    </row>
    <row r="5" spans="1:14">
      <c r="B5" s="5"/>
      <c r="D5" s="11" t="s">
        <v>2</v>
      </c>
      <c r="E5" s="11"/>
      <c r="F5" s="12" t="s">
        <v>3</v>
      </c>
      <c r="G5" s="12" t="s">
        <v>3</v>
      </c>
      <c r="H5" s="12"/>
      <c r="I5" s="12"/>
    </row>
    <row r="6" spans="1:14" s="11" customFormat="1">
      <c r="A6" s="3"/>
      <c r="B6" s="3"/>
      <c r="C6" s="3"/>
      <c r="D6" s="41" t="s">
        <v>117</v>
      </c>
      <c r="E6" s="15"/>
      <c r="F6" s="13" t="s">
        <v>4</v>
      </c>
      <c r="G6" s="13" t="s">
        <v>5</v>
      </c>
      <c r="H6" s="13" t="s">
        <v>6</v>
      </c>
      <c r="I6" s="13" t="s">
        <v>7</v>
      </c>
      <c r="N6" s="28"/>
    </row>
    <row r="7" spans="1:14">
      <c r="A7" s="3" t="s">
        <v>8</v>
      </c>
      <c r="F7" s="6"/>
      <c r="G7" s="6"/>
      <c r="H7" s="6"/>
      <c r="I7" s="6"/>
    </row>
    <row r="8" spans="1:14">
      <c r="B8" t="s">
        <v>9</v>
      </c>
      <c r="D8" s="26">
        <v>12964800</v>
      </c>
      <c r="E8" s="16"/>
      <c r="F8" s="26">
        <f>D8</f>
        <v>12964800</v>
      </c>
      <c r="G8"/>
      <c r="H8"/>
      <c r="I8"/>
    </row>
    <row r="9" spans="1:14" hidden="1">
      <c r="B9"/>
      <c r="D9" s="16"/>
      <c r="E9" s="16"/>
      <c r="F9" s="1"/>
      <c r="G9" s="6"/>
      <c r="H9" s="6"/>
      <c r="I9" s="6"/>
    </row>
    <row r="10" spans="1:14">
      <c r="B10" t="s">
        <v>10</v>
      </c>
      <c r="D10" s="26">
        <v>60709251.450000003</v>
      </c>
      <c r="E10" s="16"/>
      <c r="F10" s="1"/>
      <c r="G10" s="6"/>
      <c r="H10" s="6"/>
      <c r="I10" s="26">
        <f>D10</f>
        <v>60709251.450000003</v>
      </c>
    </row>
    <row r="11" spans="1:14" hidden="1">
      <c r="B11"/>
      <c r="D11" s="16"/>
      <c r="E11" s="16"/>
      <c r="F11" s="1"/>
      <c r="G11" s="6"/>
      <c r="H11" s="6"/>
      <c r="I11" s="6"/>
    </row>
    <row r="12" spans="1:14" hidden="1">
      <c r="B12" t="s">
        <v>11</v>
      </c>
      <c r="D12" s="26">
        <v>0</v>
      </c>
      <c r="E12" s="16"/>
      <c r="F12" s="26">
        <f>D12</f>
        <v>0</v>
      </c>
      <c r="G12" s="6"/>
      <c r="H12" s="6"/>
      <c r="I12" s="6"/>
    </row>
    <row r="13" spans="1:14" hidden="1">
      <c r="C13"/>
      <c r="D13" s="16"/>
      <c r="E13" s="16"/>
      <c r="F13" s="6"/>
      <c r="G13" s="6"/>
      <c r="H13" s="6"/>
      <c r="I13" s="6"/>
    </row>
    <row r="14" spans="1:14" hidden="1">
      <c r="B14" s="3" t="s">
        <v>12</v>
      </c>
      <c r="C14"/>
      <c r="D14" s="26">
        <v>0</v>
      </c>
      <c r="E14" s="16"/>
      <c r="F14" s="6"/>
      <c r="G14" s="6"/>
      <c r="H14" s="26">
        <f>D14</f>
        <v>0</v>
      </c>
      <c r="I14" s="6"/>
    </row>
    <row r="15" spans="1:14" ht="11.25" thickBot="1">
      <c r="D15" s="11" t="s">
        <v>14</v>
      </c>
      <c r="E15" s="14" t="s">
        <v>13</v>
      </c>
      <c r="F15" s="11" t="s">
        <v>14</v>
      </c>
      <c r="G15" s="11" t="s">
        <v>14</v>
      </c>
      <c r="H15" s="11" t="s">
        <v>14</v>
      </c>
      <c r="I15" s="11" t="s">
        <v>14</v>
      </c>
    </row>
    <row r="16" spans="1:14" ht="11.25" thickBot="1">
      <c r="A16" s="3" t="s">
        <v>15</v>
      </c>
      <c r="D16" s="26">
        <f>SUM(D8:D14)</f>
        <v>73674051.450000003</v>
      </c>
      <c r="E16" s="16"/>
      <c r="F16" s="26">
        <f>SUM(F8:F14)</f>
        <v>12964800</v>
      </c>
      <c r="G16" s="26">
        <f>SUM(G8:G14)</f>
        <v>0</v>
      </c>
      <c r="H16" s="26">
        <f>SUM(H8:H14)</f>
        <v>0</v>
      </c>
      <c r="I16" s="26">
        <f>SUM(I8:I14)</f>
        <v>60709251.450000003</v>
      </c>
      <c r="K16" s="36">
        <v>0</v>
      </c>
      <c r="L16" s="24" t="s">
        <v>40</v>
      </c>
      <c r="M16" s="37">
        <f>D16-SUM(F16:I16)</f>
        <v>0</v>
      </c>
    </row>
    <row r="17" spans="1:19">
      <c r="D17" s="16"/>
      <c r="E17" s="16"/>
      <c r="F17" s="16"/>
      <c r="G17" s="16"/>
      <c r="H17" s="16"/>
      <c r="I17" s="16"/>
      <c r="P17" s="8" t="s">
        <v>67</v>
      </c>
    </row>
    <row r="18" spans="1:19">
      <c r="D18"/>
      <c r="E18" s="6"/>
      <c r="F18" s="6"/>
      <c r="G18" s="6"/>
      <c r="H18" s="6"/>
      <c r="I18" s="6"/>
      <c r="N18" s="39"/>
      <c r="O18" s="35"/>
      <c r="P18" s="48">
        <f>+A4</f>
        <v>41974</v>
      </c>
    </row>
    <row r="19" spans="1:19" ht="11.25">
      <c r="A19" s="3" t="s">
        <v>16</v>
      </c>
      <c r="D19" s="16"/>
      <c r="E19" s="16"/>
      <c r="F19" s="45"/>
      <c r="G19" s="6"/>
      <c r="H19" s="6"/>
      <c r="I19" s="6"/>
      <c r="N19" s="29" t="s">
        <v>56</v>
      </c>
      <c r="O19" s="42">
        <v>0.42634034956164213</v>
      </c>
      <c r="P19" s="16">
        <v>14785516.07</v>
      </c>
      <c r="Q19" s="44"/>
      <c r="R19" s="30"/>
      <c r="S19" s="16"/>
    </row>
    <row r="20" spans="1:19" ht="11.25" hidden="1">
      <c r="B20"/>
      <c r="C20" s="3" t="s">
        <v>17</v>
      </c>
      <c r="D20" s="26">
        <v>0</v>
      </c>
      <c r="E20" s="16"/>
      <c r="F20" s="26">
        <f>D20</f>
        <v>0</v>
      </c>
      <c r="G20" s="6"/>
      <c r="H20" s="6"/>
      <c r="I20" s="6"/>
      <c r="N20" s="29" t="s">
        <v>58</v>
      </c>
      <c r="O20" s="42">
        <f>1-O19</f>
        <v>0.57365965043835787</v>
      </c>
      <c r="P20" s="16">
        <v>19894560.739999998</v>
      </c>
      <c r="Q20" s="44"/>
      <c r="R20" s="30"/>
      <c r="S20" s="16"/>
    </row>
    <row r="21" spans="1:19" ht="11.25" hidden="1">
      <c r="B21"/>
      <c r="C21" s="3" t="s">
        <v>18</v>
      </c>
      <c r="D21" s="26">
        <v>0</v>
      </c>
      <c r="E21" s="16"/>
      <c r="F21" s="26">
        <f>D21-G21</f>
        <v>0</v>
      </c>
      <c r="G21" s="26">
        <v>0</v>
      </c>
      <c r="H21" s="6"/>
      <c r="I21" s="6"/>
      <c r="N21" s="29" t="s">
        <v>57</v>
      </c>
      <c r="O21" s="42">
        <f>IFERROR(P21/(P21+P22),0)</f>
        <v>0</v>
      </c>
      <c r="P21" s="16">
        <v>0</v>
      </c>
      <c r="Q21" s="44"/>
      <c r="R21" s="30"/>
      <c r="S21" s="16"/>
    </row>
    <row r="22" spans="1:19" ht="11.25">
      <c r="B22"/>
      <c r="C22" s="3" t="s">
        <v>19</v>
      </c>
      <c r="D22" s="26">
        <v>-148246.80999999959</v>
      </c>
      <c r="E22" s="16"/>
      <c r="F22" s="26">
        <f>D22*0.3</f>
        <v>-44474.042999999874</v>
      </c>
      <c r="G22" s="26">
        <f>D22*0.7</f>
        <v>-103772.7669999997</v>
      </c>
      <c r="H22" s="6"/>
      <c r="I22" s="6"/>
      <c r="N22" s="29" t="s">
        <v>59</v>
      </c>
      <c r="O22" s="42">
        <f>1-O21</f>
        <v>1</v>
      </c>
      <c r="P22" s="16">
        <v>0</v>
      </c>
      <c r="Q22" s="44"/>
      <c r="R22" s="30"/>
      <c r="S22" s="16"/>
    </row>
    <row r="23" spans="1:19">
      <c r="B23"/>
      <c r="C23" s="3" t="s">
        <v>20</v>
      </c>
      <c r="D23" s="26">
        <v>270000</v>
      </c>
      <c r="E23" s="16"/>
      <c r="F23" s="26">
        <f>D23*0.2073628</f>
        <v>55987.956000000006</v>
      </c>
      <c r="G23" s="26">
        <f>D23-F23</f>
        <v>214012.04399999999</v>
      </c>
      <c r="H23" s="6"/>
      <c r="I23" s="6"/>
    </row>
    <row r="24" spans="1:19">
      <c r="B24"/>
      <c r="C24" s="3" t="s">
        <v>21</v>
      </c>
      <c r="D24" s="26">
        <f>N27</f>
        <v>69544653.810000002</v>
      </c>
      <c r="E24" s="16"/>
      <c r="F24" s="31">
        <f>(N25+N24*O19)*K24</f>
        <v>2517906.851172646</v>
      </c>
      <c r="G24" s="31">
        <f>(N25+N24*O19)*L24</f>
        <v>12267609.214563949</v>
      </c>
      <c r="H24" s="6"/>
      <c r="I24" s="31">
        <f>(N26+N24*O20)</f>
        <v>54759137.744263396</v>
      </c>
      <c r="K24" s="25">
        <v>0.17029549999999999</v>
      </c>
      <c r="L24" s="25">
        <f>1-K24</f>
        <v>0.82970450000000007</v>
      </c>
      <c r="N24" s="26">
        <v>34680076.799999997</v>
      </c>
      <c r="O24" t="s">
        <v>53</v>
      </c>
    </row>
    <row r="25" spans="1:19">
      <c r="B25"/>
      <c r="C25" s="49" t="s">
        <v>90</v>
      </c>
      <c r="D25" s="26">
        <v>0</v>
      </c>
      <c r="E25" s="16"/>
      <c r="F25" s="6"/>
      <c r="G25" s="26">
        <f>D25</f>
        <v>0</v>
      </c>
      <c r="H25" s="6"/>
      <c r="I25" s="26"/>
      <c r="N25" s="26">
        <v>0</v>
      </c>
      <c r="O25" t="s">
        <v>50</v>
      </c>
    </row>
    <row r="26" spans="1:19">
      <c r="B26" s="40" t="s">
        <v>65</v>
      </c>
      <c r="C26" s="14"/>
      <c r="D26" s="11" t="s">
        <v>14</v>
      </c>
      <c r="E26" s="14" t="s">
        <v>13</v>
      </c>
      <c r="F26" s="11" t="s">
        <v>14</v>
      </c>
      <c r="G26" s="11" t="s">
        <v>14</v>
      </c>
      <c r="H26" s="11" t="s">
        <v>14</v>
      </c>
      <c r="I26" s="11" t="s">
        <v>14</v>
      </c>
      <c r="K26" s="25"/>
      <c r="L26" s="25"/>
      <c r="N26" s="43">
        <v>34864577.009999998</v>
      </c>
      <c r="O26" t="s">
        <v>49</v>
      </c>
    </row>
    <row r="27" spans="1:19">
      <c r="B27" s="3" t="s">
        <v>22</v>
      </c>
      <c r="C27"/>
      <c r="D27" s="26">
        <f>SUM(D20:D26)</f>
        <v>69666407</v>
      </c>
      <c r="E27" s="16"/>
      <c r="F27" s="26">
        <f>SUM(F20:F26)</f>
        <v>2529420.7641726462</v>
      </c>
      <c r="G27" s="26">
        <f>SUM(G20:G26)</f>
        <v>12377848.49156395</v>
      </c>
      <c r="H27" s="26">
        <f>SUM(H20:H26)</f>
        <v>0</v>
      </c>
      <c r="I27" s="26">
        <f>SUM(I20:I26)</f>
        <v>54759137.744263396</v>
      </c>
      <c r="K27" s="25"/>
      <c r="L27" s="25"/>
      <c r="N27" s="26">
        <f>SUM(N24:N26)</f>
        <v>69544653.810000002</v>
      </c>
      <c r="O27"/>
    </row>
    <row r="28" spans="1:19" ht="12.75">
      <c r="D28" s="1"/>
      <c r="E28" s="16"/>
      <c r="F28" s="1"/>
      <c r="G28" s="1"/>
      <c r="H28" s="6"/>
      <c r="I28" s="6"/>
      <c r="K28" s="25"/>
      <c r="L28" s="25"/>
      <c r="N28" s="34"/>
      <c r="O28" s="32"/>
    </row>
    <row r="29" spans="1:19" hidden="1">
      <c r="B29"/>
      <c r="C29" s="3" t="s">
        <v>41</v>
      </c>
      <c r="D29" s="26">
        <v>0</v>
      </c>
      <c r="E29" s="16"/>
      <c r="F29" s="26"/>
      <c r="G29" s="26">
        <f>D29</f>
        <v>0</v>
      </c>
      <c r="H29" s="6"/>
      <c r="I29" s="6"/>
      <c r="K29" s="25"/>
      <c r="L29" s="25"/>
      <c r="N29" s="26">
        <v>0</v>
      </c>
      <c r="O29" t="s">
        <v>54</v>
      </c>
    </row>
    <row r="30" spans="1:19" hidden="1">
      <c r="B30"/>
      <c r="C30" s="3" t="s">
        <v>23</v>
      </c>
      <c r="D30" s="26">
        <v>0</v>
      </c>
      <c r="E30" s="16"/>
      <c r="F30" s="26"/>
      <c r="G30" s="26">
        <f>D30</f>
        <v>0</v>
      </c>
      <c r="H30" s="6"/>
      <c r="I30" s="6"/>
      <c r="K30" s="25"/>
      <c r="L30" s="25"/>
      <c r="M30" s="21"/>
      <c r="N30" s="26">
        <v>0</v>
      </c>
      <c r="O30" t="s">
        <v>51</v>
      </c>
    </row>
    <row r="31" spans="1:19" hidden="1">
      <c r="B31"/>
      <c r="C31" s="3" t="s">
        <v>24</v>
      </c>
      <c r="D31" s="26">
        <f>N32</f>
        <v>0</v>
      </c>
      <c r="E31" s="16"/>
      <c r="F31" s="31">
        <f>(N30+N29*O21)*K31</f>
        <v>0</v>
      </c>
      <c r="G31" s="31">
        <f>(N30+N29*O21)*L31</f>
        <v>0</v>
      </c>
      <c r="H31" s="6"/>
      <c r="I31" s="31">
        <f>(N31+N29*O22)</f>
        <v>0</v>
      </c>
      <c r="K31" s="25">
        <v>0.7</v>
      </c>
      <c r="L31" s="25">
        <f>1-K31</f>
        <v>0.30000000000000004</v>
      </c>
      <c r="N31" s="43">
        <v>0</v>
      </c>
      <c r="O31" t="s">
        <v>48</v>
      </c>
    </row>
    <row r="32" spans="1:19" hidden="1">
      <c r="B32"/>
      <c r="C32" s="3" t="s">
        <v>25</v>
      </c>
      <c r="D32" s="26">
        <v>0</v>
      </c>
      <c r="E32" s="16"/>
      <c r="F32" s="26">
        <f>D32</f>
        <v>0</v>
      </c>
      <c r="G32" s="26">
        <v>0</v>
      </c>
      <c r="H32" s="6"/>
      <c r="I32" s="6"/>
      <c r="N32" s="33">
        <f>SUM(N29:N31)</f>
        <v>0</v>
      </c>
      <c r="O32"/>
    </row>
    <row r="33" spans="2:18" hidden="1">
      <c r="B33"/>
      <c r="C33" s="3" t="s">
        <v>89</v>
      </c>
      <c r="D33" s="26">
        <v>0</v>
      </c>
      <c r="E33" s="16"/>
      <c r="F33" s="6"/>
      <c r="G33" s="26">
        <f>D33</f>
        <v>0</v>
      </c>
      <c r="H33" s="6"/>
      <c r="I33" s="6"/>
      <c r="N33" s="33"/>
      <c r="O33"/>
    </row>
    <row r="34" spans="2:18" hidden="1">
      <c r="B34"/>
      <c r="C34" s="3" t="s">
        <v>26</v>
      </c>
      <c r="D34" s="26">
        <v>0</v>
      </c>
      <c r="E34" s="16"/>
      <c r="F34" s="26">
        <v>0</v>
      </c>
      <c r="G34" s="26">
        <v>0</v>
      </c>
      <c r="H34" s="6"/>
      <c r="I34" s="6"/>
    </row>
    <row r="35" spans="2:18" hidden="1">
      <c r="B35" s="40" t="s">
        <v>65</v>
      </c>
      <c r="C35" s="14"/>
      <c r="D35" s="11" t="s">
        <v>14</v>
      </c>
      <c r="E35" s="14" t="s">
        <v>13</v>
      </c>
      <c r="F35" s="11" t="s">
        <v>14</v>
      </c>
      <c r="G35" s="11" t="s">
        <v>14</v>
      </c>
      <c r="H35" s="11" t="s">
        <v>14</v>
      </c>
      <c r="I35" s="11" t="s">
        <v>14</v>
      </c>
      <c r="R35" s="30"/>
    </row>
    <row r="36" spans="2:18" hidden="1">
      <c r="B36" s="3" t="s">
        <v>27</v>
      </c>
      <c r="C36"/>
      <c r="D36" s="26">
        <f>SUM(D29:D35)</f>
        <v>0</v>
      </c>
      <c r="E36" s="16"/>
      <c r="F36" s="26">
        <f>SUM(F29:F35)</f>
        <v>0</v>
      </c>
      <c r="G36" s="26">
        <f>SUM(G29:G35)</f>
        <v>0</v>
      </c>
      <c r="H36" s="26">
        <f>SUM(H29:H35)</f>
        <v>0</v>
      </c>
      <c r="I36" s="26">
        <f>SUM(I29:I35)</f>
        <v>0</v>
      </c>
    </row>
    <row r="37" spans="2:18">
      <c r="D37" s="16"/>
      <c r="E37" s="16"/>
      <c r="F37" s="6"/>
      <c r="G37" s="6"/>
      <c r="H37" s="6"/>
      <c r="I37" s="6"/>
      <c r="N37" s="3"/>
    </row>
    <row r="38" spans="2:18" hidden="1">
      <c r="B38"/>
      <c r="C38" s="3" t="s">
        <v>68</v>
      </c>
      <c r="D38" s="26">
        <v>0</v>
      </c>
      <c r="E38" s="16"/>
      <c r="F38" s="6"/>
      <c r="G38" s="6"/>
      <c r="H38" s="6"/>
      <c r="I38" s="26">
        <f t="shared" ref="I38:I65" si="0">IF(K38="Post Merger",D38,0)</f>
        <v>0</v>
      </c>
      <c r="K38" s="3" t="s">
        <v>10</v>
      </c>
    </row>
    <row r="39" spans="2:18" hidden="1">
      <c r="B39"/>
      <c r="C39" s="3" t="s">
        <v>55</v>
      </c>
      <c r="D39" s="26">
        <v>0</v>
      </c>
      <c r="E39" s="16"/>
      <c r="F39" s="6"/>
      <c r="G39" s="6"/>
      <c r="H39" s="6"/>
      <c r="I39" s="26">
        <f t="shared" si="0"/>
        <v>0</v>
      </c>
      <c r="K39" s="3" t="s">
        <v>10</v>
      </c>
    </row>
    <row r="40" spans="2:18" hidden="1">
      <c r="B40"/>
      <c r="C40" s="3" t="s">
        <v>69</v>
      </c>
      <c r="D40" s="26">
        <v>0</v>
      </c>
      <c r="E40" s="16"/>
      <c r="F40" s="6"/>
      <c r="G40" s="6"/>
      <c r="H40" s="6"/>
      <c r="I40" s="26">
        <f t="shared" si="0"/>
        <v>0</v>
      </c>
      <c r="K40" s="3" t="s">
        <v>10</v>
      </c>
    </row>
    <row r="41" spans="2:18" hidden="1">
      <c r="B41"/>
      <c r="C41" s="3" t="s">
        <v>88</v>
      </c>
      <c r="D41" s="26">
        <v>0</v>
      </c>
      <c r="E41" s="16"/>
      <c r="F41" s="6"/>
      <c r="G41" s="6"/>
      <c r="H41" s="6"/>
      <c r="I41" s="26">
        <f t="shared" si="0"/>
        <v>0</v>
      </c>
      <c r="K41" s="3" t="s">
        <v>10</v>
      </c>
    </row>
    <row r="42" spans="2:18" hidden="1">
      <c r="B42"/>
      <c r="C42" s="3" t="s">
        <v>70</v>
      </c>
      <c r="D42" s="26">
        <v>0</v>
      </c>
      <c r="E42" s="16"/>
      <c r="F42" s="6"/>
      <c r="G42" s="6"/>
      <c r="H42" s="6"/>
      <c r="I42" s="26">
        <f t="shared" si="0"/>
        <v>0</v>
      </c>
      <c r="K42" s="3" t="s">
        <v>10</v>
      </c>
    </row>
    <row r="43" spans="2:18">
      <c r="B43"/>
      <c r="C43" s="3" t="s">
        <v>71</v>
      </c>
      <c r="D43" s="26">
        <v>4575693.2</v>
      </c>
      <c r="E43" s="16"/>
      <c r="F43" s="6"/>
      <c r="G43" s="6"/>
      <c r="H43" s="6"/>
      <c r="I43" s="26">
        <f t="shared" si="0"/>
        <v>4575693.2</v>
      </c>
      <c r="K43" s="3" t="s">
        <v>10</v>
      </c>
    </row>
    <row r="44" spans="2:18" hidden="1">
      <c r="B44"/>
      <c r="C44" s="3" t="s">
        <v>72</v>
      </c>
      <c r="D44" s="26">
        <v>0</v>
      </c>
      <c r="E44" s="16"/>
      <c r="F44" s="6"/>
      <c r="G44" s="6"/>
      <c r="H44" s="6"/>
      <c r="I44" s="26">
        <f t="shared" si="0"/>
        <v>0</v>
      </c>
      <c r="K44" s="3" t="s">
        <v>10</v>
      </c>
    </row>
    <row r="45" spans="2:18">
      <c r="B45"/>
      <c r="C45" s="3" t="s">
        <v>46</v>
      </c>
      <c r="D45" s="26">
        <v>8005931.2199999997</v>
      </c>
      <c r="E45" s="16"/>
      <c r="F45" s="6"/>
      <c r="G45" s="6"/>
      <c r="H45" s="6"/>
      <c r="I45" s="26">
        <f t="shared" si="0"/>
        <v>8005931.2199999997</v>
      </c>
      <c r="K45" s="3" t="s">
        <v>10</v>
      </c>
    </row>
    <row r="46" spans="2:18">
      <c r="B46"/>
      <c r="C46" s="3" t="s">
        <v>73</v>
      </c>
      <c r="D46" s="26">
        <v>84266760.900000006</v>
      </c>
      <c r="E46" s="16"/>
      <c r="F46" s="6"/>
      <c r="G46" s="6"/>
      <c r="H46" s="6"/>
      <c r="I46" s="26">
        <f t="shared" si="0"/>
        <v>84266760.900000006</v>
      </c>
      <c r="K46" s="3" t="s">
        <v>10</v>
      </c>
    </row>
    <row r="47" spans="2:18" hidden="1">
      <c r="B47"/>
      <c r="C47" s="3" t="s">
        <v>74</v>
      </c>
      <c r="D47" s="26">
        <v>0</v>
      </c>
      <c r="E47" s="16"/>
      <c r="F47" s="6"/>
      <c r="G47" s="6"/>
      <c r="H47" s="6"/>
      <c r="I47" s="26">
        <f t="shared" si="0"/>
        <v>0</v>
      </c>
      <c r="K47" s="3" t="s">
        <v>10</v>
      </c>
    </row>
    <row r="48" spans="2:18" hidden="1">
      <c r="B48"/>
      <c r="C48" s="3" t="s">
        <v>75</v>
      </c>
      <c r="D48" s="26">
        <v>0</v>
      </c>
      <c r="E48" s="16"/>
      <c r="F48" s="6"/>
      <c r="G48" s="6"/>
      <c r="H48" s="6"/>
      <c r="I48" s="26">
        <f t="shared" si="0"/>
        <v>0</v>
      </c>
      <c r="K48" s="3" t="s">
        <v>10</v>
      </c>
    </row>
    <row r="49" spans="2:11" hidden="1">
      <c r="B49"/>
      <c r="C49" s="3" t="s">
        <v>45</v>
      </c>
      <c r="D49" s="26">
        <v>0</v>
      </c>
      <c r="E49" s="16"/>
      <c r="F49" s="6"/>
      <c r="G49" s="6"/>
      <c r="H49" s="6"/>
      <c r="I49" s="26">
        <f t="shared" si="0"/>
        <v>0</v>
      </c>
      <c r="K49" s="3" t="s">
        <v>10</v>
      </c>
    </row>
    <row r="50" spans="2:11" hidden="1">
      <c r="B50"/>
      <c r="C50" s="22" t="s">
        <v>76</v>
      </c>
      <c r="D50" s="26">
        <v>0</v>
      </c>
      <c r="E50" s="16"/>
      <c r="F50" s="6"/>
      <c r="G50" s="6"/>
      <c r="H50" s="6"/>
      <c r="I50" s="26">
        <f t="shared" si="0"/>
        <v>0</v>
      </c>
      <c r="K50" s="3" t="s">
        <v>10</v>
      </c>
    </row>
    <row r="51" spans="2:11" hidden="1">
      <c r="B51"/>
      <c r="C51" s="3" t="s">
        <v>77</v>
      </c>
      <c r="D51" s="26">
        <v>0</v>
      </c>
      <c r="E51" s="16"/>
      <c r="F51" s="6"/>
      <c r="G51" s="6"/>
      <c r="H51" s="6"/>
      <c r="I51" s="26">
        <f t="shared" si="0"/>
        <v>0</v>
      </c>
      <c r="K51" s="3" t="s">
        <v>10</v>
      </c>
    </row>
    <row r="52" spans="2:11" hidden="1">
      <c r="B52"/>
      <c r="C52" s="3" t="s">
        <v>78</v>
      </c>
      <c r="D52" s="26">
        <v>0</v>
      </c>
      <c r="E52" s="16"/>
      <c r="F52" s="6"/>
      <c r="G52" s="6"/>
      <c r="H52" s="6"/>
      <c r="I52" s="26">
        <f t="shared" si="0"/>
        <v>0</v>
      </c>
      <c r="K52" s="3" t="s">
        <v>10</v>
      </c>
    </row>
    <row r="53" spans="2:11" hidden="1">
      <c r="B53"/>
      <c r="C53" s="3" t="s">
        <v>79</v>
      </c>
      <c r="D53" s="26">
        <v>0</v>
      </c>
      <c r="E53" s="16"/>
      <c r="F53" s="6"/>
      <c r="G53" s="6"/>
      <c r="H53" s="6"/>
      <c r="I53" s="26">
        <f t="shared" si="0"/>
        <v>0</v>
      </c>
      <c r="K53" s="3" t="s">
        <v>10</v>
      </c>
    </row>
    <row r="54" spans="2:11" hidden="1">
      <c r="B54"/>
      <c r="C54" s="3" t="s">
        <v>80</v>
      </c>
      <c r="D54" s="26">
        <v>0</v>
      </c>
      <c r="E54" s="16"/>
      <c r="F54" s="6"/>
      <c r="G54" s="6"/>
      <c r="H54" s="6"/>
      <c r="I54" s="26">
        <f t="shared" si="0"/>
        <v>0</v>
      </c>
      <c r="K54" s="3" t="s">
        <v>10</v>
      </c>
    </row>
    <row r="55" spans="2:11" hidden="1">
      <c r="B55"/>
      <c r="C55" s="3" t="s">
        <v>81</v>
      </c>
      <c r="D55" s="26">
        <v>0</v>
      </c>
      <c r="E55" s="16"/>
      <c r="F55" s="6"/>
      <c r="G55" s="6"/>
      <c r="H55" s="6"/>
      <c r="I55" s="26">
        <f t="shared" si="0"/>
        <v>0</v>
      </c>
      <c r="K55" s="3" t="s">
        <v>10</v>
      </c>
    </row>
    <row r="56" spans="2:11" hidden="1">
      <c r="B56"/>
      <c r="C56" s="3" t="s">
        <v>82</v>
      </c>
      <c r="D56" s="26">
        <v>0</v>
      </c>
      <c r="E56" s="16"/>
      <c r="F56" s="6"/>
      <c r="G56" s="6"/>
      <c r="H56" s="6"/>
      <c r="I56" s="26">
        <f t="shared" si="0"/>
        <v>0</v>
      </c>
      <c r="K56" s="3" t="s">
        <v>10</v>
      </c>
    </row>
    <row r="57" spans="2:11" hidden="1">
      <c r="B57"/>
      <c r="C57" s="27" t="s">
        <v>83</v>
      </c>
      <c r="D57" s="26">
        <v>0</v>
      </c>
      <c r="E57" s="16"/>
      <c r="F57" s="6"/>
      <c r="G57" s="6"/>
      <c r="H57" s="6"/>
      <c r="I57" s="26">
        <f t="shared" si="0"/>
        <v>0</v>
      </c>
      <c r="K57" s="3" t="s">
        <v>10</v>
      </c>
    </row>
    <row r="58" spans="2:11" hidden="1">
      <c r="B58"/>
      <c r="C58" s="27" t="s">
        <v>92</v>
      </c>
      <c r="D58" s="26">
        <v>0</v>
      </c>
      <c r="E58" s="16"/>
      <c r="F58" s="6"/>
      <c r="G58" s="6"/>
      <c r="H58" s="6"/>
      <c r="I58" s="26">
        <f t="shared" si="0"/>
        <v>0</v>
      </c>
      <c r="K58" s="3" t="s">
        <v>10</v>
      </c>
    </row>
    <row r="59" spans="2:11" hidden="1">
      <c r="B59"/>
      <c r="C59" s="3" t="s">
        <v>84</v>
      </c>
      <c r="D59" s="26">
        <v>0</v>
      </c>
      <c r="E59" s="16"/>
      <c r="F59" s="6"/>
      <c r="G59" s="6"/>
      <c r="H59" s="6"/>
      <c r="I59" s="26">
        <f t="shared" si="0"/>
        <v>0</v>
      </c>
      <c r="K59" s="3" t="s">
        <v>10</v>
      </c>
    </row>
    <row r="60" spans="2:11" hidden="1">
      <c r="B60"/>
      <c r="C60" s="3" t="s">
        <v>95</v>
      </c>
      <c r="D60" s="26">
        <v>0</v>
      </c>
      <c r="E60" s="16"/>
      <c r="F60" s="6"/>
      <c r="G60" s="6"/>
      <c r="H60" s="6"/>
      <c r="I60" s="26">
        <f t="shared" si="0"/>
        <v>0</v>
      </c>
      <c r="K60" s="3" t="s">
        <v>10</v>
      </c>
    </row>
    <row r="61" spans="2:11" hidden="1">
      <c r="B61"/>
      <c r="C61" s="3" t="s">
        <v>85</v>
      </c>
      <c r="D61" s="26">
        <v>0</v>
      </c>
      <c r="E61" s="16"/>
      <c r="F61" s="6"/>
      <c r="G61" s="6"/>
      <c r="H61" s="6"/>
      <c r="I61" s="26">
        <f t="shared" si="0"/>
        <v>0</v>
      </c>
      <c r="K61" s="3" t="s">
        <v>10</v>
      </c>
    </row>
    <row r="62" spans="2:11" hidden="1">
      <c r="B62"/>
      <c r="C62" s="3" t="s">
        <v>86</v>
      </c>
      <c r="D62" s="26">
        <v>0</v>
      </c>
      <c r="E62" s="16"/>
      <c r="F62" s="6"/>
      <c r="G62" s="6"/>
      <c r="H62" s="6"/>
      <c r="I62" s="26">
        <f t="shared" si="0"/>
        <v>0</v>
      </c>
      <c r="K62" s="3" t="s">
        <v>10</v>
      </c>
    </row>
    <row r="63" spans="2:11" hidden="1">
      <c r="B63"/>
      <c r="C63" s="3" t="s">
        <v>94</v>
      </c>
      <c r="D63" s="26">
        <v>0</v>
      </c>
      <c r="E63" s="16"/>
      <c r="F63" s="6"/>
      <c r="G63" s="6"/>
      <c r="H63" s="6"/>
      <c r="I63" s="26">
        <f t="shared" si="0"/>
        <v>0</v>
      </c>
      <c r="K63" s="3" t="s">
        <v>10</v>
      </c>
    </row>
    <row r="64" spans="2:11" hidden="1">
      <c r="B64"/>
      <c r="C64" s="27" t="s">
        <v>87</v>
      </c>
      <c r="D64" s="26">
        <v>0</v>
      </c>
      <c r="E64" s="16"/>
      <c r="F64" s="6"/>
      <c r="G64" s="6"/>
      <c r="H64" s="6"/>
      <c r="I64" s="26">
        <f t="shared" si="0"/>
        <v>0</v>
      </c>
      <c r="K64" s="3" t="s">
        <v>10</v>
      </c>
    </row>
    <row r="65" spans="1:16" hidden="1">
      <c r="B65"/>
      <c r="C65" s="3" t="s">
        <v>93</v>
      </c>
      <c r="D65" s="26">
        <v>0</v>
      </c>
      <c r="E65" s="16"/>
      <c r="F65" s="6"/>
      <c r="G65" s="6"/>
      <c r="H65" s="6"/>
      <c r="I65" s="26">
        <f t="shared" si="0"/>
        <v>0</v>
      </c>
      <c r="K65" s="3" t="s">
        <v>10</v>
      </c>
    </row>
    <row r="66" spans="1:16" ht="11.25" thickBot="1">
      <c r="B66"/>
      <c r="C66" s="27"/>
      <c r="D66" s="26"/>
      <c r="E66" s="16"/>
      <c r="F66" s="6"/>
      <c r="G66" s="6"/>
      <c r="H66" s="6"/>
      <c r="I66" s="26"/>
    </row>
    <row r="67" spans="1:16" hidden="1">
      <c r="B67" s="22" t="s">
        <v>64</v>
      </c>
      <c r="C67" s="27"/>
      <c r="D67" s="26"/>
      <c r="E67" s="16"/>
      <c r="F67" s="6"/>
      <c r="G67" s="6"/>
      <c r="H67" s="6"/>
      <c r="I67" s="26"/>
    </row>
    <row r="68" spans="1:16" ht="11.25" hidden="1" thickBot="1">
      <c r="B68"/>
      <c r="C68" s="3" t="s">
        <v>96</v>
      </c>
      <c r="D68" s="26">
        <v>0</v>
      </c>
      <c r="E68" s="16"/>
      <c r="F68" s="6"/>
      <c r="G68" s="6"/>
      <c r="H68" s="6"/>
      <c r="I68" s="26">
        <f>IF(K68="Post Merger",D68,0)</f>
        <v>0</v>
      </c>
      <c r="K68" s="3" t="s">
        <v>10</v>
      </c>
    </row>
    <row r="69" spans="1:16" ht="11.25" thickBot="1">
      <c r="B69"/>
      <c r="D69" s="16"/>
      <c r="E69" s="16"/>
      <c r="F69" s="6"/>
      <c r="G69" s="6"/>
      <c r="H69" s="6"/>
      <c r="I69" s="6"/>
      <c r="K69" s="36">
        <v>0</v>
      </c>
      <c r="L69" s="24" t="s">
        <v>40</v>
      </c>
      <c r="M69" s="37">
        <v>0</v>
      </c>
    </row>
    <row r="70" spans="1:16">
      <c r="B70"/>
      <c r="C70" t="s">
        <v>115</v>
      </c>
      <c r="D70" s="26">
        <v>68966934.609999999</v>
      </c>
      <c r="E70" s="16"/>
      <c r="F70" s="6"/>
      <c r="G70" s="6"/>
      <c r="H70" s="6"/>
      <c r="I70" s="26">
        <f>D70</f>
        <v>68966934.609999999</v>
      </c>
    </row>
    <row r="71" spans="1:16" ht="11.25" thickBot="1">
      <c r="B71" s="40" t="s">
        <v>65</v>
      </c>
      <c r="C71" s="14"/>
      <c r="D71" s="11" t="s">
        <v>14</v>
      </c>
      <c r="E71" s="14" t="s">
        <v>13</v>
      </c>
      <c r="F71" s="11" t="s">
        <v>14</v>
      </c>
      <c r="G71" s="11" t="s">
        <v>14</v>
      </c>
      <c r="H71" s="11" t="s">
        <v>14</v>
      </c>
      <c r="I71" s="11" t="s">
        <v>14</v>
      </c>
    </row>
    <row r="72" spans="1:16" ht="11.25" thickBot="1">
      <c r="B72" s="3" t="s">
        <v>28</v>
      </c>
      <c r="C72"/>
      <c r="D72" s="26">
        <f>SUM(D38:D70)</f>
        <v>165815319.93000001</v>
      </c>
      <c r="E72" s="16"/>
      <c r="F72" s="26">
        <f>SUM(F38:F70)</f>
        <v>0</v>
      </c>
      <c r="G72" s="26">
        <f>SUM(G38:G70)</f>
        <v>0</v>
      </c>
      <c r="H72" s="26">
        <f>SUM(H38:H70)</f>
        <v>0</v>
      </c>
      <c r="I72" s="26">
        <f>SUM(I38:I70)</f>
        <v>165815319.93000001</v>
      </c>
      <c r="K72" s="36"/>
      <c r="L72" s="24" t="s">
        <v>40</v>
      </c>
      <c r="M72" s="37">
        <f>D72-SUM(F72:I72)</f>
        <v>0</v>
      </c>
    </row>
    <row r="73" spans="1:16">
      <c r="B73" s="3" t="s">
        <v>116</v>
      </c>
      <c r="D73" s="26">
        <v>624623.43000000005</v>
      </c>
      <c r="E73" s="16"/>
      <c r="F73" s="14"/>
      <c r="H73" s="26"/>
      <c r="I73" s="26">
        <f>D73</f>
        <v>624623.43000000005</v>
      </c>
      <c r="J73"/>
      <c r="K73"/>
      <c r="L73"/>
      <c r="M73"/>
    </row>
    <row r="74" spans="1:16">
      <c r="B74" s="3" t="s">
        <v>29</v>
      </c>
      <c r="C74"/>
      <c r="D74" s="26">
        <v>0</v>
      </c>
      <c r="E74" s="16"/>
      <c r="F74" s="26"/>
      <c r="G74" s="26"/>
      <c r="H74" s="26">
        <f>D74</f>
        <v>0</v>
      </c>
      <c r="I74" s="6"/>
    </row>
    <row r="75" spans="1:16" ht="11.25" thickBot="1">
      <c r="D75" s="11" t="s">
        <v>14</v>
      </c>
      <c r="E75" s="14" t="s">
        <v>13</v>
      </c>
      <c r="F75" s="11" t="s">
        <v>14</v>
      </c>
      <c r="G75" s="11" t="s">
        <v>14</v>
      </c>
      <c r="H75" s="11" t="s">
        <v>14</v>
      </c>
      <c r="I75" s="11" t="s">
        <v>14</v>
      </c>
    </row>
    <row r="76" spans="1:16" ht="11.25" thickBot="1">
      <c r="A76" s="3" t="s">
        <v>30</v>
      </c>
      <c r="D76" s="26">
        <f>D72+D73+D74+D36+D27</f>
        <v>236106350.36000001</v>
      </c>
      <c r="E76" s="16"/>
      <c r="F76" s="26">
        <f>F72+F73+F74+F36+F27</f>
        <v>2529420.7641726462</v>
      </c>
      <c r="G76" s="26">
        <f>G72+G73+G74+G36+G27</f>
        <v>12377848.49156395</v>
      </c>
      <c r="H76" s="26">
        <f>H72+H73+H74+H36+H27</f>
        <v>0</v>
      </c>
      <c r="I76" s="26">
        <f>I72+I73+I74+I36+I27</f>
        <v>221199081.10426342</v>
      </c>
      <c r="K76" s="36">
        <v>0</v>
      </c>
      <c r="L76" s="24" t="s">
        <v>40</v>
      </c>
      <c r="M76" s="37">
        <f>D76-SUM(F76:I76)</f>
        <v>0</v>
      </c>
    </row>
    <row r="77" spans="1:16">
      <c r="D77" s="16"/>
      <c r="E77" s="16"/>
      <c r="F77" s="16"/>
      <c r="G77" s="16"/>
      <c r="H77" s="16"/>
      <c r="I77" s="16"/>
    </row>
    <row r="78" spans="1:16">
      <c r="D78" s="16"/>
      <c r="E78" s="16"/>
      <c r="F78" s="16"/>
      <c r="G78" s="16"/>
      <c r="H78" s="16"/>
      <c r="I78" s="16"/>
    </row>
    <row r="79" spans="1:16" ht="11.25">
      <c r="A79" s="3" t="s">
        <v>31</v>
      </c>
      <c r="F79" s="6"/>
      <c r="G79" s="6"/>
      <c r="H79" s="6"/>
      <c r="I79" s="6"/>
      <c r="N79" s="29" t="s">
        <v>60</v>
      </c>
      <c r="O79" s="32">
        <v>24999835.973468848</v>
      </c>
      <c r="P79" s="26"/>
    </row>
    <row r="80" spans="1:16" ht="11.25">
      <c r="F80" s="6"/>
      <c r="G80" s="6"/>
      <c r="H80" s="6"/>
      <c r="I80" s="6"/>
      <c r="N80" s="29" t="s">
        <v>61</v>
      </c>
      <c r="O80" s="32">
        <v>0</v>
      </c>
      <c r="P80" s="26"/>
    </row>
    <row r="81" spans="1:16" customFormat="1" ht="11.25">
      <c r="A81" s="3"/>
      <c r="B81" s="3" t="s">
        <v>32</v>
      </c>
      <c r="D81" s="26">
        <f>SUM(F81:I81)</f>
        <v>24999835.973468848</v>
      </c>
      <c r="E81" s="16"/>
      <c r="F81" s="26">
        <f>O79</f>
        <v>24999835.973468848</v>
      </c>
      <c r="G81" s="6"/>
      <c r="H81" s="6"/>
      <c r="I81" s="6"/>
      <c r="J81" s="3"/>
      <c r="K81" s="18"/>
      <c r="L81" s="3"/>
      <c r="M81" s="3"/>
      <c r="N81" s="29" t="s">
        <v>62</v>
      </c>
      <c r="O81" s="32">
        <v>83304574.000558719</v>
      </c>
      <c r="P81" s="38"/>
    </row>
    <row r="82" spans="1:16" ht="11.25" hidden="1">
      <c r="A82"/>
      <c r="B82"/>
      <c r="C82"/>
      <c r="D82"/>
      <c r="E82"/>
      <c r="F82"/>
      <c r="G82"/>
      <c r="H82"/>
      <c r="I82"/>
      <c r="J82"/>
      <c r="K82" s="23"/>
      <c r="L82"/>
      <c r="M82"/>
      <c r="N82" s="29" t="s">
        <v>91</v>
      </c>
      <c r="O82" s="32">
        <v>0</v>
      </c>
      <c r="P82" s="26"/>
    </row>
    <row r="83" spans="1:16" ht="12" thickBot="1">
      <c r="B83" s="3" t="s">
        <v>33</v>
      </c>
      <c r="C83"/>
      <c r="D83" s="26">
        <f>SUM(F83:I83)</f>
        <v>0</v>
      </c>
      <c r="E83" s="16"/>
      <c r="F83" s="26">
        <f>O80</f>
        <v>0</v>
      </c>
      <c r="G83" s="6"/>
      <c r="H83" s="6"/>
      <c r="I83" s="6"/>
      <c r="N83" s="29" t="s">
        <v>63</v>
      </c>
      <c r="O83" s="32">
        <v>1038267.1499999999</v>
      </c>
      <c r="P83" s="26"/>
    </row>
    <row r="84" spans="1:16" ht="11.25" hidden="1" thickBot="1">
      <c r="C84"/>
      <c r="D84" s="16"/>
      <c r="E84" s="16"/>
      <c r="F84" s="6"/>
      <c r="G84" s="6"/>
      <c r="H84" s="6"/>
      <c r="I84" s="6"/>
      <c r="O84" s="32">
        <f>SUM(O79:O83)</f>
        <v>109342677.12402758</v>
      </c>
      <c r="P84" s="26"/>
    </row>
    <row r="85" spans="1:16" ht="11.25" thickBot="1">
      <c r="B85" s="3" t="s">
        <v>10</v>
      </c>
      <c r="C85"/>
      <c r="D85" s="26">
        <f>D90-(D81+D83+D87)</f>
        <v>84342841.02653116</v>
      </c>
      <c r="E85" s="16"/>
      <c r="F85" s="17"/>
      <c r="G85" s="6"/>
      <c r="H85" s="6"/>
      <c r="I85" s="26">
        <f>D85</f>
        <v>84342841.02653116</v>
      </c>
      <c r="N85" s="47" t="s">
        <v>40</v>
      </c>
      <c r="O85" s="37">
        <v>0</v>
      </c>
      <c r="P85" s="46"/>
    </row>
    <row r="86" spans="1:16" hidden="1">
      <c r="F86" s="6"/>
      <c r="G86" s="6"/>
      <c r="H86" s="6"/>
      <c r="I86" s="6"/>
    </row>
    <row r="87" spans="1:16" customFormat="1">
      <c r="A87" s="3"/>
      <c r="B87" t="s">
        <v>34</v>
      </c>
      <c r="C87" s="3"/>
      <c r="D87" s="26">
        <v>0</v>
      </c>
      <c r="E87" s="16"/>
      <c r="F87" s="6"/>
      <c r="H87" s="26">
        <f>D87</f>
        <v>0</v>
      </c>
      <c r="I87" s="6"/>
      <c r="J87" s="3"/>
      <c r="K87" s="3"/>
      <c r="L87" s="3"/>
      <c r="M87" s="3"/>
      <c r="N87" s="27"/>
    </row>
    <row r="88" spans="1:16">
      <c r="A88"/>
      <c r="B88"/>
      <c r="C88"/>
      <c r="D88"/>
      <c r="E88"/>
      <c r="F88"/>
      <c r="G88"/>
      <c r="H88"/>
      <c r="I88"/>
      <c r="J88"/>
      <c r="K88"/>
      <c r="L88"/>
      <c r="M88"/>
    </row>
    <row r="89" spans="1:16" ht="11.25" thickBot="1">
      <c r="D89" s="11" t="s">
        <v>14</v>
      </c>
      <c r="E89" s="14" t="s">
        <v>13</v>
      </c>
      <c r="F89" s="11" t="s">
        <v>14</v>
      </c>
      <c r="G89" s="11" t="s">
        <v>14</v>
      </c>
      <c r="H89" s="11" t="s">
        <v>14</v>
      </c>
      <c r="I89" s="11" t="s">
        <v>14</v>
      </c>
    </row>
    <row r="90" spans="1:16" customFormat="1" ht="11.25" thickBot="1">
      <c r="A90" s="3" t="s">
        <v>35</v>
      </c>
      <c r="B90" s="3"/>
      <c r="C90" s="3"/>
      <c r="D90" s="26">
        <v>109342677</v>
      </c>
      <c r="E90" s="16"/>
      <c r="F90" s="26">
        <f>SUM(F81:F87)</f>
        <v>24999835.973468848</v>
      </c>
      <c r="G90" s="26">
        <f>SUM(G81:G87)</f>
        <v>0</v>
      </c>
      <c r="H90" s="26">
        <f>SUM(H81:H87)</f>
        <v>0</v>
      </c>
      <c r="I90" s="26">
        <f>SUM(I81:I87)</f>
        <v>84342841.02653116</v>
      </c>
      <c r="J90" s="3"/>
      <c r="K90" s="36">
        <f>D90-(D81+D83+D85+D87)</f>
        <v>0</v>
      </c>
      <c r="L90" s="24" t="s">
        <v>40</v>
      </c>
      <c r="M90" s="37">
        <f>D90-SUM(F90:I90)</f>
        <v>0</v>
      </c>
      <c r="N90" s="27"/>
    </row>
    <row r="91" spans="1:16" customFormat="1">
      <c r="A91" s="3"/>
      <c r="B91" s="3"/>
      <c r="C91" s="3"/>
      <c r="D91" s="3"/>
      <c r="E91" s="3"/>
      <c r="G91" s="3"/>
      <c r="H91" s="3"/>
      <c r="I91" s="3"/>
      <c r="N91" s="27"/>
    </row>
    <row r="92" spans="1:16" customFormat="1">
      <c r="A92" s="3" t="s">
        <v>36</v>
      </c>
      <c r="B92" s="3"/>
      <c r="C92" s="3"/>
      <c r="D92" s="3"/>
      <c r="E92" s="3"/>
      <c r="G92" s="3"/>
      <c r="H92" s="3"/>
      <c r="I92" s="3"/>
      <c r="N92" s="27"/>
    </row>
    <row r="93" spans="1:16" customFormat="1" hidden="1">
      <c r="A93" s="3"/>
      <c r="B93" s="16" t="s">
        <v>98</v>
      </c>
      <c r="C93" s="3"/>
      <c r="D93" s="26">
        <v>0</v>
      </c>
      <c r="E93" s="16"/>
      <c r="G93" s="3"/>
      <c r="H93" s="26">
        <f t="shared" ref="H93:H107" si="1">D93</f>
        <v>0</v>
      </c>
      <c r="I93" s="2"/>
      <c r="N93" s="27"/>
    </row>
    <row r="94" spans="1:16" customFormat="1" hidden="1">
      <c r="A94" s="3"/>
      <c r="B94" s="16" t="s">
        <v>99</v>
      </c>
      <c r="C94" s="3"/>
      <c r="D94" s="26">
        <v>0</v>
      </c>
      <c r="E94" s="16"/>
      <c r="G94" s="3"/>
      <c r="H94" s="26">
        <f t="shared" si="1"/>
        <v>0</v>
      </c>
      <c r="I94" s="2"/>
      <c r="N94" s="27"/>
    </row>
    <row r="95" spans="1:16" customFormat="1">
      <c r="A95" s="3"/>
      <c r="B95" s="16" t="s">
        <v>100</v>
      </c>
      <c r="C95" s="3"/>
      <c r="D95" s="26">
        <v>8051919.5899999999</v>
      </c>
      <c r="E95" s="16"/>
      <c r="G95" s="3"/>
      <c r="H95" s="26">
        <f t="shared" si="1"/>
        <v>8051919.5899999999</v>
      </c>
      <c r="I95" s="2"/>
      <c r="N95" s="27"/>
    </row>
    <row r="96" spans="1:16" customFormat="1" hidden="1">
      <c r="A96" s="3"/>
      <c r="B96" s="16" t="s">
        <v>101</v>
      </c>
      <c r="C96" s="3"/>
      <c r="D96" s="26">
        <v>0</v>
      </c>
      <c r="E96" s="16"/>
      <c r="G96" s="3"/>
      <c r="H96" s="26">
        <f t="shared" si="1"/>
        <v>0</v>
      </c>
      <c r="I96" s="2"/>
      <c r="N96" s="27"/>
    </row>
    <row r="97" spans="1:14" customFormat="1">
      <c r="A97" s="3"/>
      <c r="B97" s="16" t="s">
        <v>66</v>
      </c>
      <c r="C97" s="3"/>
      <c r="D97" s="26">
        <v>51023498.32</v>
      </c>
      <c r="E97" s="16"/>
      <c r="G97" s="3"/>
      <c r="H97" s="26">
        <f t="shared" si="1"/>
        <v>51023498.32</v>
      </c>
      <c r="I97" s="2"/>
      <c r="N97" s="27"/>
    </row>
    <row r="98" spans="1:14" customFormat="1" hidden="1">
      <c r="A98" s="3"/>
      <c r="B98" s="16" t="s">
        <v>47</v>
      </c>
      <c r="C98" s="3"/>
      <c r="D98" s="26">
        <v>0</v>
      </c>
      <c r="E98" s="16"/>
      <c r="G98" s="3"/>
      <c r="H98" s="26">
        <f t="shared" si="1"/>
        <v>0</v>
      </c>
      <c r="I98" s="2"/>
      <c r="N98" s="27"/>
    </row>
    <row r="99" spans="1:14" customFormat="1" hidden="1">
      <c r="A99" s="3"/>
      <c r="B99" s="16" t="s">
        <v>102</v>
      </c>
      <c r="C99" s="3"/>
      <c r="D99" s="26">
        <v>0</v>
      </c>
      <c r="E99" s="16"/>
      <c r="G99" s="3"/>
      <c r="H99" s="26">
        <f t="shared" si="1"/>
        <v>0</v>
      </c>
      <c r="I99" s="2"/>
      <c r="N99" s="27"/>
    </row>
    <row r="100" spans="1:14" customFormat="1" hidden="1">
      <c r="A100" s="3"/>
      <c r="B100" s="16" t="s">
        <v>103</v>
      </c>
      <c r="C100" s="3"/>
      <c r="D100" s="26">
        <v>0</v>
      </c>
      <c r="E100" s="16"/>
      <c r="G100" s="3"/>
      <c r="H100" s="26">
        <f t="shared" si="1"/>
        <v>0</v>
      </c>
      <c r="I100" s="2"/>
      <c r="N100" s="27"/>
    </row>
    <row r="101" spans="1:14" customFormat="1" hidden="1">
      <c r="A101" s="3"/>
      <c r="B101" s="16" t="s">
        <v>104</v>
      </c>
      <c r="C101" s="3"/>
      <c r="D101" s="26">
        <v>0</v>
      </c>
      <c r="E101" s="16"/>
      <c r="G101" s="3"/>
      <c r="H101" s="26">
        <f t="shared" si="1"/>
        <v>0</v>
      </c>
      <c r="I101" s="2"/>
      <c r="N101" s="27"/>
    </row>
    <row r="102" spans="1:14" customFormat="1" hidden="1">
      <c r="A102" s="3"/>
      <c r="B102" s="16" t="s">
        <v>105</v>
      </c>
      <c r="C102" s="3"/>
      <c r="D102" s="26">
        <v>0</v>
      </c>
      <c r="E102" s="16"/>
      <c r="F102" s="14"/>
      <c r="G102" s="3"/>
      <c r="H102" s="26">
        <f t="shared" si="1"/>
        <v>0</v>
      </c>
      <c r="I102" s="2"/>
      <c r="N102" s="27"/>
    </row>
    <row r="103" spans="1:14" customFormat="1">
      <c r="A103" s="3"/>
      <c r="B103" s="16" t="s">
        <v>106</v>
      </c>
      <c r="C103" s="3"/>
      <c r="D103" s="26">
        <v>46114270.689999998</v>
      </c>
      <c r="E103" s="16"/>
      <c r="F103" s="14"/>
      <c r="G103" s="3"/>
      <c r="H103" s="26">
        <f t="shared" si="1"/>
        <v>46114270.689999998</v>
      </c>
      <c r="I103" s="2"/>
      <c r="N103" s="27"/>
    </row>
    <row r="104" spans="1:14" customFormat="1" hidden="1">
      <c r="A104" s="3"/>
      <c r="B104" s="16" t="s">
        <v>107</v>
      </c>
      <c r="C104" s="3"/>
      <c r="D104" s="26">
        <v>0</v>
      </c>
      <c r="E104" s="16"/>
      <c r="F104" s="14"/>
      <c r="G104" s="3"/>
      <c r="H104" s="26">
        <f t="shared" si="1"/>
        <v>0</v>
      </c>
      <c r="I104" s="2"/>
      <c r="N104" s="27"/>
    </row>
    <row r="105" spans="1:14" customFormat="1" hidden="1">
      <c r="A105" s="3"/>
      <c r="B105" s="16" t="s">
        <v>108</v>
      </c>
      <c r="C105" s="3"/>
      <c r="D105" s="26">
        <v>0</v>
      </c>
      <c r="E105" s="16"/>
      <c r="F105" s="14"/>
      <c r="G105" s="3"/>
      <c r="H105" s="26">
        <f t="shared" si="1"/>
        <v>0</v>
      </c>
      <c r="I105" s="2"/>
      <c r="N105" s="27"/>
    </row>
    <row r="106" spans="1:14" customFormat="1">
      <c r="A106" s="3"/>
      <c r="B106" s="16" t="s">
        <v>109</v>
      </c>
      <c r="C106" s="3"/>
      <c r="D106" s="26">
        <v>198912792.15000001</v>
      </c>
      <c r="E106" s="16"/>
      <c r="F106" s="14"/>
      <c r="G106" s="3"/>
      <c r="H106" s="26">
        <f t="shared" si="1"/>
        <v>198912792.15000001</v>
      </c>
      <c r="I106" s="2"/>
      <c r="N106" s="27"/>
    </row>
    <row r="107" spans="1:14" customFormat="1" hidden="1">
      <c r="A107" s="3"/>
      <c r="B107" s="16" t="s">
        <v>110</v>
      </c>
      <c r="C107" s="3"/>
      <c r="D107" s="26">
        <v>0</v>
      </c>
      <c r="E107" s="16"/>
      <c r="F107" s="14"/>
      <c r="G107" s="3"/>
      <c r="H107" s="26">
        <f t="shared" si="1"/>
        <v>0</v>
      </c>
      <c r="I107" s="2"/>
      <c r="N107" s="27"/>
    </row>
    <row r="108" spans="1:14" customFormat="1" hidden="1">
      <c r="A108" s="3"/>
      <c r="B108" s="16"/>
      <c r="C108" s="3"/>
      <c r="D108" s="26"/>
      <c r="E108" s="16"/>
      <c r="F108" s="14"/>
      <c r="G108" s="3"/>
      <c r="H108" s="26"/>
      <c r="I108" s="2"/>
      <c r="N108" s="27"/>
    </row>
    <row r="109" spans="1:14" customFormat="1" hidden="1">
      <c r="A109" s="3"/>
      <c r="B109" s="16" t="s">
        <v>111</v>
      </c>
      <c r="C109" s="3"/>
      <c r="D109" s="26">
        <v>0</v>
      </c>
      <c r="E109" s="16"/>
      <c r="F109" s="14"/>
      <c r="G109" s="3"/>
      <c r="H109" s="26">
        <f>D109</f>
        <v>0</v>
      </c>
      <c r="I109" s="2"/>
      <c r="N109" s="27"/>
    </row>
    <row r="110" spans="1:14" customFormat="1" hidden="1">
      <c r="A110" s="3"/>
      <c r="B110" s="16" t="s">
        <v>112</v>
      </c>
      <c r="C110" s="3"/>
      <c r="D110" s="26">
        <v>0</v>
      </c>
      <c r="E110" s="16"/>
      <c r="F110" s="14"/>
      <c r="G110" s="3"/>
      <c r="H110" s="26">
        <f>D110</f>
        <v>0</v>
      </c>
      <c r="I110" s="2"/>
      <c r="N110" s="27"/>
    </row>
    <row r="111" spans="1:14" customFormat="1" hidden="1">
      <c r="A111" s="3"/>
      <c r="B111" s="16" t="s">
        <v>113</v>
      </c>
      <c r="C111" s="3"/>
      <c r="D111" s="26">
        <v>0</v>
      </c>
      <c r="E111" s="16"/>
      <c r="F111" s="14"/>
      <c r="G111" s="3"/>
      <c r="H111" s="26">
        <f>D111</f>
        <v>0</v>
      </c>
      <c r="I111" s="2"/>
      <c r="N111" s="27"/>
    </row>
    <row r="112" spans="1:14" customFormat="1" hidden="1">
      <c r="A112" s="3"/>
      <c r="B112" s="16"/>
      <c r="C112" s="3"/>
      <c r="D112" s="26"/>
      <c r="E112" s="16"/>
      <c r="F112" s="14"/>
      <c r="G112" s="3"/>
      <c r="H112" s="26"/>
      <c r="I112" s="2"/>
      <c r="N112" s="27"/>
    </row>
    <row r="113" spans="1:14" customFormat="1" hidden="1">
      <c r="A113" s="3"/>
      <c r="B113" s="16" t="s">
        <v>114</v>
      </c>
      <c r="C113" s="3"/>
      <c r="D113" s="26">
        <v>0</v>
      </c>
      <c r="E113" s="16"/>
      <c r="F113" s="14"/>
      <c r="G113" s="3"/>
      <c r="H113" s="26">
        <f>D113</f>
        <v>0</v>
      </c>
      <c r="I113" s="2"/>
      <c r="N113" s="27"/>
    </row>
    <row r="114" spans="1:14" customFormat="1" ht="11.25" thickBot="1">
      <c r="A114" s="3"/>
      <c r="B114" s="3"/>
      <c r="C114" s="3"/>
      <c r="D114" s="11" t="s">
        <v>14</v>
      </c>
      <c r="E114" s="14" t="s">
        <v>13</v>
      </c>
      <c r="F114" s="11" t="s">
        <v>14</v>
      </c>
      <c r="G114" s="11" t="s">
        <v>14</v>
      </c>
      <c r="H114" s="11" t="s">
        <v>14</v>
      </c>
      <c r="I114" s="11" t="s">
        <v>14</v>
      </c>
      <c r="N114" s="27"/>
    </row>
    <row r="115" spans="1:14" customFormat="1" ht="11.25" thickBot="1">
      <c r="A115" s="3" t="s">
        <v>37</v>
      </c>
      <c r="B115" s="3"/>
      <c r="C115" s="3"/>
      <c r="D115" s="26">
        <f>SUM(D93:D113)</f>
        <v>304102480.75</v>
      </c>
      <c r="E115" s="16"/>
      <c r="F115" s="26">
        <f>SUM(F92:F113)</f>
        <v>0</v>
      </c>
      <c r="G115" s="26">
        <f>SUM(G92:G113)</f>
        <v>0</v>
      </c>
      <c r="H115" s="26">
        <f>SUM(H92:H113)</f>
        <v>304102480.75</v>
      </c>
      <c r="I115" s="26">
        <f>SUM(I92:I105)</f>
        <v>0</v>
      </c>
      <c r="K115" s="36">
        <v>0</v>
      </c>
      <c r="L115" s="24" t="s">
        <v>40</v>
      </c>
      <c r="M115" s="37">
        <f>D115-SUM(F115:I115)</f>
        <v>0</v>
      </c>
      <c r="N115" s="27"/>
    </row>
    <row r="116" spans="1:14" customFormat="1">
      <c r="A116" s="3"/>
      <c r="B116" s="3"/>
      <c r="C116" s="3"/>
      <c r="D116" s="7"/>
      <c r="E116" s="16"/>
      <c r="F116" s="16"/>
      <c r="G116" s="16"/>
      <c r="H116" s="16"/>
      <c r="I116" s="16"/>
      <c r="N116" s="27"/>
    </row>
    <row r="117" spans="1:14" customFormat="1">
      <c r="A117" s="3" t="s">
        <v>43</v>
      </c>
      <c r="B117" s="3"/>
      <c r="C117" s="3"/>
      <c r="D117" s="7"/>
      <c r="E117" s="16"/>
      <c r="F117" s="16"/>
      <c r="G117" s="16"/>
      <c r="H117" s="16"/>
      <c r="I117" s="16"/>
      <c r="N117" s="27"/>
    </row>
    <row r="118" spans="1:14" customFormat="1">
      <c r="A118" s="3"/>
      <c r="B118" s="16" t="s">
        <v>97</v>
      </c>
      <c r="C118" s="3"/>
      <c r="D118" s="26">
        <v>0</v>
      </c>
      <c r="E118" s="16"/>
      <c r="F118" s="14"/>
      <c r="G118" s="3"/>
      <c r="H118" s="26">
        <f>D118</f>
        <v>0</v>
      </c>
      <c r="I118" s="2"/>
      <c r="N118" s="27"/>
    </row>
    <row r="119" spans="1:14">
      <c r="D119" s="11" t="s">
        <v>14</v>
      </c>
      <c r="E119" s="14" t="s">
        <v>13</v>
      </c>
      <c r="F119" s="11" t="s">
        <v>14</v>
      </c>
      <c r="G119" s="11" t="s">
        <v>14</v>
      </c>
      <c r="H119" s="11" t="s">
        <v>14</v>
      </c>
      <c r="I119" s="11" t="s">
        <v>14</v>
      </c>
    </row>
    <row r="120" spans="1:14">
      <c r="A120" s="3" t="s">
        <v>44</v>
      </c>
      <c r="D120" s="26">
        <v>0</v>
      </c>
      <c r="E120" s="16"/>
      <c r="F120" s="26">
        <f>SUM(F118:F118)</f>
        <v>0</v>
      </c>
      <c r="G120" s="26">
        <f>SUM(G118:G118)</f>
        <v>0</v>
      </c>
      <c r="H120" s="26">
        <f>SUM(H118:H118)</f>
        <v>0</v>
      </c>
      <c r="I120" s="26">
        <f>SUM(I118:I118)</f>
        <v>0</v>
      </c>
    </row>
    <row r="121" spans="1:14" ht="11.25" thickBot="1">
      <c r="D121" s="19" t="s">
        <v>38</v>
      </c>
      <c r="E121" s="14" t="s">
        <v>13</v>
      </c>
      <c r="F121" s="19" t="s">
        <v>38</v>
      </c>
      <c r="G121" s="19" t="s">
        <v>38</v>
      </c>
      <c r="H121" s="19" t="s">
        <v>38</v>
      </c>
      <c r="I121" s="19" t="s">
        <v>38</v>
      </c>
    </row>
    <row r="122" spans="1:14" ht="11.25" thickBot="1">
      <c r="A122" s="3" t="s">
        <v>39</v>
      </c>
      <c r="D122" s="26">
        <f>D115+D90+D76+D120-D16</f>
        <v>575877456.65999997</v>
      </c>
      <c r="E122" s="16" t="s">
        <v>13</v>
      </c>
      <c r="F122" s="26">
        <f>F115+F90+F76+F120-F16</f>
        <v>14564456.737641495</v>
      </c>
      <c r="G122" s="26">
        <f>G115+G90+G76+G120-G16</f>
        <v>12377848.49156395</v>
      </c>
      <c r="H122" s="26">
        <f>H115+H90+H76+H120-H16</f>
        <v>304102480.75</v>
      </c>
      <c r="I122" s="26">
        <f>I115+I90+I76+I120-I16</f>
        <v>244832670.6807946</v>
      </c>
      <c r="K122" s="36">
        <v>0</v>
      </c>
      <c r="L122" s="24" t="s">
        <v>40</v>
      </c>
      <c r="M122" s="37">
        <f>D122-SUM(F122:I122)</f>
        <v>0</v>
      </c>
    </row>
    <row r="123" spans="1:14">
      <c r="D123" s="19" t="s">
        <v>38</v>
      </c>
      <c r="E123" s="14" t="s">
        <v>13</v>
      </c>
      <c r="F123" s="19" t="s">
        <v>38</v>
      </c>
      <c r="G123" s="19" t="s">
        <v>38</v>
      </c>
      <c r="H123" s="19" t="s">
        <v>38</v>
      </c>
      <c r="I123" s="19" t="s">
        <v>38</v>
      </c>
    </row>
  </sheetData>
  <mergeCells count="1">
    <mergeCell ref="A4:C4"/>
  </mergeCells>
  <pageMargins left="0.65" right="0.72" top="1" bottom="1" header="0.5" footer="0.5"/>
  <pageSetup scale="67" orientation="portrait" r:id="rId1"/>
  <headerFooter alignWithMargins="0">
    <oddHeader>&amp;L&amp;"Arial,Regular"&amp;10WA UE-130043
Bench Request 9&amp;R&amp;"Arial,Bold"&amp;10Attachment Bench Request 9</oddHeader>
    <oddFooter>&amp;L&amp;"Arial,Regular"&amp;10&amp;F&amp;C&amp;A</oddFooter>
  </headerFooter>
  <rowBreaks count="1" manualBreakCount="1">
    <brk id="69" max="8" man="1"/>
  </rowBreak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pageSetUpPr fitToPage="1"/>
  </sheetPr>
  <dimension ref="A1:K50"/>
  <sheetViews>
    <sheetView view="pageBreakPreview" zoomScale="85" zoomScaleNormal="100" zoomScaleSheetLayoutView="85" workbookViewId="0">
      <selection activeCell="T91" sqref="T91"/>
    </sheetView>
  </sheetViews>
  <sheetFormatPr defaultRowHeight="12.75"/>
  <cols>
    <col min="1" max="1" width="4.83203125" style="275" customWidth="1"/>
    <col min="2" max="2" width="8" style="275" customWidth="1"/>
    <col min="3" max="3" width="32.83203125" style="275" customWidth="1"/>
    <col min="4" max="4" width="12.33203125" style="275" customWidth="1"/>
    <col min="5" max="5" width="9.33203125" style="276"/>
    <col min="6" max="6" width="17" style="106" customWidth="1"/>
    <col min="7" max="7" width="9.33203125" style="276"/>
    <col min="8" max="8" width="12" style="276" bestFit="1" customWidth="1"/>
    <col min="9" max="9" width="15.33203125" style="276" bestFit="1" customWidth="1"/>
    <col min="10" max="16384" width="9.33203125" style="275"/>
  </cols>
  <sheetData>
    <row r="1" spans="1:10">
      <c r="A1" s="274" t="s">
        <v>118</v>
      </c>
      <c r="B1" s="274"/>
      <c r="I1" s="277" t="s">
        <v>272</v>
      </c>
      <c r="J1" s="296" t="s">
        <v>300</v>
      </c>
    </row>
    <row r="2" spans="1:10">
      <c r="A2" s="274" t="s">
        <v>255</v>
      </c>
      <c r="B2" s="274"/>
    </row>
    <row r="3" spans="1:10">
      <c r="A3" s="274" t="s">
        <v>323</v>
      </c>
      <c r="B3" s="274"/>
    </row>
    <row r="5" spans="1:10">
      <c r="F5" s="105" t="s">
        <v>274</v>
      </c>
      <c r="I5" s="276" t="s">
        <v>126</v>
      </c>
    </row>
    <row r="6" spans="1:10" ht="15">
      <c r="D6" s="279" t="s">
        <v>275</v>
      </c>
      <c r="E6" s="279" t="s">
        <v>276</v>
      </c>
      <c r="F6" s="280" t="s">
        <v>277</v>
      </c>
      <c r="G6" s="279" t="s">
        <v>278</v>
      </c>
      <c r="H6" s="279" t="s">
        <v>134</v>
      </c>
      <c r="I6" s="279" t="s">
        <v>279</v>
      </c>
      <c r="J6" s="279" t="s">
        <v>280</v>
      </c>
    </row>
    <row r="7" spans="1:10" ht="15">
      <c r="B7" s="274" t="s">
        <v>281</v>
      </c>
      <c r="C7" s="281"/>
      <c r="D7" s="279"/>
      <c r="E7" s="279"/>
      <c r="F7" s="280"/>
      <c r="G7" s="279"/>
      <c r="H7" s="279"/>
      <c r="I7" s="279"/>
      <c r="J7" s="279"/>
    </row>
    <row r="8" spans="1:10" ht="15">
      <c r="B8" s="274"/>
      <c r="C8" s="281"/>
      <c r="D8" s="279"/>
      <c r="E8" s="279"/>
      <c r="F8" s="280"/>
      <c r="G8" s="279"/>
      <c r="H8" s="279"/>
      <c r="I8" s="279"/>
      <c r="J8" s="279"/>
    </row>
    <row r="9" spans="1:10">
      <c r="B9" s="274" t="s">
        <v>137</v>
      </c>
      <c r="C9" s="281"/>
    </row>
    <row r="10" spans="1:10">
      <c r="B10" s="281" t="s">
        <v>138</v>
      </c>
      <c r="C10" s="281"/>
      <c r="D10" s="282" t="s">
        <v>139</v>
      </c>
      <c r="E10" s="283" t="s">
        <v>286</v>
      </c>
      <c r="F10" s="106">
        <f>'9.1 - Summary '!BD15</f>
        <v>0</v>
      </c>
      <c r="G10" s="276" t="s">
        <v>140</v>
      </c>
      <c r="H10" s="284">
        <v>0.2262649010137</v>
      </c>
      <c r="I10" s="276">
        <f>F10*H10</f>
        <v>0</v>
      </c>
      <c r="J10" s="276"/>
    </row>
    <row r="11" spans="1:10">
      <c r="B11" s="281" t="s">
        <v>141</v>
      </c>
      <c r="C11" s="281"/>
      <c r="D11" s="282" t="s">
        <v>139</v>
      </c>
      <c r="E11" s="283" t="s">
        <v>286</v>
      </c>
      <c r="F11" s="106">
        <f>'9.1 - Summary '!BD16</f>
        <v>19274.439999997616</v>
      </c>
      <c r="G11" s="276" t="s">
        <v>140</v>
      </c>
      <c r="H11" s="284">
        <v>0.2262649010137</v>
      </c>
      <c r="I11" s="276">
        <f t="shared" ref="I11:I12" si="0">F11*H11</f>
        <v>4361.1292586939608</v>
      </c>
      <c r="J11" s="276"/>
    </row>
    <row r="12" spans="1:10">
      <c r="B12" s="281" t="s">
        <v>142</v>
      </c>
      <c r="C12" s="281"/>
      <c r="D12" s="282" t="s">
        <v>139</v>
      </c>
      <c r="E12" s="283" t="s">
        <v>286</v>
      </c>
      <c r="F12" s="106">
        <f>'9.1 - Summary '!BD17</f>
        <v>0</v>
      </c>
      <c r="G12" s="276" t="s">
        <v>143</v>
      </c>
      <c r="H12" s="284">
        <v>0.22648067236840891</v>
      </c>
      <c r="I12" s="276">
        <f t="shared" si="0"/>
        <v>0</v>
      </c>
    </row>
    <row r="13" spans="1:10">
      <c r="B13" s="281" t="s">
        <v>144</v>
      </c>
      <c r="C13" s="281"/>
      <c r="D13" s="282"/>
      <c r="E13" s="283"/>
      <c r="F13" s="285">
        <f>SUM(F10:F12)</f>
        <v>19274.439999997616</v>
      </c>
      <c r="H13" s="284"/>
      <c r="I13" s="285">
        <f>SUM(I10:I12)</f>
        <v>4361.1292586939608</v>
      </c>
      <c r="J13" s="282" t="s">
        <v>339</v>
      </c>
    </row>
    <row r="14" spans="1:10">
      <c r="B14" s="281"/>
      <c r="C14" s="286"/>
      <c r="D14" s="282"/>
      <c r="E14" s="283"/>
      <c r="H14" s="284"/>
    </row>
    <row r="15" spans="1:10">
      <c r="B15" s="274" t="s">
        <v>145</v>
      </c>
      <c r="C15" s="286"/>
      <c r="D15" s="282"/>
      <c r="E15" s="283"/>
      <c r="H15" s="284"/>
    </row>
    <row r="16" spans="1:10">
      <c r="B16" s="281" t="s">
        <v>146</v>
      </c>
      <c r="C16" s="286"/>
      <c r="D16" s="282" t="s">
        <v>147</v>
      </c>
      <c r="E16" s="283" t="s">
        <v>286</v>
      </c>
      <c r="F16" s="106">
        <f>'9.1 - Summary '!BD21</f>
        <v>5.5748969316482544E-6</v>
      </c>
      <c r="G16" s="276" t="s">
        <v>140</v>
      </c>
      <c r="H16" s="284">
        <v>0.2262649010137</v>
      </c>
      <c r="I16" s="276">
        <f t="shared" ref="I16:I20" si="1">F16*H16</f>
        <v>1.2614035024009722E-6</v>
      </c>
      <c r="J16" s="276"/>
    </row>
    <row r="17" spans="2:10">
      <c r="B17" s="281" t="s">
        <v>148</v>
      </c>
      <c r="C17" s="286"/>
      <c r="D17" s="282" t="s">
        <v>147</v>
      </c>
      <c r="E17" s="283" t="s">
        <v>286</v>
      </c>
      <c r="F17" s="106">
        <f>'9.1 - Summary '!BD22</f>
        <v>2.7162954211235046E-5</v>
      </c>
      <c r="G17" s="276" t="s">
        <v>143</v>
      </c>
      <c r="H17" s="284">
        <v>0.22648067236840891</v>
      </c>
      <c r="I17" s="276">
        <f t="shared" si="1"/>
        <v>6.1518841332728177E-6</v>
      </c>
      <c r="J17" s="276"/>
    </row>
    <row r="18" spans="2:10">
      <c r="B18" s="281" t="s">
        <v>149</v>
      </c>
      <c r="C18" s="286"/>
      <c r="D18" s="282" t="s">
        <v>147</v>
      </c>
      <c r="E18" s="283" t="s">
        <v>286</v>
      </c>
      <c r="F18" s="106">
        <f>'9.1 - Summary '!BD23</f>
        <v>268349.71996726096</v>
      </c>
      <c r="G18" s="276" t="s">
        <v>140</v>
      </c>
      <c r="H18" s="284">
        <v>0.2262649010137</v>
      </c>
      <c r="I18" s="276">
        <f t="shared" si="1"/>
        <v>60718.122825446415</v>
      </c>
      <c r="J18" s="276"/>
    </row>
    <row r="19" spans="2:10">
      <c r="B19" s="281" t="s">
        <v>150</v>
      </c>
      <c r="C19" s="286"/>
      <c r="D19" s="282" t="s">
        <v>147</v>
      </c>
      <c r="E19" s="283" t="s">
        <v>286</v>
      </c>
      <c r="F19" s="106">
        <f>'9.1 - Summary '!BD24</f>
        <v>-138473.70000004768</v>
      </c>
      <c r="G19" s="276" t="s">
        <v>140</v>
      </c>
      <c r="H19" s="284">
        <v>0.2262649010137</v>
      </c>
      <c r="I19" s="276">
        <f t="shared" si="1"/>
        <v>-31331.738023511578</v>
      </c>
      <c r="J19" s="276"/>
    </row>
    <row r="20" spans="2:10">
      <c r="B20" s="281" t="s">
        <v>151</v>
      </c>
      <c r="C20" s="281"/>
      <c r="D20" s="282" t="s">
        <v>147</v>
      </c>
      <c r="E20" s="283" t="s">
        <v>286</v>
      </c>
      <c r="F20" s="106">
        <f>'9.1 - Summary '!BD25</f>
        <v>0</v>
      </c>
      <c r="G20" s="276" t="s">
        <v>140</v>
      </c>
      <c r="H20" s="284">
        <v>0.2262649010137</v>
      </c>
      <c r="I20" s="276">
        <f t="shared" si="1"/>
        <v>0</v>
      </c>
    </row>
    <row r="21" spans="2:10">
      <c r="B21" s="281" t="s">
        <v>152</v>
      </c>
      <c r="C21" s="281"/>
      <c r="D21" s="282"/>
      <c r="E21" s="283"/>
      <c r="F21" s="285">
        <f>SUM(F16:F20)</f>
        <v>129876.01999995112</v>
      </c>
      <c r="H21" s="284"/>
      <c r="I21" s="285">
        <f>SUM(I16:I20)</f>
        <v>29386.384809348121</v>
      </c>
      <c r="J21" s="282" t="s">
        <v>339</v>
      </c>
    </row>
    <row r="22" spans="2:10">
      <c r="B22" s="281"/>
      <c r="C22" s="281"/>
      <c r="D22" s="282"/>
      <c r="E22" s="283"/>
      <c r="H22" s="284"/>
    </row>
    <row r="23" spans="2:10">
      <c r="B23" s="274" t="s">
        <v>153</v>
      </c>
      <c r="C23" s="281"/>
      <c r="D23" s="282"/>
      <c r="E23" s="283"/>
      <c r="H23" s="284"/>
      <c r="J23" s="276"/>
    </row>
    <row r="24" spans="2:10">
      <c r="B24" s="281" t="s">
        <v>154</v>
      </c>
      <c r="C24" s="281"/>
      <c r="D24" s="282" t="s">
        <v>155</v>
      </c>
      <c r="E24" s="283" t="s">
        <v>286</v>
      </c>
      <c r="F24" s="106">
        <f>'9.1 - Summary '!BD29</f>
        <v>0</v>
      </c>
      <c r="G24" s="276" t="s">
        <v>140</v>
      </c>
      <c r="H24" s="284">
        <v>0.2262649010137</v>
      </c>
      <c r="I24" s="276">
        <f t="shared" ref="I24:I26" si="2">F24*H24</f>
        <v>0</v>
      </c>
      <c r="J24" s="276"/>
    </row>
    <row r="25" spans="2:10">
      <c r="B25" s="281" t="s">
        <v>156</v>
      </c>
      <c r="C25" s="286"/>
      <c r="D25" s="282" t="s">
        <v>155</v>
      </c>
      <c r="E25" s="283" t="s">
        <v>286</v>
      </c>
      <c r="F25" s="106">
        <f>'9.1 - Summary '!BD30</f>
        <v>0</v>
      </c>
      <c r="G25" s="276" t="s">
        <v>140</v>
      </c>
      <c r="H25" s="284">
        <v>0.2262649010137</v>
      </c>
      <c r="I25" s="276">
        <f t="shared" si="2"/>
        <v>0</v>
      </c>
      <c r="J25" s="276"/>
    </row>
    <row r="26" spans="2:10">
      <c r="B26" s="281" t="s">
        <v>157</v>
      </c>
      <c r="C26" s="286"/>
      <c r="D26" s="282" t="s">
        <v>155</v>
      </c>
      <c r="E26" s="283" t="s">
        <v>286</v>
      </c>
      <c r="F26" s="106">
        <f>'9.1 - Summary '!BD31</f>
        <v>0</v>
      </c>
      <c r="G26" s="276" t="s">
        <v>143</v>
      </c>
      <c r="H26" s="284">
        <v>0.22648067236840891</v>
      </c>
      <c r="I26" s="276">
        <f t="shared" si="2"/>
        <v>0</v>
      </c>
      <c r="J26" s="276"/>
    </row>
    <row r="27" spans="2:10">
      <c r="B27" s="281" t="s">
        <v>158</v>
      </c>
      <c r="C27" s="281"/>
      <c r="D27" s="282"/>
      <c r="E27" s="283"/>
      <c r="F27" s="285">
        <f>SUM(F24:F26)</f>
        <v>0</v>
      </c>
      <c r="H27" s="284"/>
      <c r="I27" s="285">
        <f>SUM(I24:I26)</f>
        <v>0</v>
      </c>
      <c r="J27" s="282" t="s">
        <v>339</v>
      </c>
    </row>
    <row r="28" spans="2:10">
      <c r="B28" s="281"/>
      <c r="C28" s="281"/>
      <c r="D28" s="282"/>
      <c r="E28" s="283"/>
      <c r="H28" s="284"/>
    </row>
    <row r="29" spans="2:10">
      <c r="B29" s="274" t="s">
        <v>159</v>
      </c>
      <c r="C29" s="274"/>
      <c r="D29" s="282"/>
      <c r="E29" s="283"/>
      <c r="H29" s="284"/>
      <c r="J29" s="276"/>
    </row>
    <row r="30" spans="2:10">
      <c r="B30" s="281" t="s">
        <v>160</v>
      </c>
      <c r="C30" s="274"/>
      <c r="D30" s="282" t="s">
        <v>161</v>
      </c>
      <c r="E30" s="283" t="s">
        <v>286</v>
      </c>
      <c r="F30" s="106">
        <f>'9.1 - Summary '!BD35</f>
        <v>-24857.780000001192</v>
      </c>
      <c r="G30" s="276" t="s">
        <v>143</v>
      </c>
      <c r="H30" s="284">
        <v>0.22648067236840891</v>
      </c>
      <c r="I30" s="276">
        <f t="shared" ref="I30:I31" si="3">F30*H30</f>
        <v>-5629.806727986258</v>
      </c>
      <c r="J30" s="276"/>
    </row>
    <row r="31" spans="2:10">
      <c r="B31" s="281" t="s">
        <v>162</v>
      </c>
      <c r="C31" s="274"/>
      <c r="D31" s="282" t="s">
        <v>163</v>
      </c>
      <c r="E31" s="283" t="s">
        <v>286</v>
      </c>
      <c r="F31" s="106">
        <f>'9.1 - Summary '!BD36</f>
        <v>-11601.949999988079</v>
      </c>
      <c r="G31" s="276" t="s">
        <v>143</v>
      </c>
      <c r="H31" s="284">
        <v>0.22648067236840891</v>
      </c>
      <c r="I31" s="276">
        <f t="shared" si="3"/>
        <v>-2627.6174367819617</v>
      </c>
    </row>
    <row r="32" spans="2:10">
      <c r="B32" s="281" t="s">
        <v>164</v>
      </c>
      <c r="C32" s="274"/>
      <c r="D32" s="282"/>
      <c r="E32" s="283"/>
      <c r="F32" s="285">
        <f>SUM(F30:F31)</f>
        <v>-36459.729999989271</v>
      </c>
      <c r="H32" s="287"/>
      <c r="I32" s="285">
        <f>SUM(I30:I31)</f>
        <v>-8257.4241647682193</v>
      </c>
      <c r="J32" s="282" t="s">
        <v>339</v>
      </c>
    </row>
    <row r="33" spans="1:11">
      <c r="B33" s="291"/>
      <c r="C33" s="274"/>
      <c r="D33" s="282"/>
      <c r="E33" s="283"/>
      <c r="H33" s="287"/>
      <c r="I33" s="106"/>
      <c r="J33" s="276"/>
    </row>
    <row r="34" spans="1:11">
      <c r="B34" s="288" t="s">
        <v>284</v>
      </c>
      <c r="C34" s="274"/>
      <c r="D34" s="282"/>
      <c r="E34" s="283"/>
      <c r="F34" s="285">
        <f>-F13+F21+F27+F32</f>
        <v>74141.849999964237</v>
      </c>
      <c r="H34" s="287"/>
      <c r="I34" s="285">
        <f>-I13+I21+I27+I32</f>
        <v>16767.83138588594</v>
      </c>
      <c r="J34" s="276"/>
    </row>
    <row r="35" spans="1:11">
      <c r="C35" s="274"/>
      <c r="F35" s="289"/>
      <c r="J35" s="276"/>
    </row>
    <row r="36" spans="1:11">
      <c r="C36" s="274"/>
      <c r="F36" s="289"/>
      <c r="J36" s="276"/>
    </row>
    <row r="37" spans="1:11">
      <c r="C37" s="274"/>
      <c r="F37" s="289"/>
      <c r="J37" s="276"/>
    </row>
    <row r="42" spans="1:11" ht="13.5" thickBot="1">
      <c r="B42" s="290" t="s">
        <v>283</v>
      </c>
    </row>
    <row r="43" spans="1:11" ht="12.75" customHeight="1">
      <c r="A43" s="359" t="s">
        <v>411</v>
      </c>
      <c r="B43" s="360"/>
      <c r="C43" s="360"/>
      <c r="D43" s="360"/>
      <c r="E43" s="360"/>
      <c r="F43" s="360"/>
      <c r="G43" s="360"/>
      <c r="H43" s="360"/>
      <c r="I43" s="360"/>
      <c r="J43" s="361"/>
      <c r="K43" s="292"/>
    </row>
    <row r="44" spans="1:11">
      <c r="A44" s="362"/>
      <c r="B44" s="363"/>
      <c r="C44" s="363"/>
      <c r="D44" s="363"/>
      <c r="E44" s="363"/>
      <c r="F44" s="363"/>
      <c r="G44" s="363"/>
      <c r="H44" s="363"/>
      <c r="I44" s="363"/>
      <c r="J44" s="364"/>
      <c r="K44" s="292"/>
    </row>
    <row r="45" spans="1:11">
      <c r="A45" s="362"/>
      <c r="B45" s="363"/>
      <c r="C45" s="363"/>
      <c r="D45" s="363"/>
      <c r="E45" s="363"/>
      <c r="F45" s="363"/>
      <c r="G45" s="363"/>
      <c r="H45" s="363"/>
      <c r="I45" s="363"/>
      <c r="J45" s="364"/>
      <c r="K45" s="292"/>
    </row>
    <row r="46" spans="1:11">
      <c r="A46" s="362"/>
      <c r="B46" s="363"/>
      <c r="C46" s="363"/>
      <c r="D46" s="363"/>
      <c r="E46" s="363"/>
      <c r="F46" s="363"/>
      <c r="G46" s="363"/>
      <c r="H46" s="363"/>
      <c r="I46" s="363"/>
      <c r="J46" s="364"/>
      <c r="K46" s="292"/>
    </row>
    <row r="47" spans="1:11">
      <c r="A47" s="362"/>
      <c r="B47" s="363"/>
      <c r="C47" s="363"/>
      <c r="D47" s="363"/>
      <c r="E47" s="363"/>
      <c r="F47" s="363"/>
      <c r="G47" s="363"/>
      <c r="H47" s="363"/>
      <c r="I47" s="363"/>
      <c r="J47" s="364"/>
      <c r="K47" s="292"/>
    </row>
    <row r="48" spans="1:11">
      <c r="A48" s="362"/>
      <c r="B48" s="363"/>
      <c r="C48" s="363"/>
      <c r="D48" s="363"/>
      <c r="E48" s="363"/>
      <c r="F48" s="363"/>
      <c r="G48" s="363"/>
      <c r="H48" s="363"/>
      <c r="I48" s="363"/>
      <c r="J48" s="364"/>
      <c r="K48" s="292"/>
    </row>
    <row r="49" spans="1:11">
      <c r="A49" s="362"/>
      <c r="B49" s="363"/>
      <c r="C49" s="363"/>
      <c r="D49" s="363"/>
      <c r="E49" s="363"/>
      <c r="F49" s="363"/>
      <c r="G49" s="363"/>
      <c r="H49" s="363"/>
      <c r="I49" s="363"/>
      <c r="J49" s="364"/>
      <c r="K49" s="292"/>
    </row>
    <row r="50" spans="1:11" ht="13.5" thickBot="1">
      <c r="A50" s="365"/>
      <c r="B50" s="366"/>
      <c r="C50" s="366"/>
      <c r="D50" s="366"/>
      <c r="E50" s="366"/>
      <c r="F50" s="366"/>
      <c r="G50" s="366"/>
      <c r="H50" s="366"/>
      <c r="I50" s="366"/>
      <c r="J50" s="367"/>
      <c r="K50" s="292"/>
    </row>
  </sheetData>
  <mergeCells count="1">
    <mergeCell ref="A43:J50"/>
  </mergeCells>
  <conditionalFormatting sqref="B9:B26">
    <cfRule type="cellIs" dxfId="29" priority="3" stopIfTrue="1" operator="equal">
      <formula>"Adjustment to Income/Expense/Rate Base:"</formula>
    </cfRule>
  </conditionalFormatting>
  <conditionalFormatting sqref="B20:B22">
    <cfRule type="cellIs" dxfId="28" priority="2" stopIfTrue="1" operator="equal">
      <formula>"Title"</formula>
    </cfRule>
  </conditionalFormatting>
  <conditionalFormatting sqref="B27:B34">
    <cfRule type="cellIs" dxfId="27" priority="1" stopIfTrue="1" operator="equal">
      <formula>"Adjustment to Income/Expense/Rate Base:"</formula>
    </cfRule>
  </conditionalFormatting>
  <pageMargins left="0.65" right="0.72" top="1" bottom="1" header="0.5" footer="0.5"/>
  <pageSetup scale="77" orientation="portrait" r:id="rId1"/>
  <headerFooter alignWithMargins="0">
    <oddHeader>&amp;L&amp;"Arial,Regular"&amp;10WA UE-130043
Bench Request 9&amp;R&amp;"Arial,Bold"&amp;10Attachment Bench Request 9</oddHeader>
    <oddFooter>&amp;L&amp;"Arial,Regular"&amp;10&amp;F&amp;C&amp;A</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pageSetUpPr fitToPage="1"/>
  </sheetPr>
  <dimension ref="A1:S123"/>
  <sheetViews>
    <sheetView view="pageBreakPreview" zoomScale="85" zoomScaleNormal="85" zoomScaleSheetLayoutView="85" workbookViewId="0">
      <pane xSplit="3" ySplit="6" topLeftCell="D7" activePane="bottomRight" state="frozen"/>
      <selection activeCell="T91" sqref="T91"/>
      <selection pane="topRight" activeCell="T91" sqref="T91"/>
      <selection pane="bottomLeft" activeCell="T91" sqref="T91"/>
      <selection pane="bottomRight" activeCell="T91" sqref="T91"/>
    </sheetView>
  </sheetViews>
  <sheetFormatPr defaultColWidth="11" defaultRowHeight="10.5"/>
  <cols>
    <col min="1" max="1" width="3" style="3" customWidth="1"/>
    <col min="2" max="2" width="2.6640625" style="3" customWidth="1"/>
    <col min="3" max="3" width="33.1640625" style="3" customWidth="1"/>
    <col min="4" max="4" width="13.83203125" style="3" customWidth="1"/>
    <col min="5" max="5" width="2.33203125" style="3" customWidth="1"/>
    <col min="6" max="6" width="15.83203125" style="3" customWidth="1"/>
    <col min="7" max="8" width="13.33203125" style="3" bestFit="1" customWidth="1"/>
    <col min="9" max="9" width="13.83203125" style="3" bestFit="1" customWidth="1"/>
    <col min="10" max="10" width="11" style="3" customWidth="1"/>
    <col min="11" max="11" width="14.5" style="3" customWidth="1"/>
    <col min="12" max="12" width="11" style="3" customWidth="1"/>
    <col min="13" max="13" width="14.1640625" style="3" bestFit="1" customWidth="1"/>
    <col min="14" max="14" width="20.1640625" style="27" bestFit="1" customWidth="1"/>
    <col min="15" max="15" width="15" style="3" bestFit="1" customWidth="1"/>
    <col min="16" max="16" width="14.6640625" style="3" bestFit="1" customWidth="1"/>
    <col min="17" max="16384" width="11" style="3"/>
  </cols>
  <sheetData>
    <row r="1" spans="1:14">
      <c r="A1" s="4" t="s">
        <v>118</v>
      </c>
      <c r="D1"/>
      <c r="E1" s="9"/>
      <c r="F1" s="8" t="s">
        <v>42</v>
      </c>
    </row>
    <row r="2" spans="1:14">
      <c r="A2" s="20"/>
      <c r="D2"/>
      <c r="E2" s="9"/>
      <c r="F2" s="9" t="s">
        <v>0</v>
      </c>
      <c r="K2" s="50"/>
    </row>
    <row r="3" spans="1:14">
      <c r="A3" s="5" t="s">
        <v>52</v>
      </c>
      <c r="D3" s="10"/>
      <c r="E3" s="10"/>
      <c r="F3" s="8" t="s">
        <v>1</v>
      </c>
    </row>
    <row r="4" spans="1:14">
      <c r="A4" s="358">
        <v>41974</v>
      </c>
      <c r="B4" s="358"/>
      <c r="C4" s="358"/>
      <c r="D4" s="10"/>
      <c r="E4" s="10"/>
      <c r="F4" s="9"/>
    </row>
    <row r="5" spans="1:14">
      <c r="B5" s="5"/>
      <c r="D5" s="11" t="s">
        <v>2</v>
      </c>
      <c r="E5" s="11"/>
      <c r="F5" s="12" t="s">
        <v>3</v>
      </c>
      <c r="G5" s="12" t="s">
        <v>3</v>
      </c>
      <c r="H5" s="12"/>
      <c r="I5" s="12"/>
    </row>
    <row r="6" spans="1:14" s="11" customFormat="1">
      <c r="A6" s="3"/>
      <c r="B6" s="3"/>
      <c r="C6" s="3"/>
      <c r="D6" s="41" t="s">
        <v>117</v>
      </c>
      <c r="E6" s="15"/>
      <c r="F6" s="13" t="s">
        <v>4</v>
      </c>
      <c r="G6" s="13" t="s">
        <v>5</v>
      </c>
      <c r="H6" s="13" t="s">
        <v>6</v>
      </c>
      <c r="I6" s="13" t="s">
        <v>7</v>
      </c>
      <c r="N6" s="28"/>
    </row>
    <row r="7" spans="1:14">
      <c r="A7" s="3" t="s">
        <v>8</v>
      </c>
      <c r="F7" s="6"/>
      <c r="G7" s="6"/>
      <c r="H7" s="6"/>
      <c r="I7" s="6"/>
    </row>
    <row r="8" spans="1:14">
      <c r="B8" t="s">
        <v>9</v>
      </c>
      <c r="D8" s="26">
        <v>12964800</v>
      </c>
      <c r="E8" s="16"/>
      <c r="F8" s="26">
        <f>D8</f>
        <v>12964800</v>
      </c>
      <c r="G8"/>
      <c r="H8"/>
      <c r="I8"/>
    </row>
    <row r="9" spans="1:14" hidden="1">
      <c r="B9"/>
      <c r="D9" s="16"/>
      <c r="E9" s="16"/>
      <c r="F9" s="1"/>
      <c r="G9" s="6"/>
      <c r="H9" s="6"/>
      <c r="I9" s="6"/>
    </row>
    <row r="10" spans="1:14">
      <c r="B10" t="s">
        <v>10</v>
      </c>
      <c r="D10" s="26">
        <v>60883081.189999998</v>
      </c>
      <c r="E10" s="16"/>
      <c r="F10" s="1"/>
      <c r="G10" s="6"/>
      <c r="H10" s="6"/>
      <c r="I10" s="26">
        <f>D10</f>
        <v>60883081.189999998</v>
      </c>
    </row>
    <row r="11" spans="1:14" hidden="1">
      <c r="B11"/>
      <c r="D11" s="16"/>
      <c r="E11" s="16"/>
      <c r="F11" s="1"/>
      <c r="G11" s="6"/>
      <c r="H11" s="6"/>
      <c r="I11" s="6"/>
    </row>
    <row r="12" spans="1:14" hidden="1">
      <c r="B12" t="s">
        <v>11</v>
      </c>
      <c r="D12" s="26">
        <v>0</v>
      </c>
      <c r="E12" s="16"/>
      <c r="F12" s="26">
        <f>D12</f>
        <v>0</v>
      </c>
      <c r="G12" s="6"/>
      <c r="H12" s="6"/>
      <c r="I12" s="6"/>
    </row>
    <row r="13" spans="1:14" hidden="1">
      <c r="C13"/>
      <c r="D13" s="16"/>
      <c r="E13" s="16"/>
      <c r="F13" s="6"/>
      <c r="G13" s="6"/>
      <c r="H13" s="6"/>
      <c r="I13" s="6"/>
    </row>
    <row r="14" spans="1:14" hidden="1">
      <c r="B14" s="3" t="s">
        <v>12</v>
      </c>
      <c r="C14"/>
      <c r="D14" s="26">
        <v>0</v>
      </c>
      <c r="E14" s="16"/>
      <c r="F14" s="6"/>
      <c r="G14" s="6"/>
      <c r="H14" s="26">
        <f>D14</f>
        <v>0</v>
      </c>
      <c r="I14" s="6"/>
    </row>
    <row r="15" spans="1:14" ht="11.25" thickBot="1">
      <c r="D15" s="11" t="s">
        <v>14</v>
      </c>
      <c r="E15" s="14" t="s">
        <v>13</v>
      </c>
      <c r="F15" s="11" t="s">
        <v>14</v>
      </c>
      <c r="G15" s="11" t="s">
        <v>14</v>
      </c>
      <c r="H15" s="11" t="s">
        <v>14</v>
      </c>
      <c r="I15" s="11" t="s">
        <v>14</v>
      </c>
    </row>
    <row r="16" spans="1:14" ht="11.25" thickBot="1">
      <c r="A16" s="3" t="s">
        <v>15</v>
      </c>
      <c r="D16" s="26">
        <f>SUM(D8:D14)</f>
        <v>73847881.189999998</v>
      </c>
      <c r="E16" s="16"/>
      <c r="F16" s="26">
        <f>SUM(F8:F14)</f>
        <v>12964800</v>
      </c>
      <c r="G16" s="26">
        <f>SUM(G8:G14)</f>
        <v>0</v>
      </c>
      <c r="H16" s="26">
        <f>SUM(H8:H14)</f>
        <v>0</v>
      </c>
      <c r="I16" s="26">
        <f>SUM(I8:I14)</f>
        <v>60883081.189999998</v>
      </c>
      <c r="K16" s="36">
        <v>0</v>
      </c>
      <c r="L16" s="24" t="s">
        <v>40</v>
      </c>
      <c r="M16" s="37">
        <f>D16-SUM(F16:I16)</f>
        <v>0</v>
      </c>
    </row>
    <row r="17" spans="1:19">
      <c r="D17" s="16"/>
      <c r="E17" s="16"/>
      <c r="F17" s="16"/>
      <c r="G17" s="16"/>
      <c r="H17" s="16"/>
      <c r="I17" s="16"/>
      <c r="P17" s="8" t="s">
        <v>67</v>
      </c>
    </row>
    <row r="18" spans="1:19">
      <c r="D18"/>
      <c r="E18" s="6"/>
      <c r="F18" s="6"/>
      <c r="G18" s="6"/>
      <c r="H18" s="6"/>
      <c r="I18" s="6"/>
      <c r="N18" s="39"/>
      <c r="O18" s="35"/>
      <c r="P18" s="48">
        <f>+A4</f>
        <v>41974</v>
      </c>
    </row>
    <row r="19" spans="1:19" ht="11.25">
      <c r="A19" s="3" t="s">
        <v>16</v>
      </c>
      <c r="D19" s="16"/>
      <c r="E19" s="16"/>
      <c r="F19" s="45"/>
      <c r="G19" s="6"/>
      <c r="H19" s="6"/>
      <c r="I19" s="6"/>
      <c r="N19" s="29" t="s">
        <v>56</v>
      </c>
      <c r="O19" s="42">
        <v>0.42306671681793739</v>
      </c>
      <c r="P19" s="16">
        <v>14785516.07</v>
      </c>
      <c r="Q19" s="44"/>
      <c r="R19" s="30"/>
      <c r="S19" s="16"/>
    </row>
    <row r="20" spans="1:19" ht="11.25" hidden="1">
      <c r="B20"/>
      <c r="C20" s="3" t="s">
        <v>17</v>
      </c>
      <c r="D20" s="26">
        <v>0</v>
      </c>
      <c r="E20" s="16"/>
      <c r="F20" s="26">
        <f>D20</f>
        <v>0</v>
      </c>
      <c r="G20" s="6"/>
      <c r="H20" s="6"/>
      <c r="I20" s="6"/>
      <c r="N20" s="29" t="s">
        <v>58</v>
      </c>
      <c r="O20" s="42">
        <f>1-O19</f>
        <v>0.57693328318206261</v>
      </c>
      <c r="P20" s="16">
        <v>20162910.459999997</v>
      </c>
      <c r="Q20" s="44"/>
      <c r="R20" s="30"/>
      <c r="S20" s="16"/>
    </row>
    <row r="21" spans="1:19" ht="11.25" hidden="1">
      <c r="B21"/>
      <c r="C21" s="3" t="s">
        <v>18</v>
      </c>
      <c r="D21" s="26">
        <v>0</v>
      </c>
      <c r="E21" s="16"/>
      <c r="F21" s="26">
        <f>D21-G21</f>
        <v>0</v>
      </c>
      <c r="G21" s="26">
        <v>0</v>
      </c>
      <c r="H21" s="6"/>
      <c r="I21" s="6"/>
      <c r="N21" s="29" t="s">
        <v>57</v>
      </c>
      <c r="O21" s="42">
        <f>IFERROR(P21/(P21+P22),0)</f>
        <v>0</v>
      </c>
      <c r="P21" s="16">
        <v>0</v>
      </c>
      <c r="Q21" s="44"/>
      <c r="R21" s="30"/>
      <c r="S21" s="16"/>
    </row>
    <row r="22" spans="1:19" ht="11.25">
      <c r="B22"/>
      <c r="C22" s="3" t="s">
        <v>19</v>
      </c>
      <c r="D22" s="26">
        <v>-148246.80999999959</v>
      </c>
      <c r="E22" s="16"/>
      <c r="F22" s="26">
        <f>D22*0.3</f>
        <v>-44474.042999999874</v>
      </c>
      <c r="G22" s="26">
        <f>D22*0.7</f>
        <v>-103772.7669999997</v>
      </c>
      <c r="H22" s="6"/>
      <c r="I22" s="6"/>
      <c r="N22" s="29" t="s">
        <v>59</v>
      </c>
      <c r="O22" s="42">
        <f>1-O21</f>
        <v>1</v>
      </c>
      <c r="P22" s="16">
        <v>0</v>
      </c>
      <c r="Q22" s="44"/>
      <c r="R22" s="30"/>
      <c r="S22" s="16"/>
    </row>
    <row r="23" spans="1:19">
      <c r="B23"/>
      <c r="C23" s="3" t="s">
        <v>20</v>
      </c>
      <c r="D23" s="26">
        <v>270000</v>
      </c>
      <c r="E23" s="16"/>
      <c r="F23" s="26">
        <f>D23*0.2073628</f>
        <v>55987.956000000006</v>
      </c>
      <c r="G23" s="26">
        <f>D23-F23</f>
        <v>214012.04399999999</v>
      </c>
      <c r="H23" s="6"/>
      <c r="I23" s="6"/>
    </row>
    <row r="24" spans="1:19">
      <c r="B24"/>
      <c r="C24" s="3" t="s">
        <v>21</v>
      </c>
      <c r="D24" s="26">
        <f>N27</f>
        <v>77165655.679999992</v>
      </c>
      <c r="E24" s="16"/>
      <c r="F24" s="31">
        <f>(N25+N24*O19)*K24</f>
        <v>2517906.8511782209</v>
      </c>
      <c r="G24" s="31">
        <f>(N25+N24*O19)*L24</f>
        <v>12267609.214591112</v>
      </c>
      <c r="H24" s="6"/>
      <c r="I24" s="31">
        <f>(N26+N24*O20)</f>
        <v>62380139.614230663</v>
      </c>
      <c r="K24" s="25">
        <v>0.17029549999999999</v>
      </c>
      <c r="L24" s="25">
        <f>1-K24</f>
        <v>0.82970450000000007</v>
      </c>
      <c r="N24" s="26">
        <v>34948426.519999996</v>
      </c>
      <c r="O24" t="s">
        <v>53</v>
      </c>
    </row>
    <row r="25" spans="1:19">
      <c r="B25"/>
      <c r="C25" s="49" t="s">
        <v>90</v>
      </c>
      <c r="D25" s="26">
        <v>0</v>
      </c>
      <c r="E25" s="16"/>
      <c r="F25" s="6"/>
      <c r="G25" s="26">
        <f>D25</f>
        <v>0</v>
      </c>
      <c r="H25" s="6"/>
      <c r="I25" s="26"/>
      <c r="N25" s="26">
        <v>0</v>
      </c>
      <c r="O25" t="s">
        <v>50</v>
      </c>
    </row>
    <row r="26" spans="1:19">
      <c r="B26" s="40" t="s">
        <v>65</v>
      </c>
      <c r="C26" s="14"/>
      <c r="D26" s="11" t="s">
        <v>14</v>
      </c>
      <c r="E26" s="14" t="s">
        <v>13</v>
      </c>
      <c r="F26" s="11" t="s">
        <v>14</v>
      </c>
      <c r="G26" s="11" t="s">
        <v>14</v>
      </c>
      <c r="H26" s="11" t="s">
        <v>14</v>
      </c>
      <c r="I26" s="11" t="s">
        <v>14</v>
      </c>
      <c r="K26" s="25"/>
      <c r="L26" s="25"/>
      <c r="N26" s="43">
        <v>42217229.159999996</v>
      </c>
      <c r="O26" t="s">
        <v>49</v>
      </c>
    </row>
    <row r="27" spans="1:19">
      <c r="B27" s="3" t="s">
        <v>22</v>
      </c>
      <c r="C27"/>
      <c r="D27" s="26">
        <f>SUM(D20:D26)</f>
        <v>77287408.86999999</v>
      </c>
      <c r="E27" s="16"/>
      <c r="F27" s="26">
        <f>SUM(F20:F26)</f>
        <v>2529420.7641782211</v>
      </c>
      <c r="G27" s="26">
        <f>SUM(G20:G26)</f>
        <v>12377848.491591113</v>
      </c>
      <c r="H27" s="26">
        <f>SUM(H20:H26)</f>
        <v>0</v>
      </c>
      <c r="I27" s="26">
        <f>SUM(I20:I26)</f>
        <v>62380139.614230663</v>
      </c>
      <c r="K27" s="25"/>
      <c r="L27" s="25"/>
      <c r="N27" s="26">
        <f>SUM(N24:N26)</f>
        <v>77165655.679999992</v>
      </c>
      <c r="O27"/>
    </row>
    <row r="28" spans="1:19" ht="12.75">
      <c r="D28" s="1"/>
      <c r="E28" s="16"/>
      <c r="F28" s="1"/>
      <c r="G28" s="1"/>
      <c r="H28" s="6"/>
      <c r="I28" s="6"/>
      <c r="K28" s="25"/>
      <c r="L28" s="25"/>
      <c r="N28" s="34"/>
      <c r="O28" s="32"/>
    </row>
    <row r="29" spans="1:19" hidden="1">
      <c r="B29"/>
      <c r="C29" s="3" t="s">
        <v>41</v>
      </c>
      <c r="D29" s="26">
        <v>0</v>
      </c>
      <c r="E29" s="16"/>
      <c r="F29" s="26"/>
      <c r="G29" s="26">
        <f>D29</f>
        <v>0</v>
      </c>
      <c r="H29" s="6"/>
      <c r="I29" s="6"/>
      <c r="K29" s="25"/>
      <c r="L29" s="25"/>
      <c r="N29" s="26">
        <v>0</v>
      </c>
      <c r="O29" t="s">
        <v>54</v>
      </c>
    </row>
    <row r="30" spans="1:19" hidden="1">
      <c r="B30"/>
      <c r="C30" s="3" t="s">
        <v>23</v>
      </c>
      <c r="D30" s="26">
        <v>0</v>
      </c>
      <c r="E30" s="16"/>
      <c r="F30" s="26"/>
      <c r="G30" s="26">
        <f>D30</f>
        <v>0</v>
      </c>
      <c r="H30" s="6"/>
      <c r="I30" s="6"/>
      <c r="K30" s="25"/>
      <c r="L30" s="25"/>
      <c r="M30" s="21"/>
      <c r="N30" s="26">
        <v>0</v>
      </c>
      <c r="O30" t="s">
        <v>51</v>
      </c>
    </row>
    <row r="31" spans="1:19" hidden="1">
      <c r="B31"/>
      <c r="C31" s="3" t="s">
        <v>24</v>
      </c>
      <c r="D31" s="26">
        <f>N32</f>
        <v>0</v>
      </c>
      <c r="E31" s="16"/>
      <c r="F31" s="31">
        <f>(N30+N29*O21)*K31</f>
        <v>0</v>
      </c>
      <c r="G31" s="31">
        <f>(N30+N29*O21)*L31</f>
        <v>0</v>
      </c>
      <c r="H31" s="6"/>
      <c r="I31" s="31">
        <f>(N31+N29*O22)</f>
        <v>0</v>
      </c>
      <c r="K31" s="25">
        <v>0.7</v>
      </c>
      <c r="L31" s="25">
        <f>1-K31</f>
        <v>0.30000000000000004</v>
      </c>
      <c r="N31" s="43">
        <v>0</v>
      </c>
      <c r="O31" t="s">
        <v>48</v>
      </c>
    </row>
    <row r="32" spans="1:19" hidden="1">
      <c r="B32"/>
      <c r="C32" s="3" t="s">
        <v>25</v>
      </c>
      <c r="D32" s="26">
        <v>0</v>
      </c>
      <c r="E32" s="16"/>
      <c r="F32" s="26">
        <f>D32</f>
        <v>0</v>
      </c>
      <c r="G32" s="26">
        <v>0</v>
      </c>
      <c r="H32" s="6"/>
      <c r="I32" s="6"/>
      <c r="N32" s="33">
        <f>SUM(N29:N31)</f>
        <v>0</v>
      </c>
      <c r="O32"/>
    </row>
    <row r="33" spans="2:18" hidden="1">
      <c r="B33"/>
      <c r="C33" s="3" t="s">
        <v>89</v>
      </c>
      <c r="D33" s="26">
        <v>0</v>
      </c>
      <c r="E33" s="16"/>
      <c r="F33" s="6"/>
      <c r="G33" s="26">
        <f>D33</f>
        <v>0</v>
      </c>
      <c r="H33" s="6"/>
      <c r="I33" s="6"/>
      <c r="N33" s="33"/>
      <c r="O33"/>
    </row>
    <row r="34" spans="2:18" hidden="1">
      <c r="B34"/>
      <c r="C34" s="3" t="s">
        <v>26</v>
      </c>
      <c r="D34" s="26">
        <v>0</v>
      </c>
      <c r="E34" s="16"/>
      <c r="F34" s="26">
        <v>0</v>
      </c>
      <c r="G34" s="26">
        <v>0</v>
      </c>
      <c r="H34" s="6"/>
      <c r="I34" s="6"/>
    </row>
    <row r="35" spans="2:18" hidden="1">
      <c r="B35" s="40" t="s">
        <v>65</v>
      </c>
      <c r="C35" s="14"/>
      <c r="D35" s="11" t="s">
        <v>14</v>
      </c>
      <c r="E35" s="14" t="s">
        <v>13</v>
      </c>
      <c r="F35" s="11" t="s">
        <v>14</v>
      </c>
      <c r="G35" s="11" t="s">
        <v>14</v>
      </c>
      <c r="H35" s="11" t="s">
        <v>14</v>
      </c>
      <c r="I35" s="11" t="s">
        <v>14</v>
      </c>
      <c r="R35" s="30"/>
    </row>
    <row r="36" spans="2:18" hidden="1">
      <c r="B36" s="3" t="s">
        <v>27</v>
      </c>
      <c r="C36"/>
      <c r="D36" s="26">
        <f>SUM(D29:D35)</f>
        <v>0</v>
      </c>
      <c r="E36" s="16"/>
      <c r="F36" s="26">
        <f>SUM(F29:F35)</f>
        <v>0</v>
      </c>
      <c r="G36" s="26">
        <f>SUM(G29:G35)</f>
        <v>0</v>
      </c>
      <c r="H36" s="26">
        <f>SUM(H29:H35)</f>
        <v>0</v>
      </c>
      <c r="I36" s="26">
        <f>SUM(I29:I35)</f>
        <v>0</v>
      </c>
    </row>
    <row r="37" spans="2:18">
      <c r="D37" s="16"/>
      <c r="E37" s="16"/>
      <c r="F37" s="6"/>
      <c r="G37" s="6"/>
      <c r="H37" s="6"/>
      <c r="I37" s="6"/>
      <c r="N37" s="3"/>
    </row>
    <row r="38" spans="2:18" hidden="1">
      <c r="B38"/>
      <c r="C38" s="3" t="s">
        <v>68</v>
      </c>
      <c r="D38" s="26">
        <v>0</v>
      </c>
      <c r="E38" s="16"/>
      <c r="F38" s="6"/>
      <c r="G38" s="6"/>
      <c r="H38" s="6"/>
      <c r="I38" s="26">
        <f t="shared" ref="I38:I65" si="0">IF(K38="Post Merger",D38,0)</f>
        <v>0</v>
      </c>
      <c r="K38" s="3" t="s">
        <v>10</v>
      </c>
    </row>
    <row r="39" spans="2:18" hidden="1">
      <c r="B39"/>
      <c r="C39" s="3" t="s">
        <v>55</v>
      </c>
      <c r="D39" s="26">
        <v>0</v>
      </c>
      <c r="E39" s="16"/>
      <c r="F39" s="6"/>
      <c r="G39" s="6"/>
      <c r="H39" s="6"/>
      <c r="I39" s="26">
        <f t="shared" si="0"/>
        <v>0</v>
      </c>
      <c r="K39" s="3" t="s">
        <v>10</v>
      </c>
    </row>
    <row r="40" spans="2:18" hidden="1">
      <c r="B40"/>
      <c r="C40" s="3" t="s">
        <v>69</v>
      </c>
      <c r="D40" s="26">
        <v>0</v>
      </c>
      <c r="E40" s="16"/>
      <c r="F40" s="6"/>
      <c r="G40" s="6"/>
      <c r="H40" s="6"/>
      <c r="I40" s="26">
        <f t="shared" si="0"/>
        <v>0</v>
      </c>
      <c r="K40" s="3" t="s">
        <v>10</v>
      </c>
    </row>
    <row r="41" spans="2:18" hidden="1">
      <c r="B41"/>
      <c r="C41" s="3" t="s">
        <v>88</v>
      </c>
      <c r="D41" s="26">
        <v>0</v>
      </c>
      <c r="E41" s="16"/>
      <c r="F41" s="6"/>
      <c r="G41" s="6"/>
      <c r="H41" s="6"/>
      <c r="I41" s="26">
        <f t="shared" si="0"/>
        <v>0</v>
      </c>
      <c r="K41" s="3" t="s">
        <v>10</v>
      </c>
    </row>
    <row r="42" spans="2:18" hidden="1">
      <c r="B42"/>
      <c r="C42" s="3" t="s">
        <v>70</v>
      </c>
      <c r="D42" s="26">
        <v>0</v>
      </c>
      <c r="E42" s="16"/>
      <c r="F42" s="6"/>
      <c r="G42" s="6"/>
      <c r="H42" s="6"/>
      <c r="I42" s="26">
        <f t="shared" si="0"/>
        <v>0</v>
      </c>
      <c r="K42" s="3" t="s">
        <v>10</v>
      </c>
    </row>
    <row r="43" spans="2:18">
      <c r="B43"/>
      <c r="C43" s="3" t="s">
        <v>71</v>
      </c>
      <c r="D43" s="26">
        <v>4575693.2</v>
      </c>
      <c r="E43" s="16"/>
      <c r="F43" s="6"/>
      <c r="G43" s="6"/>
      <c r="H43" s="6"/>
      <c r="I43" s="26">
        <f t="shared" si="0"/>
        <v>4575693.2</v>
      </c>
      <c r="K43" s="3" t="s">
        <v>10</v>
      </c>
    </row>
    <row r="44" spans="2:18" hidden="1">
      <c r="B44"/>
      <c r="C44" s="3" t="s">
        <v>72</v>
      </c>
      <c r="D44" s="26">
        <v>0</v>
      </c>
      <c r="E44" s="16"/>
      <c r="F44" s="6"/>
      <c r="G44" s="6"/>
      <c r="H44" s="6"/>
      <c r="I44" s="26">
        <f t="shared" si="0"/>
        <v>0</v>
      </c>
      <c r="K44" s="3" t="s">
        <v>10</v>
      </c>
    </row>
    <row r="45" spans="2:18">
      <c r="B45"/>
      <c r="C45" s="3" t="s">
        <v>46</v>
      </c>
      <c r="D45" s="26">
        <v>8005931.2199999997</v>
      </c>
      <c r="E45" s="16"/>
      <c r="F45" s="6"/>
      <c r="G45" s="6"/>
      <c r="H45" s="6"/>
      <c r="I45" s="26">
        <f t="shared" si="0"/>
        <v>8005931.2199999997</v>
      </c>
      <c r="K45" s="3" t="s">
        <v>10</v>
      </c>
    </row>
    <row r="46" spans="2:18">
      <c r="B46"/>
      <c r="C46" s="3" t="s">
        <v>73</v>
      </c>
      <c r="D46" s="26">
        <v>84147072.349999994</v>
      </c>
      <c r="E46" s="16"/>
      <c r="F46" s="6"/>
      <c r="G46" s="6"/>
      <c r="H46" s="6"/>
      <c r="I46" s="26">
        <f t="shared" si="0"/>
        <v>84147072.349999994</v>
      </c>
      <c r="K46" s="3" t="s">
        <v>10</v>
      </c>
    </row>
    <row r="47" spans="2:18" hidden="1">
      <c r="B47"/>
      <c r="C47" s="3" t="s">
        <v>74</v>
      </c>
      <c r="D47" s="26">
        <v>0</v>
      </c>
      <c r="E47" s="16"/>
      <c r="F47" s="6"/>
      <c r="G47" s="6"/>
      <c r="H47" s="6"/>
      <c r="I47" s="26">
        <f t="shared" si="0"/>
        <v>0</v>
      </c>
      <c r="K47" s="3" t="s">
        <v>10</v>
      </c>
    </row>
    <row r="48" spans="2:18" hidden="1">
      <c r="B48"/>
      <c r="C48" s="3" t="s">
        <v>75</v>
      </c>
      <c r="D48" s="26">
        <v>0</v>
      </c>
      <c r="E48" s="16"/>
      <c r="F48" s="6"/>
      <c r="G48" s="6"/>
      <c r="H48" s="6"/>
      <c r="I48" s="26">
        <f t="shared" si="0"/>
        <v>0</v>
      </c>
      <c r="K48" s="3" t="s">
        <v>10</v>
      </c>
    </row>
    <row r="49" spans="2:11" hidden="1">
      <c r="B49"/>
      <c r="C49" s="3" t="s">
        <v>45</v>
      </c>
      <c r="D49" s="26">
        <v>0</v>
      </c>
      <c r="E49" s="16"/>
      <c r="F49" s="6"/>
      <c r="G49" s="6"/>
      <c r="H49" s="6"/>
      <c r="I49" s="26">
        <f t="shared" si="0"/>
        <v>0</v>
      </c>
      <c r="K49" s="3" t="s">
        <v>10</v>
      </c>
    </row>
    <row r="50" spans="2:11" hidden="1">
      <c r="B50"/>
      <c r="C50" s="22" t="s">
        <v>76</v>
      </c>
      <c r="D50" s="26">
        <v>0</v>
      </c>
      <c r="E50" s="16"/>
      <c r="F50" s="6"/>
      <c r="G50" s="6"/>
      <c r="H50" s="6"/>
      <c r="I50" s="26">
        <f t="shared" si="0"/>
        <v>0</v>
      </c>
      <c r="K50" s="3" t="s">
        <v>10</v>
      </c>
    </row>
    <row r="51" spans="2:11" hidden="1">
      <c r="B51"/>
      <c r="C51" s="3" t="s">
        <v>77</v>
      </c>
      <c r="D51" s="26">
        <v>0</v>
      </c>
      <c r="E51" s="16"/>
      <c r="F51" s="6"/>
      <c r="G51" s="6"/>
      <c r="H51" s="6"/>
      <c r="I51" s="26">
        <f t="shared" si="0"/>
        <v>0</v>
      </c>
      <c r="K51" s="3" t="s">
        <v>10</v>
      </c>
    </row>
    <row r="52" spans="2:11" hidden="1">
      <c r="B52"/>
      <c r="C52" s="3" t="s">
        <v>78</v>
      </c>
      <c r="D52" s="26">
        <v>0</v>
      </c>
      <c r="E52" s="16"/>
      <c r="F52" s="6"/>
      <c r="G52" s="6"/>
      <c r="H52" s="6"/>
      <c r="I52" s="26">
        <f t="shared" si="0"/>
        <v>0</v>
      </c>
      <c r="K52" s="3" t="s">
        <v>10</v>
      </c>
    </row>
    <row r="53" spans="2:11" hidden="1">
      <c r="B53"/>
      <c r="C53" s="3" t="s">
        <v>79</v>
      </c>
      <c r="D53" s="26">
        <v>0</v>
      </c>
      <c r="E53" s="16"/>
      <c r="F53" s="6"/>
      <c r="G53" s="6"/>
      <c r="H53" s="6"/>
      <c r="I53" s="26">
        <f t="shared" si="0"/>
        <v>0</v>
      </c>
      <c r="K53" s="3" t="s">
        <v>10</v>
      </c>
    </row>
    <row r="54" spans="2:11" hidden="1">
      <c r="B54"/>
      <c r="C54" s="3" t="s">
        <v>80</v>
      </c>
      <c r="D54" s="26">
        <v>0</v>
      </c>
      <c r="E54" s="16"/>
      <c r="F54" s="6"/>
      <c r="G54" s="6"/>
      <c r="H54" s="6"/>
      <c r="I54" s="26">
        <f t="shared" si="0"/>
        <v>0</v>
      </c>
      <c r="K54" s="3" t="s">
        <v>10</v>
      </c>
    </row>
    <row r="55" spans="2:11" hidden="1">
      <c r="B55"/>
      <c r="C55" s="3" t="s">
        <v>81</v>
      </c>
      <c r="D55" s="26">
        <v>0</v>
      </c>
      <c r="E55" s="16"/>
      <c r="F55" s="6"/>
      <c r="G55" s="6"/>
      <c r="H55" s="6"/>
      <c r="I55" s="26">
        <f t="shared" si="0"/>
        <v>0</v>
      </c>
      <c r="K55" s="3" t="s">
        <v>10</v>
      </c>
    </row>
    <row r="56" spans="2:11" hidden="1">
      <c r="B56"/>
      <c r="C56" s="3" t="s">
        <v>82</v>
      </c>
      <c r="D56" s="26">
        <v>0</v>
      </c>
      <c r="E56" s="16"/>
      <c r="F56" s="6"/>
      <c r="G56" s="6"/>
      <c r="H56" s="6"/>
      <c r="I56" s="26">
        <f t="shared" si="0"/>
        <v>0</v>
      </c>
      <c r="K56" s="3" t="s">
        <v>10</v>
      </c>
    </row>
    <row r="57" spans="2:11" hidden="1">
      <c r="B57"/>
      <c r="C57" s="27" t="s">
        <v>83</v>
      </c>
      <c r="D57" s="26">
        <v>0</v>
      </c>
      <c r="E57" s="16"/>
      <c r="F57" s="6"/>
      <c r="G57" s="6"/>
      <c r="H57" s="6"/>
      <c r="I57" s="26">
        <f t="shared" si="0"/>
        <v>0</v>
      </c>
      <c r="K57" s="3" t="s">
        <v>10</v>
      </c>
    </row>
    <row r="58" spans="2:11" hidden="1">
      <c r="B58"/>
      <c r="C58" s="27" t="s">
        <v>92</v>
      </c>
      <c r="D58" s="26">
        <v>0</v>
      </c>
      <c r="E58" s="16"/>
      <c r="F58" s="6"/>
      <c r="G58" s="6"/>
      <c r="H58" s="6"/>
      <c r="I58" s="26">
        <f t="shared" si="0"/>
        <v>0</v>
      </c>
      <c r="K58" s="3" t="s">
        <v>10</v>
      </c>
    </row>
    <row r="59" spans="2:11" hidden="1">
      <c r="B59"/>
      <c r="C59" s="3" t="s">
        <v>84</v>
      </c>
      <c r="D59" s="26">
        <v>0</v>
      </c>
      <c r="E59" s="16"/>
      <c r="F59" s="6"/>
      <c r="G59" s="6"/>
      <c r="H59" s="6"/>
      <c r="I59" s="26">
        <f t="shared" si="0"/>
        <v>0</v>
      </c>
      <c r="K59" s="3" t="s">
        <v>10</v>
      </c>
    </row>
    <row r="60" spans="2:11" hidden="1">
      <c r="B60"/>
      <c r="C60" s="3" t="s">
        <v>95</v>
      </c>
      <c r="D60" s="26">
        <v>0</v>
      </c>
      <c r="E60" s="16"/>
      <c r="F60" s="6"/>
      <c r="G60" s="6"/>
      <c r="H60" s="6"/>
      <c r="I60" s="26">
        <f t="shared" si="0"/>
        <v>0</v>
      </c>
      <c r="K60" s="3" t="s">
        <v>10</v>
      </c>
    </row>
    <row r="61" spans="2:11" hidden="1">
      <c r="B61"/>
      <c r="C61" s="3" t="s">
        <v>85</v>
      </c>
      <c r="D61" s="26">
        <v>0</v>
      </c>
      <c r="E61" s="16"/>
      <c r="F61" s="6"/>
      <c r="G61" s="6"/>
      <c r="H61" s="6"/>
      <c r="I61" s="26">
        <f t="shared" si="0"/>
        <v>0</v>
      </c>
      <c r="K61" s="3" t="s">
        <v>10</v>
      </c>
    </row>
    <row r="62" spans="2:11" hidden="1">
      <c r="B62"/>
      <c r="C62" s="3" t="s">
        <v>86</v>
      </c>
      <c r="D62" s="26">
        <v>0</v>
      </c>
      <c r="E62" s="16"/>
      <c r="F62" s="6"/>
      <c r="G62" s="6"/>
      <c r="H62" s="6"/>
      <c r="I62" s="26">
        <f t="shared" si="0"/>
        <v>0</v>
      </c>
      <c r="K62" s="3" t="s">
        <v>10</v>
      </c>
    </row>
    <row r="63" spans="2:11" hidden="1">
      <c r="B63"/>
      <c r="C63" s="3" t="s">
        <v>94</v>
      </c>
      <c r="D63" s="26">
        <v>0</v>
      </c>
      <c r="E63" s="16"/>
      <c r="F63" s="6"/>
      <c r="G63" s="6"/>
      <c r="H63" s="6"/>
      <c r="I63" s="26">
        <f t="shared" si="0"/>
        <v>0</v>
      </c>
      <c r="K63" s="3" t="s">
        <v>10</v>
      </c>
    </row>
    <row r="64" spans="2:11" hidden="1">
      <c r="B64"/>
      <c r="C64" s="27" t="s">
        <v>87</v>
      </c>
      <c r="D64" s="26">
        <v>0</v>
      </c>
      <c r="E64" s="16"/>
      <c r="F64" s="6"/>
      <c r="G64" s="6"/>
      <c r="H64" s="6"/>
      <c r="I64" s="26">
        <f t="shared" si="0"/>
        <v>0</v>
      </c>
      <c r="K64" s="3" t="s">
        <v>10</v>
      </c>
    </row>
    <row r="65" spans="1:16" hidden="1">
      <c r="B65"/>
      <c r="C65" s="3" t="s">
        <v>93</v>
      </c>
      <c r="D65" s="26">
        <v>0</v>
      </c>
      <c r="E65" s="16"/>
      <c r="F65" s="6"/>
      <c r="G65" s="6"/>
      <c r="H65" s="6"/>
      <c r="I65" s="26">
        <f t="shared" si="0"/>
        <v>0</v>
      </c>
      <c r="K65" s="3" t="s">
        <v>10</v>
      </c>
    </row>
    <row r="66" spans="1:16" ht="11.25" thickBot="1">
      <c r="B66"/>
      <c r="C66" s="27"/>
      <c r="D66" s="26"/>
      <c r="E66" s="16"/>
      <c r="F66" s="6"/>
      <c r="G66" s="6"/>
      <c r="H66" s="6"/>
      <c r="I66" s="26"/>
    </row>
    <row r="67" spans="1:16" hidden="1">
      <c r="B67" s="22" t="s">
        <v>64</v>
      </c>
      <c r="C67" s="27"/>
      <c r="D67" s="26"/>
      <c r="E67" s="16"/>
      <c r="F67" s="6"/>
      <c r="G67" s="6"/>
      <c r="H67" s="6"/>
      <c r="I67" s="26"/>
    </row>
    <row r="68" spans="1:16" ht="11.25" hidden="1" thickBot="1">
      <c r="B68"/>
      <c r="C68" s="3" t="s">
        <v>96</v>
      </c>
      <c r="D68" s="26">
        <v>0</v>
      </c>
      <c r="E68" s="16"/>
      <c r="F68" s="6"/>
      <c r="G68" s="6"/>
      <c r="H68" s="6"/>
      <c r="I68" s="26">
        <f>IF(K68="Post Merger",D68,0)</f>
        <v>0</v>
      </c>
      <c r="K68" s="3" t="s">
        <v>10</v>
      </c>
    </row>
    <row r="69" spans="1:16" ht="11.25" thickBot="1">
      <c r="B69"/>
      <c r="D69" s="16"/>
      <c r="E69" s="16"/>
      <c r="F69" s="6"/>
      <c r="G69" s="6"/>
      <c r="H69" s="6"/>
      <c r="I69" s="6"/>
      <c r="K69" s="36">
        <v>0</v>
      </c>
      <c r="L69" s="24" t="s">
        <v>40</v>
      </c>
      <c r="M69" s="37">
        <v>0</v>
      </c>
    </row>
    <row r="70" spans="1:16">
      <c r="B70"/>
      <c r="C70" t="s">
        <v>115</v>
      </c>
      <c r="D70" s="26">
        <v>67360261.439999998</v>
      </c>
      <c r="E70" s="16"/>
      <c r="F70" s="6"/>
      <c r="G70" s="6"/>
      <c r="H70" s="6"/>
      <c r="I70" s="26">
        <f>D70</f>
        <v>67360261.439999998</v>
      </c>
    </row>
    <row r="71" spans="1:16" ht="11.25" thickBot="1">
      <c r="B71" s="40" t="s">
        <v>65</v>
      </c>
      <c r="C71" s="14"/>
      <c r="D71" s="11" t="s">
        <v>14</v>
      </c>
      <c r="E71" s="14" t="s">
        <v>13</v>
      </c>
      <c r="F71" s="11" t="s">
        <v>14</v>
      </c>
      <c r="G71" s="11" t="s">
        <v>14</v>
      </c>
      <c r="H71" s="11" t="s">
        <v>14</v>
      </c>
      <c r="I71" s="11" t="s">
        <v>14</v>
      </c>
    </row>
    <row r="72" spans="1:16" ht="11.25" thickBot="1">
      <c r="B72" s="3" t="s">
        <v>28</v>
      </c>
      <c r="C72"/>
      <c r="D72" s="26">
        <f>SUM(D38:D70)</f>
        <v>164088958.20999998</v>
      </c>
      <c r="E72" s="16"/>
      <c r="F72" s="26">
        <f>SUM(F38:F70)</f>
        <v>0</v>
      </c>
      <c r="G72" s="26">
        <f>SUM(G38:G70)</f>
        <v>0</v>
      </c>
      <c r="H72" s="26">
        <f>SUM(H38:H70)</f>
        <v>0</v>
      </c>
      <c r="I72" s="26">
        <f>SUM(I38:I70)</f>
        <v>164088958.20999998</v>
      </c>
      <c r="K72" s="36"/>
      <c r="L72" s="24" t="s">
        <v>40</v>
      </c>
      <c r="M72" s="37">
        <f>D72-SUM(F72:I72)</f>
        <v>0</v>
      </c>
    </row>
    <row r="73" spans="1:16">
      <c r="B73" s="3" t="s">
        <v>116</v>
      </c>
      <c r="D73" s="26">
        <v>663166.31000000006</v>
      </c>
      <c r="E73" s="16"/>
      <c r="F73" s="14"/>
      <c r="H73" s="26"/>
      <c r="I73" s="26">
        <f>D73</f>
        <v>663166.31000000006</v>
      </c>
      <c r="J73"/>
      <c r="K73"/>
      <c r="L73"/>
      <c r="M73"/>
    </row>
    <row r="74" spans="1:16">
      <c r="B74" s="3" t="s">
        <v>29</v>
      </c>
      <c r="C74"/>
      <c r="D74" s="26">
        <v>0</v>
      </c>
      <c r="E74" s="16"/>
      <c r="F74" s="26"/>
      <c r="G74" s="26"/>
      <c r="H74" s="26">
        <f>D74</f>
        <v>0</v>
      </c>
      <c r="I74" s="6"/>
    </row>
    <row r="75" spans="1:16" ht="11.25" thickBot="1">
      <c r="D75" s="11" t="s">
        <v>14</v>
      </c>
      <c r="E75" s="14" t="s">
        <v>13</v>
      </c>
      <c r="F75" s="11" t="s">
        <v>14</v>
      </c>
      <c r="G75" s="11" t="s">
        <v>14</v>
      </c>
      <c r="H75" s="11" t="s">
        <v>14</v>
      </c>
      <c r="I75" s="11" t="s">
        <v>14</v>
      </c>
    </row>
    <row r="76" spans="1:16" ht="11.25" thickBot="1">
      <c r="A76" s="3" t="s">
        <v>30</v>
      </c>
      <c r="D76" s="26">
        <f>D72+D73+D74+D36+D27</f>
        <v>242039533.38999999</v>
      </c>
      <c r="E76" s="16"/>
      <c r="F76" s="26">
        <f>F72+F73+F74+F36+F27</f>
        <v>2529420.7641782211</v>
      </c>
      <c r="G76" s="26">
        <f>G72+G73+G74+G36+G27</f>
        <v>12377848.491591113</v>
      </c>
      <c r="H76" s="26">
        <f>H72+H73+H74+H36+H27</f>
        <v>0</v>
      </c>
      <c r="I76" s="26">
        <f>I72+I73+I74+I36+I27</f>
        <v>227132264.13423064</v>
      </c>
      <c r="K76" s="36">
        <v>0</v>
      </c>
      <c r="L76" s="24" t="s">
        <v>40</v>
      </c>
      <c r="M76" s="37">
        <f>D76-SUM(F76:I76)</f>
        <v>0</v>
      </c>
    </row>
    <row r="77" spans="1:16">
      <c r="D77" s="16"/>
      <c r="E77" s="16"/>
      <c r="F77" s="16"/>
      <c r="G77" s="16"/>
      <c r="H77" s="16"/>
      <c r="I77" s="16"/>
    </row>
    <row r="78" spans="1:16">
      <c r="D78" s="16"/>
      <c r="E78" s="16"/>
      <c r="F78" s="16"/>
      <c r="G78" s="16"/>
      <c r="H78" s="16"/>
      <c r="I78" s="16"/>
    </row>
    <row r="79" spans="1:16" ht="11.25">
      <c r="A79" s="3" t="s">
        <v>31</v>
      </c>
      <c r="F79" s="6"/>
      <c r="G79" s="6"/>
      <c r="H79" s="6"/>
      <c r="I79" s="6"/>
      <c r="N79" s="29" t="s">
        <v>60</v>
      </c>
      <c r="O79" s="32">
        <v>24999835.973468848</v>
      </c>
      <c r="P79" s="26"/>
    </row>
    <row r="80" spans="1:16" ht="11.25">
      <c r="F80" s="6"/>
      <c r="G80" s="6"/>
      <c r="H80" s="6"/>
      <c r="I80" s="6"/>
      <c r="N80" s="29" t="s">
        <v>61</v>
      </c>
      <c r="O80" s="32">
        <v>0</v>
      </c>
      <c r="P80" s="26"/>
    </row>
    <row r="81" spans="1:16" customFormat="1" ht="11.25">
      <c r="A81" s="3"/>
      <c r="B81" s="3" t="s">
        <v>32</v>
      </c>
      <c r="D81" s="26">
        <f>SUM(F81:I81)</f>
        <v>24999835.973468848</v>
      </c>
      <c r="E81" s="16"/>
      <c r="F81" s="26">
        <f>O79</f>
        <v>24999835.973468848</v>
      </c>
      <c r="G81" s="6"/>
      <c r="H81" s="6"/>
      <c r="I81" s="6"/>
      <c r="J81" s="3"/>
      <c r="K81" s="18"/>
      <c r="L81" s="3"/>
      <c r="M81" s="3"/>
      <c r="N81" s="29" t="s">
        <v>62</v>
      </c>
      <c r="O81" s="32">
        <v>83304574.000558719</v>
      </c>
      <c r="P81" s="38"/>
    </row>
    <row r="82" spans="1:16" ht="11.25" hidden="1">
      <c r="A82"/>
      <c r="B82"/>
      <c r="C82"/>
      <c r="D82"/>
      <c r="E82"/>
      <c r="F82"/>
      <c r="G82"/>
      <c r="H82"/>
      <c r="I82"/>
      <c r="J82"/>
      <c r="K82" s="23"/>
      <c r="L82"/>
      <c r="M82"/>
      <c r="N82" s="29" t="s">
        <v>91</v>
      </c>
      <c r="O82" s="32">
        <v>0</v>
      </c>
      <c r="P82" s="26"/>
    </row>
    <row r="83" spans="1:16" ht="12" thickBot="1">
      <c r="B83" s="3" t="s">
        <v>33</v>
      </c>
      <c r="C83"/>
      <c r="D83" s="26">
        <f>SUM(F83:I83)</f>
        <v>0</v>
      </c>
      <c r="E83" s="16"/>
      <c r="F83" s="26">
        <f>O80</f>
        <v>0</v>
      </c>
      <c r="G83" s="6"/>
      <c r="H83" s="6"/>
      <c r="I83" s="6"/>
      <c r="N83" s="29" t="s">
        <v>63</v>
      </c>
      <c r="O83" s="32">
        <v>1038267.1499999999</v>
      </c>
      <c r="P83" s="26"/>
    </row>
    <row r="84" spans="1:16" ht="11.25" hidden="1" thickBot="1">
      <c r="C84"/>
      <c r="D84" s="16"/>
      <c r="E84" s="16"/>
      <c r="F84" s="6"/>
      <c r="G84" s="6"/>
      <c r="H84" s="6"/>
      <c r="I84" s="6"/>
      <c r="O84" s="32">
        <f>SUM(O79:O83)</f>
        <v>109342677.12402758</v>
      </c>
      <c r="P84" s="26"/>
    </row>
    <row r="85" spans="1:16" ht="11.25" thickBot="1">
      <c r="B85" s="3" t="s">
        <v>10</v>
      </c>
      <c r="C85"/>
      <c r="D85" s="26">
        <f>D90-(D81+D83+D87)</f>
        <v>84342841.02653116</v>
      </c>
      <c r="E85" s="16"/>
      <c r="F85" s="17"/>
      <c r="G85" s="6"/>
      <c r="H85" s="6"/>
      <c r="I85" s="26">
        <f>D85</f>
        <v>84342841.02653116</v>
      </c>
      <c r="N85" s="47" t="s">
        <v>40</v>
      </c>
      <c r="O85" s="37">
        <v>0</v>
      </c>
      <c r="P85" s="46"/>
    </row>
    <row r="86" spans="1:16" hidden="1">
      <c r="F86" s="6"/>
      <c r="G86" s="6"/>
      <c r="H86" s="6"/>
      <c r="I86" s="6"/>
    </row>
    <row r="87" spans="1:16" customFormat="1">
      <c r="A87" s="3"/>
      <c r="B87" t="s">
        <v>34</v>
      </c>
      <c r="C87" s="3"/>
      <c r="D87" s="26">
        <v>0</v>
      </c>
      <c r="E87" s="16"/>
      <c r="F87" s="6"/>
      <c r="H87" s="26">
        <f>D87</f>
        <v>0</v>
      </c>
      <c r="I87" s="6"/>
      <c r="J87" s="3"/>
      <c r="K87" s="3"/>
      <c r="L87" s="3"/>
      <c r="M87" s="3"/>
      <c r="N87" s="27"/>
    </row>
    <row r="88" spans="1:16">
      <c r="A88"/>
      <c r="B88"/>
      <c r="C88"/>
      <c r="D88"/>
      <c r="E88"/>
      <c r="F88"/>
      <c r="G88"/>
      <c r="H88"/>
      <c r="I88"/>
      <c r="J88"/>
      <c r="K88"/>
      <c r="L88"/>
      <c r="M88"/>
    </row>
    <row r="89" spans="1:16" ht="11.25" thickBot="1">
      <c r="D89" s="11" t="s">
        <v>14</v>
      </c>
      <c r="E89" s="14" t="s">
        <v>13</v>
      </c>
      <c r="F89" s="11" t="s">
        <v>14</v>
      </c>
      <c r="G89" s="11" t="s">
        <v>14</v>
      </c>
      <c r="H89" s="11" t="s">
        <v>14</v>
      </c>
      <c r="I89" s="11" t="s">
        <v>14</v>
      </c>
    </row>
    <row r="90" spans="1:16" customFormat="1" ht="11.25" thickBot="1">
      <c r="A90" s="3" t="s">
        <v>35</v>
      </c>
      <c r="B90" s="3"/>
      <c r="C90" s="3"/>
      <c r="D90" s="26">
        <v>109342677</v>
      </c>
      <c r="E90" s="16"/>
      <c r="F90" s="26">
        <f>SUM(F81:F87)</f>
        <v>24999835.973468848</v>
      </c>
      <c r="G90" s="26">
        <f>SUM(G81:G87)</f>
        <v>0</v>
      </c>
      <c r="H90" s="26">
        <f>SUM(H81:H87)</f>
        <v>0</v>
      </c>
      <c r="I90" s="26">
        <f>SUM(I81:I87)</f>
        <v>84342841.02653116</v>
      </c>
      <c r="J90" s="3"/>
      <c r="K90" s="36">
        <f>D90-(D81+D83+D85+D87)</f>
        <v>0</v>
      </c>
      <c r="L90" s="24" t="s">
        <v>40</v>
      </c>
      <c r="M90" s="37">
        <f>D90-SUM(F90:I90)</f>
        <v>0</v>
      </c>
      <c r="N90" s="27"/>
    </row>
    <row r="91" spans="1:16" customFormat="1">
      <c r="A91" s="3"/>
      <c r="B91" s="3"/>
      <c r="C91" s="3"/>
      <c r="D91" s="3"/>
      <c r="E91" s="3"/>
      <c r="G91" s="3"/>
      <c r="H91" s="3"/>
      <c r="I91" s="3"/>
      <c r="N91" s="27"/>
    </row>
    <row r="92" spans="1:16" customFormat="1">
      <c r="A92" s="3" t="s">
        <v>36</v>
      </c>
      <c r="B92" s="3"/>
      <c r="C92" s="3"/>
      <c r="D92" s="3"/>
      <c r="E92" s="3"/>
      <c r="G92" s="3"/>
      <c r="H92" s="3"/>
      <c r="I92" s="3"/>
      <c r="N92" s="27"/>
    </row>
    <row r="93" spans="1:16" customFormat="1" hidden="1">
      <c r="A93" s="3"/>
      <c r="B93" s="16" t="s">
        <v>98</v>
      </c>
      <c r="C93" s="3"/>
      <c r="D93" s="26">
        <v>0</v>
      </c>
      <c r="E93" s="16"/>
      <c r="G93" s="3"/>
      <c r="H93" s="26">
        <f t="shared" ref="H93:H107" si="1">D93</f>
        <v>0</v>
      </c>
      <c r="I93" s="2"/>
      <c r="N93" s="27"/>
    </row>
    <row r="94" spans="1:16" customFormat="1" hidden="1">
      <c r="A94" s="3"/>
      <c r="B94" s="16" t="s">
        <v>99</v>
      </c>
      <c r="C94" s="3"/>
      <c r="D94" s="26">
        <v>0</v>
      </c>
      <c r="E94" s="16"/>
      <c r="G94" s="3"/>
      <c r="H94" s="26">
        <f t="shared" si="1"/>
        <v>0</v>
      </c>
      <c r="I94" s="2"/>
      <c r="N94" s="27"/>
    </row>
    <row r="95" spans="1:16" customFormat="1">
      <c r="A95" s="3"/>
      <c r="B95" s="16" t="s">
        <v>100</v>
      </c>
      <c r="C95" s="3"/>
      <c r="D95" s="26">
        <v>8051919.5899999999</v>
      </c>
      <c r="E95" s="16"/>
      <c r="G95" s="3"/>
      <c r="H95" s="26">
        <f t="shared" si="1"/>
        <v>8051919.5899999999</v>
      </c>
      <c r="I95" s="2"/>
      <c r="N95" s="27"/>
    </row>
    <row r="96" spans="1:16" customFormat="1" hidden="1">
      <c r="A96" s="3"/>
      <c r="B96" s="16" t="s">
        <v>101</v>
      </c>
      <c r="C96" s="3"/>
      <c r="D96" s="26">
        <v>0</v>
      </c>
      <c r="E96" s="16"/>
      <c r="G96" s="3"/>
      <c r="H96" s="26">
        <f t="shared" si="1"/>
        <v>0</v>
      </c>
      <c r="I96" s="2"/>
      <c r="N96" s="27"/>
    </row>
    <row r="97" spans="1:14" customFormat="1">
      <c r="A97" s="3"/>
      <c r="B97" s="16" t="s">
        <v>66</v>
      </c>
      <c r="C97" s="3"/>
      <c r="D97" s="26">
        <v>50912210.43</v>
      </c>
      <c r="E97" s="16"/>
      <c r="G97" s="3"/>
      <c r="H97" s="26">
        <f t="shared" si="1"/>
        <v>50912210.43</v>
      </c>
      <c r="I97" s="2"/>
      <c r="N97" s="27"/>
    </row>
    <row r="98" spans="1:14" customFormat="1" hidden="1">
      <c r="A98" s="3"/>
      <c r="B98" s="16" t="s">
        <v>47</v>
      </c>
      <c r="C98" s="3"/>
      <c r="D98" s="26">
        <v>0</v>
      </c>
      <c r="E98" s="16"/>
      <c r="G98" s="3"/>
      <c r="H98" s="26">
        <f t="shared" si="1"/>
        <v>0</v>
      </c>
      <c r="I98" s="2"/>
      <c r="N98" s="27"/>
    </row>
    <row r="99" spans="1:14" customFormat="1" hidden="1">
      <c r="A99" s="3"/>
      <c r="B99" s="16" t="s">
        <v>102</v>
      </c>
      <c r="C99" s="3"/>
      <c r="D99" s="26">
        <v>0</v>
      </c>
      <c r="E99" s="16"/>
      <c r="G99" s="3"/>
      <c r="H99" s="26">
        <f t="shared" si="1"/>
        <v>0</v>
      </c>
      <c r="I99" s="2"/>
      <c r="N99" s="27"/>
    </row>
    <row r="100" spans="1:14" customFormat="1" hidden="1">
      <c r="A100" s="3"/>
      <c r="B100" s="16" t="s">
        <v>103</v>
      </c>
      <c r="C100" s="3"/>
      <c r="D100" s="26">
        <v>0</v>
      </c>
      <c r="E100" s="16"/>
      <c r="G100" s="3"/>
      <c r="H100" s="26">
        <f t="shared" si="1"/>
        <v>0</v>
      </c>
      <c r="I100" s="2"/>
      <c r="N100" s="27"/>
    </row>
    <row r="101" spans="1:14" customFormat="1" hidden="1">
      <c r="A101" s="3"/>
      <c r="B101" s="16" t="s">
        <v>104</v>
      </c>
      <c r="C101" s="3"/>
      <c r="D101" s="26">
        <v>0</v>
      </c>
      <c r="E101" s="16"/>
      <c r="G101" s="3"/>
      <c r="H101" s="26">
        <f t="shared" si="1"/>
        <v>0</v>
      </c>
      <c r="I101" s="2"/>
      <c r="N101" s="27"/>
    </row>
    <row r="102" spans="1:14" customFormat="1" hidden="1">
      <c r="A102" s="3"/>
      <c r="B102" s="16" t="s">
        <v>105</v>
      </c>
      <c r="C102" s="3"/>
      <c r="D102" s="26">
        <v>0</v>
      </c>
      <c r="E102" s="16"/>
      <c r="F102" s="14"/>
      <c r="G102" s="3"/>
      <c r="H102" s="26">
        <f t="shared" si="1"/>
        <v>0</v>
      </c>
      <c r="I102" s="2"/>
      <c r="N102" s="27"/>
    </row>
    <row r="103" spans="1:14" customFormat="1">
      <c r="A103" s="3"/>
      <c r="B103" s="16" t="s">
        <v>106</v>
      </c>
      <c r="C103" s="3"/>
      <c r="D103" s="26">
        <v>45998418.719999999</v>
      </c>
      <c r="E103" s="16"/>
      <c r="F103" s="14"/>
      <c r="G103" s="3"/>
      <c r="H103" s="26">
        <f t="shared" si="1"/>
        <v>45998418.719999999</v>
      </c>
      <c r="I103" s="2"/>
      <c r="N103" s="27"/>
    </row>
    <row r="104" spans="1:14" customFormat="1" hidden="1">
      <c r="A104" s="3"/>
      <c r="B104" s="16" t="s">
        <v>107</v>
      </c>
      <c r="C104" s="3"/>
      <c r="D104" s="26">
        <v>0</v>
      </c>
      <c r="E104" s="16"/>
      <c r="F104" s="14"/>
      <c r="G104" s="3"/>
      <c r="H104" s="26">
        <f t="shared" si="1"/>
        <v>0</v>
      </c>
      <c r="I104" s="2"/>
      <c r="N104" s="27"/>
    </row>
    <row r="105" spans="1:14" customFormat="1" hidden="1">
      <c r="A105" s="3"/>
      <c r="B105" s="16" t="s">
        <v>108</v>
      </c>
      <c r="C105" s="3"/>
      <c r="D105" s="26">
        <v>0</v>
      </c>
      <c r="E105" s="16"/>
      <c r="F105" s="14"/>
      <c r="G105" s="3"/>
      <c r="H105" s="26">
        <f t="shared" si="1"/>
        <v>0</v>
      </c>
      <c r="I105" s="2"/>
      <c r="N105" s="27"/>
    </row>
    <row r="106" spans="1:14" customFormat="1">
      <c r="A106" s="3"/>
      <c r="B106" s="16" t="s">
        <v>109</v>
      </c>
      <c r="C106" s="3"/>
      <c r="D106" s="26">
        <v>198219826.75999999</v>
      </c>
      <c r="E106" s="16"/>
      <c r="F106" s="14"/>
      <c r="G106" s="3"/>
      <c r="H106" s="26">
        <f t="shared" si="1"/>
        <v>198219826.75999999</v>
      </c>
      <c r="I106" s="2"/>
      <c r="N106" s="27"/>
    </row>
    <row r="107" spans="1:14" customFormat="1" hidden="1">
      <c r="A107" s="3"/>
      <c r="B107" s="16" t="s">
        <v>110</v>
      </c>
      <c r="C107" s="3"/>
      <c r="D107" s="26">
        <v>0</v>
      </c>
      <c r="E107" s="16"/>
      <c r="F107" s="14"/>
      <c r="G107" s="3"/>
      <c r="H107" s="26">
        <f t="shared" si="1"/>
        <v>0</v>
      </c>
      <c r="I107" s="2"/>
      <c r="N107" s="27"/>
    </row>
    <row r="108" spans="1:14" customFormat="1" hidden="1">
      <c r="A108" s="3"/>
      <c r="B108" s="16"/>
      <c r="C108" s="3"/>
      <c r="D108" s="26"/>
      <c r="E108" s="16"/>
      <c r="F108" s="14"/>
      <c r="G108" s="3"/>
      <c r="H108" s="26"/>
      <c r="I108" s="2"/>
      <c r="N108" s="27"/>
    </row>
    <row r="109" spans="1:14" customFormat="1" hidden="1">
      <c r="A109" s="3"/>
      <c r="B109" s="16" t="s">
        <v>111</v>
      </c>
      <c r="C109" s="3"/>
      <c r="D109" s="26">
        <v>0</v>
      </c>
      <c r="E109" s="16"/>
      <c r="F109" s="14"/>
      <c r="G109" s="3"/>
      <c r="H109" s="26">
        <f>D109</f>
        <v>0</v>
      </c>
      <c r="I109" s="2"/>
      <c r="N109" s="27"/>
    </row>
    <row r="110" spans="1:14" customFormat="1" hidden="1">
      <c r="A110" s="3"/>
      <c r="B110" s="16" t="s">
        <v>112</v>
      </c>
      <c r="C110" s="3"/>
      <c r="D110" s="26">
        <v>0</v>
      </c>
      <c r="E110" s="16"/>
      <c r="F110" s="14"/>
      <c r="G110" s="3"/>
      <c r="H110" s="26">
        <f>D110</f>
        <v>0</v>
      </c>
      <c r="I110" s="2"/>
      <c r="N110" s="27"/>
    </row>
    <row r="111" spans="1:14" customFormat="1" hidden="1">
      <c r="A111" s="3"/>
      <c r="B111" s="16" t="s">
        <v>113</v>
      </c>
      <c r="C111" s="3"/>
      <c r="D111" s="26">
        <v>0</v>
      </c>
      <c r="E111" s="16"/>
      <c r="F111" s="14"/>
      <c r="G111" s="3"/>
      <c r="H111" s="26">
        <f>D111</f>
        <v>0</v>
      </c>
      <c r="I111" s="2"/>
      <c r="N111" s="27"/>
    </row>
    <row r="112" spans="1:14" customFormat="1" hidden="1">
      <c r="A112" s="3"/>
      <c r="B112" s="16"/>
      <c r="C112" s="3"/>
      <c r="D112" s="26"/>
      <c r="E112" s="16"/>
      <c r="F112" s="14"/>
      <c r="G112" s="3"/>
      <c r="H112" s="26"/>
      <c r="I112" s="2"/>
      <c r="N112" s="27"/>
    </row>
    <row r="113" spans="1:14" customFormat="1" hidden="1">
      <c r="A113" s="3"/>
      <c r="B113" s="16" t="s">
        <v>114</v>
      </c>
      <c r="C113" s="3"/>
      <c r="D113" s="26">
        <v>0</v>
      </c>
      <c r="E113" s="16"/>
      <c r="F113" s="14"/>
      <c r="G113" s="3"/>
      <c r="H113" s="26">
        <f>D113</f>
        <v>0</v>
      </c>
      <c r="I113" s="2"/>
      <c r="N113" s="27"/>
    </row>
    <row r="114" spans="1:14" customFormat="1" ht="11.25" thickBot="1">
      <c r="A114" s="3"/>
      <c r="B114" s="3"/>
      <c r="C114" s="3"/>
      <c r="D114" s="11" t="s">
        <v>14</v>
      </c>
      <c r="E114" s="14" t="s">
        <v>13</v>
      </c>
      <c r="F114" s="11" t="s">
        <v>14</v>
      </c>
      <c r="G114" s="11" t="s">
        <v>14</v>
      </c>
      <c r="H114" s="11" t="s">
        <v>14</v>
      </c>
      <c r="I114" s="11" t="s">
        <v>14</v>
      </c>
      <c r="N114" s="27"/>
    </row>
    <row r="115" spans="1:14" customFormat="1" ht="11.25" thickBot="1">
      <c r="A115" s="3" t="s">
        <v>37</v>
      </c>
      <c r="B115" s="3"/>
      <c r="C115" s="3"/>
      <c r="D115" s="26">
        <f>SUM(D93:D113)</f>
        <v>303182375.5</v>
      </c>
      <c r="E115" s="16"/>
      <c r="F115" s="26">
        <f>SUM(F92:F113)</f>
        <v>0</v>
      </c>
      <c r="G115" s="26">
        <f>SUM(G92:G113)</f>
        <v>0</v>
      </c>
      <c r="H115" s="26">
        <f>SUM(H92:H113)</f>
        <v>303182375.5</v>
      </c>
      <c r="I115" s="26">
        <f>SUM(I92:I105)</f>
        <v>0</v>
      </c>
      <c r="K115" s="36">
        <v>0</v>
      </c>
      <c r="L115" s="24" t="s">
        <v>40</v>
      </c>
      <c r="M115" s="37">
        <f>D115-SUM(F115:I115)</f>
        <v>0</v>
      </c>
      <c r="N115" s="27"/>
    </row>
    <row r="116" spans="1:14" customFormat="1">
      <c r="A116" s="3"/>
      <c r="B116" s="3"/>
      <c r="C116" s="3"/>
      <c r="D116" s="7"/>
      <c r="E116" s="16"/>
      <c r="F116" s="16"/>
      <c r="G116" s="16"/>
      <c r="H116" s="16"/>
      <c r="I116" s="16"/>
      <c r="N116" s="27"/>
    </row>
    <row r="117" spans="1:14" customFormat="1">
      <c r="A117" s="3" t="s">
        <v>43</v>
      </c>
      <c r="B117" s="3"/>
      <c r="C117" s="3"/>
      <c r="D117" s="7"/>
      <c r="E117" s="16"/>
      <c r="F117" s="16"/>
      <c r="G117" s="16"/>
      <c r="H117" s="16"/>
      <c r="I117" s="16"/>
      <c r="N117" s="27"/>
    </row>
    <row r="118" spans="1:14" customFormat="1">
      <c r="A118" s="3"/>
      <c r="B118" s="16" t="s">
        <v>97</v>
      </c>
      <c r="C118" s="3"/>
      <c r="D118" s="26">
        <v>0</v>
      </c>
      <c r="E118" s="16"/>
      <c r="F118" s="14"/>
      <c r="G118" s="3"/>
      <c r="H118" s="26">
        <f>D118</f>
        <v>0</v>
      </c>
      <c r="I118" s="2"/>
      <c r="N118" s="27"/>
    </row>
    <row r="119" spans="1:14">
      <c r="D119" s="11" t="s">
        <v>14</v>
      </c>
      <c r="E119" s="14" t="s">
        <v>13</v>
      </c>
      <c r="F119" s="11" t="s">
        <v>14</v>
      </c>
      <c r="G119" s="11" t="s">
        <v>14</v>
      </c>
      <c r="H119" s="11" t="s">
        <v>14</v>
      </c>
      <c r="I119" s="11" t="s">
        <v>14</v>
      </c>
    </row>
    <row r="120" spans="1:14">
      <c r="A120" s="3" t="s">
        <v>44</v>
      </c>
      <c r="D120" s="26">
        <v>0</v>
      </c>
      <c r="E120" s="16"/>
      <c r="F120" s="26">
        <f>SUM(F118:F118)</f>
        <v>0</v>
      </c>
      <c r="G120" s="26">
        <f>SUM(G118:G118)</f>
        <v>0</v>
      </c>
      <c r="H120" s="26">
        <f>SUM(H118:H118)</f>
        <v>0</v>
      </c>
      <c r="I120" s="26">
        <f>SUM(I118:I118)</f>
        <v>0</v>
      </c>
    </row>
    <row r="121" spans="1:14" ht="11.25" thickBot="1">
      <c r="D121" s="19" t="s">
        <v>38</v>
      </c>
      <c r="E121" s="14" t="s">
        <v>13</v>
      </c>
      <c r="F121" s="19" t="s">
        <v>38</v>
      </c>
      <c r="G121" s="19" t="s">
        <v>38</v>
      </c>
      <c r="H121" s="19" t="s">
        <v>38</v>
      </c>
      <c r="I121" s="19" t="s">
        <v>38</v>
      </c>
    </row>
    <row r="122" spans="1:14" ht="11.25" thickBot="1">
      <c r="A122" s="3" t="s">
        <v>39</v>
      </c>
      <c r="D122" s="26">
        <f>D115+D90+D76+D120-D16</f>
        <v>580716704.70000005</v>
      </c>
      <c r="E122" s="16" t="s">
        <v>13</v>
      </c>
      <c r="F122" s="26">
        <f>F115+F90+F76+F120-F16</f>
        <v>14564456.737647068</v>
      </c>
      <c r="G122" s="26">
        <f>G115+G90+G76+G120-G16</f>
        <v>12377848.491591113</v>
      </c>
      <c r="H122" s="26">
        <f>H115+H90+H76+H120-H16</f>
        <v>303182375.5</v>
      </c>
      <c r="I122" s="26">
        <f>I115+I90+I76+I120-I16</f>
        <v>250592023.97076184</v>
      </c>
      <c r="K122" s="36">
        <v>0</v>
      </c>
      <c r="L122" s="24" t="s">
        <v>40</v>
      </c>
      <c r="M122" s="37">
        <f>D122-SUM(F122:I122)</f>
        <v>0</v>
      </c>
    </row>
    <row r="123" spans="1:14">
      <c r="D123" s="19" t="s">
        <v>38</v>
      </c>
      <c r="E123" s="14" t="s">
        <v>13</v>
      </c>
      <c r="F123" s="19" t="s">
        <v>38</v>
      </c>
      <c r="G123" s="19" t="s">
        <v>38</v>
      </c>
      <c r="H123" s="19" t="s">
        <v>38</v>
      </c>
      <c r="I123" s="19" t="s">
        <v>38</v>
      </c>
    </row>
  </sheetData>
  <mergeCells count="1">
    <mergeCell ref="A4:C4"/>
  </mergeCells>
  <pageMargins left="0.65" right="0.72" top="1" bottom="1" header="0.5" footer="0.5"/>
  <pageSetup scale="67" orientation="portrait" r:id="rId1"/>
  <headerFooter alignWithMargins="0">
    <oddHeader>&amp;L&amp;"Arial,Regular"&amp;10WA UE-130043
Bench Request 9&amp;R&amp;"Arial,Bold"&amp;10Attachment Bench Request 9</oddHeader>
    <oddFooter>&amp;L&amp;"Arial,Regular"&amp;10&amp;F&amp;C&amp;A</oddFooter>
  </headerFooter>
  <rowBreaks count="1" manualBreakCount="1">
    <brk id="69" max="8" man="1"/>
  </rowBreaks>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3">
    <pageSetUpPr fitToPage="1"/>
  </sheetPr>
  <dimension ref="A1:K50"/>
  <sheetViews>
    <sheetView view="pageBreakPreview" zoomScale="85" zoomScaleNormal="100" zoomScaleSheetLayoutView="85" workbookViewId="0">
      <selection activeCell="T91" sqref="T91"/>
    </sheetView>
  </sheetViews>
  <sheetFormatPr defaultRowHeight="12.75"/>
  <cols>
    <col min="1" max="1" width="4.83203125" style="275" customWidth="1"/>
    <col min="2" max="2" width="8" style="275" customWidth="1"/>
    <col min="3" max="3" width="32.83203125" style="275" customWidth="1"/>
    <col min="4" max="4" width="12.33203125" style="275" customWidth="1"/>
    <col min="5" max="5" width="9.33203125" style="276"/>
    <col min="6" max="6" width="17" style="106" customWidth="1"/>
    <col min="7" max="7" width="9.33203125" style="276"/>
    <col min="8" max="8" width="12" style="276" bestFit="1" customWidth="1"/>
    <col min="9" max="9" width="15.33203125" style="276" bestFit="1" customWidth="1"/>
    <col min="10" max="16384" width="9.33203125" style="275"/>
  </cols>
  <sheetData>
    <row r="1" spans="1:10">
      <c r="A1" s="274" t="s">
        <v>118</v>
      </c>
      <c r="B1" s="274"/>
      <c r="I1" s="277" t="s">
        <v>272</v>
      </c>
      <c r="J1" s="296" t="s">
        <v>301</v>
      </c>
    </row>
    <row r="2" spans="1:10">
      <c r="A2" s="274" t="s">
        <v>255</v>
      </c>
      <c r="B2" s="274"/>
    </row>
    <row r="3" spans="1:10">
      <c r="A3" s="274" t="s">
        <v>324</v>
      </c>
      <c r="B3" s="274"/>
    </row>
    <row r="5" spans="1:10">
      <c r="F5" s="105" t="s">
        <v>274</v>
      </c>
      <c r="I5" s="276" t="s">
        <v>126</v>
      </c>
    </row>
    <row r="6" spans="1:10" ht="15">
      <c r="D6" s="279" t="s">
        <v>275</v>
      </c>
      <c r="E6" s="279" t="s">
        <v>276</v>
      </c>
      <c r="F6" s="280" t="s">
        <v>277</v>
      </c>
      <c r="G6" s="279" t="s">
        <v>278</v>
      </c>
      <c r="H6" s="279" t="s">
        <v>134</v>
      </c>
      <c r="I6" s="279" t="s">
        <v>279</v>
      </c>
      <c r="J6" s="279" t="s">
        <v>280</v>
      </c>
    </row>
    <row r="7" spans="1:10" ht="15">
      <c r="B7" s="274" t="s">
        <v>281</v>
      </c>
      <c r="C7" s="281"/>
      <c r="D7" s="279"/>
      <c r="E7" s="279"/>
      <c r="F7" s="280"/>
      <c r="G7" s="279"/>
      <c r="H7" s="279"/>
      <c r="I7" s="279"/>
      <c r="J7" s="279"/>
    </row>
    <row r="8" spans="1:10" ht="15">
      <c r="B8" s="274"/>
      <c r="C8" s="281"/>
      <c r="D8" s="279"/>
      <c r="E8" s="279"/>
      <c r="F8" s="280"/>
      <c r="G8" s="279"/>
      <c r="H8" s="279"/>
      <c r="I8" s="279"/>
      <c r="J8" s="279"/>
    </row>
    <row r="9" spans="1:10">
      <c r="B9" s="274" t="s">
        <v>137</v>
      </c>
      <c r="C9" s="281"/>
    </row>
    <row r="10" spans="1:10">
      <c r="B10" s="281" t="s">
        <v>138</v>
      </c>
      <c r="C10" s="281"/>
      <c r="D10" s="282" t="s">
        <v>139</v>
      </c>
      <c r="E10" s="283" t="s">
        <v>286</v>
      </c>
      <c r="F10" s="106">
        <f>'9.1 - Summary '!BG15</f>
        <v>0</v>
      </c>
      <c r="G10" s="276" t="s">
        <v>140</v>
      </c>
      <c r="H10" s="284">
        <v>0.2262649010137</v>
      </c>
      <c r="I10" s="276">
        <f>F10*H10</f>
        <v>0</v>
      </c>
      <c r="J10" s="276"/>
    </row>
    <row r="11" spans="1:10">
      <c r="B11" s="281" t="s">
        <v>141</v>
      </c>
      <c r="C11" s="281"/>
      <c r="D11" s="282" t="s">
        <v>139</v>
      </c>
      <c r="E11" s="283" t="s">
        <v>286</v>
      </c>
      <c r="F11" s="106">
        <f>'9.1 - Summary '!BG16</f>
        <v>0</v>
      </c>
      <c r="G11" s="276" t="s">
        <v>140</v>
      </c>
      <c r="H11" s="284">
        <v>0.2262649010137</v>
      </c>
      <c r="I11" s="276">
        <f t="shared" ref="I11:I12" si="0">F11*H11</f>
        <v>0</v>
      </c>
      <c r="J11" s="276"/>
    </row>
    <row r="12" spans="1:10">
      <c r="B12" s="281" t="s">
        <v>142</v>
      </c>
      <c r="C12" s="281"/>
      <c r="D12" s="282" t="s">
        <v>139</v>
      </c>
      <c r="E12" s="283" t="s">
        <v>286</v>
      </c>
      <c r="F12" s="106">
        <f>'9.1 - Summary '!BG17</f>
        <v>0</v>
      </c>
      <c r="G12" s="276" t="s">
        <v>143</v>
      </c>
      <c r="H12" s="284">
        <v>0.22648067236840891</v>
      </c>
      <c r="I12" s="276">
        <f t="shared" si="0"/>
        <v>0</v>
      </c>
    </row>
    <row r="13" spans="1:10">
      <c r="B13" s="281" t="s">
        <v>144</v>
      </c>
      <c r="C13" s="281"/>
      <c r="D13" s="282"/>
      <c r="E13" s="283"/>
      <c r="F13" s="285">
        <f>SUM(F10:F12)</f>
        <v>0</v>
      </c>
      <c r="H13" s="284"/>
      <c r="I13" s="285">
        <f>SUM(I10:I12)</f>
        <v>0</v>
      </c>
      <c r="J13" s="282" t="s">
        <v>340</v>
      </c>
    </row>
    <row r="14" spans="1:10">
      <c r="B14" s="281"/>
      <c r="C14" s="286"/>
      <c r="D14" s="282"/>
      <c r="E14" s="283"/>
      <c r="H14" s="284"/>
    </row>
    <row r="15" spans="1:10">
      <c r="B15" s="274" t="s">
        <v>145</v>
      </c>
      <c r="C15" s="286"/>
      <c r="D15" s="282"/>
      <c r="E15" s="283"/>
      <c r="H15" s="284"/>
    </row>
    <row r="16" spans="1:10">
      <c r="B16" s="281" t="s">
        <v>146</v>
      </c>
      <c r="C16" s="286"/>
      <c r="D16" s="282" t="s">
        <v>147</v>
      </c>
      <c r="E16" s="283" t="s">
        <v>286</v>
      </c>
      <c r="F16" s="106">
        <f>'9.1 - Summary '!BG21</f>
        <v>0</v>
      </c>
      <c r="G16" s="276" t="s">
        <v>140</v>
      </c>
      <c r="H16" s="284">
        <v>0.2262649010137</v>
      </c>
      <c r="I16" s="276">
        <f t="shared" ref="I16:I20" si="1">F16*H16</f>
        <v>0</v>
      </c>
      <c r="J16" s="276"/>
    </row>
    <row r="17" spans="2:10">
      <c r="B17" s="281" t="s">
        <v>148</v>
      </c>
      <c r="C17" s="286"/>
      <c r="D17" s="282" t="s">
        <v>147</v>
      </c>
      <c r="E17" s="283" t="s">
        <v>286</v>
      </c>
      <c r="F17" s="106">
        <f>'9.1 - Summary '!BG22</f>
        <v>0</v>
      </c>
      <c r="G17" s="276" t="s">
        <v>143</v>
      </c>
      <c r="H17" s="284">
        <v>0.22648067236840891</v>
      </c>
      <c r="I17" s="276">
        <f t="shared" si="1"/>
        <v>0</v>
      </c>
      <c r="J17" s="276"/>
    </row>
    <row r="18" spans="2:10">
      <c r="B18" s="281" t="s">
        <v>149</v>
      </c>
      <c r="C18" s="286"/>
      <c r="D18" s="282" t="s">
        <v>147</v>
      </c>
      <c r="E18" s="283" t="s">
        <v>286</v>
      </c>
      <c r="F18" s="106">
        <f>'9.1 - Summary '!BG23</f>
        <v>0</v>
      </c>
      <c r="G18" s="276" t="s">
        <v>140</v>
      </c>
      <c r="H18" s="284">
        <v>0.2262649010137</v>
      </c>
      <c r="I18" s="276">
        <f t="shared" si="1"/>
        <v>0</v>
      </c>
      <c r="J18" s="276"/>
    </row>
    <row r="19" spans="2:10">
      <c r="B19" s="281" t="s">
        <v>150</v>
      </c>
      <c r="C19" s="286"/>
      <c r="D19" s="282" t="s">
        <v>147</v>
      </c>
      <c r="E19" s="283" t="s">
        <v>286</v>
      </c>
      <c r="F19" s="106">
        <f>'9.1 - Summary '!BG24</f>
        <v>0</v>
      </c>
      <c r="G19" s="276" t="s">
        <v>140</v>
      </c>
      <c r="H19" s="284">
        <v>0.2262649010137</v>
      </c>
      <c r="I19" s="276">
        <f t="shared" si="1"/>
        <v>0</v>
      </c>
      <c r="J19" s="276"/>
    </row>
    <row r="20" spans="2:10">
      <c r="B20" s="281" t="s">
        <v>151</v>
      </c>
      <c r="C20" s="281"/>
      <c r="D20" s="282" t="s">
        <v>147</v>
      </c>
      <c r="E20" s="283" t="s">
        <v>286</v>
      </c>
      <c r="F20" s="106">
        <f>'9.1 - Summary '!BG25</f>
        <v>0</v>
      </c>
      <c r="G20" s="276" t="s">
        <v>140</v>
      </c>
      <c r="H20" s="284">
        <v>0.2262649010137</v>
      </c>
      <c r="I20" s="276">
        <f t="shared" si="1"/>
        <v>0</v>
      </c>
    </row>
    <row r="21" spans="2:10">
      <c r="B21" s="281" t="s">
        <v>152</v>
      </c>
      <c r="C21" s="281"/>
      <c r="D21" s="282"/>
      <c r="E21" s="283"/>
      <c r="F21" s="285">
        <f>SUM(F16:F20)</f>
        <v>0</v>
      </c>
      <c r="H21" s="284"/>
      <c r="I21" s="285">
        <f>SUM(I16:I20)</f>
        <v>0</v>
      </c>
      <c r="J21" s="282" t="s">
        <v>340</v>
      </c>
    </row>
    <row r="22" spans="2:10">
      <c r="B22" s="281"/>
      <c r="C22" s="281"/>
      <c r="D22" s="282"/>
      <c r="E22" s="283"/>
      <c r="H22" s="284"/>
    </row>
    <row r="23" spans="2:10">
      <c r="B23" s="274" t="s">
        <v>153</v>
      </c>
      <c r="C23" s="281"/>
      <c r="D23" s="282"/>
      <c r="E23" s="283"/>
      <c r="H23" s="284"/>
      <c r="J23" s="276"/>
    </row>
    <row r="24" spans="2:10">
      <c r="B24" s="281" t="s">
        <v>154</v>
      </c>
      <c r="C24" s="281"/>
      <c r="D24" s="282" t="s">
        <v>155</v>
      </c>
      <c r="E24" s="283" t="s">
        <v>286</v>
      </c>
      <c r="F24" s="106">
        <f>'9.1 - Summary '!BG29</f>
        <v>0</v>
      </c>
      <c r="G24" s="276" t="s">
        <v>140</v>
      </c>
      <c r="H24" s="284">
        <v>0.2262649010137</v>
      </c>
      <c r="I24" s="276">
        <f t="shared" ref="I24:I26" si="2">F24*H24</f>
        <v>0</v>
      </c>
      <c r="J24" s="276"/>
    </row>
    <row r="25" spans="2:10">
      <c r="B25" s="281" t="s">
        <v>156</v>
      </c>
      <c r="C25" s="286"/>
      <c r="D25" s="282" t="s">
        <v>155</v>
      </c>
      <c r="E25" s="283" t="s">
        <v>286</v>
      </c>
      <c r="F25" s="106">
        <f>'9.1 - Summary '!BG30</f>
        <v>565440</v>
      </c>
      <c r="G25" s="276" t="s">
        <v>140</v>
      </c>
      <c r="H25" s="284">
        <v>0.2262649010137</v>
      </c>
      <c r="I25" s="276">
        <f t="shared" si="2"/>
        <v>127939.22562918653</v>
      </c>
      <c r="J25" s="276"/>
    </row>
    <row r="26" spans="2:10">
      <c r="B26" s="281" t="s">
        <v>157</v>
      </c>
      <c r="C26" s="286"/>
      <c r="D26" s="282" t="s">
        <v>155</v>
      </c>
      <c r="E26" s="283" t="s">
        <v>286</v>
      </c>
      <c r="F26" s="106">
        <f>'9.1 - Summary '!BG31</f>
        <v>0</v>
      </c>
      <c r="G26" s="276" t="s">
        <v>143</v>
      </c>
      <c r="H26" s="284">
        <v>0.22648067236840891</v>
      </c>
      <c r="I26" s="276">
        <f t="shared" si="2"/>
        <v>0</v>
      </c>
      <c r="J26" s="276"/>
    </row>
    <row r="27" spans="2:10">
      <c r="B27" s="281" t="s">
        <v>158</v>
      </c>
      <c r="C27" s="281"/>
      <c r="D27" s="282"/>
      <c r="E27" s="283"/>
      <c r="F27" s="285">
        <f>SUM(F24:F26)</f>
        <v>565440</v>
      </c>
      <c r="H27" s="284"/>
      <c r="I27" s="285">
        <f>SUM(I24:I26)</f>
        <v>127939.22562918653</v>
      </c>
      <c r="J27" s="282" t="s">
        <v>340</v>
      </c>
    </row>
    <row r="28" spans="2:10">
      <c r="B28" s="281"/>
      <c r="C28" s="281"/>
      <c r="D28" s="282"/>
      <c r="E28" s="283"/>
      <c r="H28" s="284"/>
    </row>
    <row r="29" spans="2:10">
      <c r="B29" s="274" t="s">
        <v>159</v>
      </c>
      <c r="C29" s="274"/>
      <c r="D29" s="282"/>
      <c r="E29" s="283"/>
      <c r="H29" s="284"/>
      <c r="J29" s="276"/>
    </row>
    <row r="30" spans="2:10">
      <c r="B30" s="281" t="s">
        <v>160</v>
      </c>
      <c r="C30" s="274"/>
      <c r="D30" s="282" t="s">
        <v>161</v>
      </c>
      <c r="E30" s="283" t="s">
        <v>286</v>
      </c>
      <c r="F30" s="106">
        <f>'9.1 - Summary '!BG35</f>
        <v>0</v>
      </c>
      <c r="G30" s="276" t="s">
        <v>143</v>
      </c>
      <c r="H30" s="284">
        <v>0.22648067236840891</v>
      </c>
      <c r="I30" s="276">
        <f t="shared" ref="I30:I31" si="3">F30*H30</f>
        <v>0</v>
      </c>
      <c r="J30" s="276"/>
    </row>
    <row r="31" spans="2:10">
      <c r="B31" s="281" t="s">
        <v>162</v>
      </c>
      <c r="C31" s="274"/>
      <c r="D31" s="282" t="s">
        <v>163</v>
      </c>
      <c r="E31" s="283" t="s">
        <v>286</v>
      </c>
      <c r="F31" s="106">
        <f>'9.1 - Summary '!BG36</f>
        <v>0</v>
      </c>
      <c r="G31" s="276" t="s">
        <v>143</v>
      </c>
      <c r="H31" s="284">
        <v>0.22648067236840891</v>
      </c>
      <c r="I31" s="276">
        <f t="shared" si="3"/>
        <v>0</v>
      </c>
    </row>
    <row r="32" spans="2:10">
      <c r="B32" s="281" t="s">
        <v>164</v>
      </c>
      <c r="C32" s="274"/>
      <c r="D32" s="282"/>
      <c r="E32" s="283"/>
      <c r="F32" s="285">
        <f>SUM(F30:F31)</f>
        <v>0</v>
      </c>
      <c r="H32" s="287"/>
      <c r="I32" s="285">
        <f>SUM(I30:I31)</f>
        <v>0</v>
      </c>
      <c r="J32" s="282" t="s">
        <v>340</v>
      </c>
    </row>
    <row r="33" spans="1:11">
      <c r="B33" s="291"/>
      <c r="C33" s="274"/>
      <c r="D33" s="282"/>
      <c r="E33" s="283"/>
      <c r="H33" s="287"/>
      <c r="I33" s="106"/>
      <c r="J33" s="276"/>
    </row>
    <row r="34" spans="1:11">
      <c r="B34" s="288" t="s">
        <v>284</v>
      </c>
      <c r="C34" s="274"/>
      <c r="D34" s="282"/>
      <c r="E34" s="283"/>
      <c r="F34" s="285">
        <f>-F13+F21+F27+F32</f>
        <v>565440</v>
      </c>
      <c r="H34" s="287"/>
      <c r="I34" s="285">
        <f>-I13+I21+I27+I32</f>
        <v>127939.22562918653</v>
      </c>
      <c r="J34" s="276"/>
    </row>
    <row r="35" spans="1:11">
      <c r="C35" s="274"/>
      <c r="F35" s="289"/>
      <c r="J35" s="276"/>
    </row>
    <row r="36" spans="1:11">
      <c r="C36" s="274"/>
      <c r="F36" s="289"/>
      <c r="J36" s="276"/>
    </row>
    <row r="37" spans="1:11">
      <c r="C37" s="274"/>
      <c r="F37" s="289"/>
      <c r="J37" s="276"/>
    </row>
    <row r="42" spans="1:11" ht="13.5" thickBot="1">
      <c r="B42" s="290" t="s">
        <v>283</v>
      </c>
    </row>
    <row r="43" spans="1:11" ht="12.75" customHeight="1">
      <c r="A43" s="359" t="s">
        <v>412</v>
      </c>
      <c r="B43" s="360"/>
      <c r="C43" s="360"/>
      <c r="D43" s="360"/>
      <c r="E43" s="360"/>
      <c r="F43" s="360"/>
      <c r="G43" s="360"/>
      <c r="H43" s="360"/>
      <c r="I43" s="360"/>
      <c r="J43" s="361"/>
      <c r="K43" s="292"/>
    </row>
    <row r="44" spans="1:11">
      <c r="A44" s="362"/>
      <c r="B44" s="363"/>
      <c r="C44" s="363"/>
      <c r="D44" s="363"/>
      <c r="E44" s="363"/>
      <c r="F44" s="363"/>
      <c r="G44" s="363"/>
      <c r="H44" s="363"/>
      <c r="I44" s="363"/>
      <c r="J44" s="364"/>
      <c r="K44" s="292"/>
    </row>
    <row r="45" spans="1:11">
      <c r="A45" s="362"/>
      <c r="B45" s="363"/>
      <c r="C45" s="363"/>
      <c r="D45" s="363"/>
      <c r="E45" s="363"/>
      <c r="F45" s="363"/>
      <c r="G45" s="363"/>
      <c r="H45" s="363"/>
      <c r="I45" s="363"/>
      <c r="J45" s="364"/>
      <c r="K45" s="292"/>
    </row>
    <row r="46" spans="1:11">
      <c r="A46" s="362"/>
      <c r="B46" s="363"/>
      <c r="C46" s="363"/>
      <c r="D46" s="363"/>
      <c r="E46" s="363"/>
      <c r="F46" s="363"/>
      <c r="G46" s="363"/>
      <c r="H46" s="363"/>
      <c r="I46" s="363"/>
      <c r="J46" s="364"/>
      <c r="K46" s="292"/>
    </row>
    <row r="47" spans="1:11">
      <c r="A47" s="362"/>
      <c r="B47" s="363"/>
      <c r="C47" s="363"/>
      <c r="D47" s="363"/>
      <c r="E47" s="363"/>
      <c r="F47" s="363"/>
      <c r="G47" s="363"/>
      <c r="H47" s="363"/>
      <c r="I47" s="363"/>
      <c r="J47" s="364"/>
      <c r="K47" s="292"/>
    </row>
    <row r="48" spans="1:11">
      <c r="A48" s="362"/>
      <c r="B48" s="363"/>
      <c r="C48" s="363"/>
      <c r="D48" s="363"/>
      <c r="E48" s="363"/>
      <c r="F48" s="363"/>
      <c r="G48" s="363"/>
      <c r="H48" s="363"/>
      <c r="I48" s="363"/>
      <c r="J48" s="364"/>
      <c r="K48" s="292"/>
    </row>
    <row r="49" spans="1:11">
      <c r="A49" s="362"/>
      <c r="B49" s="363"/>
      <c r="C49" s="363"/>
      <c r="D49" s="363"/>
      <c r="E49" s="363"/>
      <c r="F49" s="363"/>
      <c r="G49" s="363"/>
      <c r="H49" s="363"/>
      <c r="I49" s="363"/>
      <c r="J49" s="364"/>
      <c r="K49" s="292"/>
    </row>
    <row r="50" spans="1:11" ht="13.5" thickBot="1">
      <c r="A50" s="365"/>
      <c r="B50" s="366"/>
      <c r="C50" s="366"/>
      <c r="D50" s="366"/>
      <c r="E50" s="366"/>
      <c r="F50" s="366"/>
      <c r="G50" s="366"/>
      <c r="H50" s="366"/>
      <c r="I50" s="366"/>
      <c r="J50" s="367"/>
      <c r="K50" s="292"/>
    </row>
  </sheetData>
  <mergeCells count="1">
    <mergeCell ref="A43:J50"/>
  </mergeCells>
  <conditionalFormatting sqref="B9:B26">
    <cfRule type="cellIs" dxfId="26" priority="3" stopIfTrue="1" operator="equal">
      <formula>"Adjustment to Income/Expense/Rate Base:"</formula>
    </cfRule>
  </conditionalFormatting>
  <conditionalFormatting sqref="B20:B22">
    <cfRule type="cellIs" dxfId="25" priority="2" stopIfTrue="1" operator="equal">
      <formula>"Title"</formula>
    </cfRule>
  </conditionalFormatting>
  <conditionalFormatting sqref="B27:B34">
    <cfRule type="cellIs" dxfId="24" priority="1" stopIfTrue="1" operator="equal">
      <formula>"Adjustment to Income/Expense/Rate Base:"</formula>
    </cfRule>
  </conditionalFormatting>
  <pageMargins left="0.65" right="0.72" top="1" bottom="1" header="0.5" footer="0.5"/>
  <pageSetup scale="77" orientation="portrait" r:id="rId1"/>
  <headerFooter alignWithMargins="0">
    <oddHeader>&amp;L&amp;"Arial,Regular"&amp;10WA UE-130043
Bench Request 9&amp;R&amp;"Arial,Bold"&amp;10Attachment Bench Request 9</oddHeader>
    <oddFooter>&amp;L&amp;"Arial,Regular"&amp;10&amp;F&amp;C&amp;A</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pageSetUpPr fitToPage="1"/>
  </sheetPr>
  <dimension ref="A1:S123"/>
  <sheetViews>
    <sheetView view="pageBreakPreview" zoomScale="85" zoomScaleNormal="85" zoomScaleSheetLayoutView="85" workbookViewId="0">
      <pane xSplit="3" ySplit="6" topLeftCell="D7" activePane="bottomRight" state="frozen"/>
      <selection activeCell="T91" sqref="T91"/>
      <selection pane="topRight" activeCell="T91" sqref="T91"/>
      <selection pane="bottomLeft" activeCell="T91" sqref="T91"/>
      <selection pane="bottomRight" activeCell="T91" sqref="T91"/>
    </sheetView>
  </sheetViews>
  <sheetFormatPr defaultColWidth="11" defaultRowHeight="10.5"/>
  <cols>
    <col min="1" max="1" width="3" style="3" customWidth="1"/>
    <col min="2" max="2" width="2.6640625" style="3" customWidth="1"/>
    <col min="3" max="3" width="33.1640625" style="3" customWidth="1"/>
    <col min="4" max="4" width="13.83203125" style="3" customWidth="1"/>
    <col min="5" max="5" width="2.33203125" style="3" customWidth="1"/>
    <col min="6" max="6" width="15.83203125" style="3" customWidth="1"/>
    <col min="7" max="8" width="13.33203125" style="3" bestFit="1" customWidth="1"/>
    <col min="9" max="9" width="13.83203125" style="3" bestFit="1" customWidth="1"/>
    <col min="10" max="10" width="11" style="3" customWidth="1"/>
    <col min="11" max="11" width="14.5" style="3" customWidth="1"/>
    <col min="12" max="12" width="11" style="3" customWidth="1"/>
    <col min="13" max="13" width="14.1640625" style="3" bestFit="1" customWidth="1"/>
    <col min="14" max="14" width="20.1640625" style="27" bestFit="1" customWidth="1"/>
    <col min="15" max="15" width="15" style="3" bestFit="1" customWidth="1"/>
    <col min="16" max="16" width="14.6640625" style="3" bestFit="1" customWidth="1"/>
    <col min="17" max="16384" width="11" style="3"/>
  </cols>
  <sheetData>
    <row r="1" spans="1:14">
      <c r="A1" s="4" t="s">
        <v>118</v>
      </c>
      <c r="D1"/>
      <c r="E1" s="9"/>
      <c r="F1" s="8" t="s">
        <v>42</v>
      </c>
    </row>
    <row r="2" spans="1:14">
      <c r="A2" s="20"/>
      <c r="D2"/>
      <c r="E2" s="9"/>
      <c r="F2" s="9" t="s">
        <v>0</v>
      </c>
      <c r="K2" s="50"/>
    </row>
    <row r="3" spans="1:14">
      <c r="A3" s="5" t="s">
        <v>52</v>
      </c>
      <c r="D3" s="10"/>
      <c r="E3" s="10"/>
      <c r="F3" s="8" t="s">
        <v>1</v>
      </c>
    </row>
    <row r="4" spans="1:14">
      <c r="A4" s="358">
        <v>41974</v>
      </c>
      <c r="B4" s="358"/>
      <c r="C4" s="358"/>
      <c r="D4" s="10"/>
      <c r="E4" s="10"/>
      <c r="F4" s="9"/>
    </row>
    <row r="5" spans="1:14">
      <c r="B5" s="5"/>
      <c r="D5" s="11" t="s">
        <v>2</v>
      </c>
      <c r="E5" s="11"/>
      <c r="F5" s="12" t="s">
        <v>3</v>
      </c>
      <c r="G5" s="12" t="s">
        <v>3</v>
      </c>
      <c r="H5" s="12"/>
      <c r="I5" s="12"/>
    </row>
    <row r="6" spans="1:14" s="11" customFormat="1">
      <c r="A6" s="3"/>
      <c r="B6" s="3"/>
      <c r="C6" s="3"/>
      <c r="D6" s="41" t="s">
        <v>117</v>
      </c>
      <c r="E6" s="15"/>
      <c r="F6" s="13" t="s">
        <v>4</v>
      </c>
      <c r="G6" s="13" t="s">
        <v>5</v>
      </c>
      <c r="H6" s="13" t="s">
        <v>6</v>
      </c>
      <c r="I6" s="13" t="s">
        <v>7</v>
      </c>
      <c r="N6" s="28"/>
    </row>
    <row r="7" spans="1:14">
      <c r="A7" s="3" t="s">
        <v>8</v>
      </c>
      <c r="F7" s="6"/>
      <c r="G7" s="6"/>
      <c r="H7" s="6"/>
      <c r="I7" s="6"/>
    </row>
    <row r="8" spans="1:14">
      <c r="B8" t="s">
        <v>9</v>
      </c>
      <c r="D8" s="26">
        <v>12964800</v>
      </c>
      <c r="E8" s="16"/>
      <c r="F8" s="26">
        <f>D8</f>
        <v>12964800</v>
      </c>
      <c r="G8"/>
      <c r="H8"/>
      <c r="I8"/>
    </row>
    <row r="9" spans="1:14" hidden="1">
      <c r="B9"/>
      <c r="D9" s="16"/>
      <c r="E9" s="16"/>
      <c r="F9" s="1"/>
      <c r="G9" s="6"/>
      <c r="H9" s="6"/>
      <c r="I9" s="6"/>
    </row>
    <row r="10" spans="1:14">
      <c r="B10" t="s">
        <v>10</v>
      </c>
      <c r="D10" s="26">
        <v>60863806.75</v>
      </c>
      <c r="E10" s="16"/>
      <c r="F10" s="1"/>
      <c r="G10" s="6"/>
      <c r="H10" s="6"/>
      <c r="I10" s="26">
        <f>D10</f>
        <v>60863806.75</v>
      </c>
    </row>
    <row r="11" spans="1:14" hidden="1">
      <c r="B11"/>
      <c r="D11" s="16"/>
      <c r="E11" s="16"/>
      <c r="F11" s="1"/>
      <c r="G11" s="6"/>
      <c r="H11" s="6"/>
      <c r="I11" s="6"/>
    </row>
    <row r="12" spans="1:14" hidden="1">
      <c r="B12" t="s">
        <v>11</v>
      </c>
      <c r="D12" s="26">
        <v>0</v>
      </c>
      <c r="E12" s="16"/>
      <c r="F12" s="26">
        <f>D12</f>
        <v>0</v>
      </c>
      <c r="G12" s="6"/>
      <c r="H12" s="6"/>
      <c r="I12" s="6"/>
    </row>
    <row r="13" spans="1:14" hidden="1">
      <c r="C13"/>
      <c r="D13" s="16"/>
      <c r="E13" s="16"/>
      <c r="F13" s="6"/>
      <c r="G13" s="6"/>
      <c r="H13" s="6"/>
      <c r="I13" s="6"/>
    </row>
    <row r="14" spans="1:14" hidden="1">
      <c r="B14" s="3" t="s">
        <v>12</v>
      </c>
      <c r="C14"/>
      <c r="D14" s="26">
        <v>0</v>
      </c>
      <c r="E14" s="16"/>
      <c r="F14" s="6"/>
      <c r="G14" s="6"/>
      <c r="H14" s="26">
        <f>D14</f>
        <v>0</v>
      </c>
      <c r="I14" s="6"/>
    </row>
    <row r="15" spans="1:14" ht="11.25" thickBot="1">
      <c r="D15" s="11" t="s">
        <v>14</v>
      </c>
      <c r="E15" s="14" t="s">
        <v>13</v>
      </c>
      <c r="F15" s="11" t="s">
        <v>14</v>
      </c>
      <c r="G15" s="11" t="s">
        <v>14</v>
      </c>
      <c r="H15" s="11" t="s">
        <v>14</v>
      </c>
      <c r="I15" s="11" t="s">
        <v>14</v>
      </c>
    </row>
    <row r="16" spans="1:14" ht="11.25" thickBot="1">
      <c r="A16" s="3" t="s">
        <v>15</v>
      </c>
      <c r="D16" s="26">
        <f>SUM(D8:D14)</f>
        <v>73828606.75</v>
      </c>
      <c r="E16" s="16"/>
      <c r="F16" s="26">
        <f>SUM(F8:F14)</f>
        <v>12964800</v>
      </c>
      <c r="G16" s="26">
        <f>SUM(G8:G14)</f>
        <v>0</v>
      </c>
      <c r="H16" s="26">
        <f>SUM(H8:H14)</f>
        <v>0</v>
      </c>
      <c r="I16" s="26">
        <f>SUM(I8:I14)</f>
        <v>60863806.75</v>
      </c>
      <c r="K16" s="36">
        <v>0</v>
      </c>
      <c r="L16" s="24" t="s">
        <v>40</v>
      </c>
      <c r="M16" s="37">
        <f>D16-SUM(F16:I16)</f>
        <v>0</v>
      </c>
    </row>
    <row r="17" spans="1:19">
      <c r="D17" s="16"/>
      <c r="E17" s="16"/>
      <c r="F17" s="16"/>
      <c r="G17" s="16"/>
      <c r="H17" s="16"/>
      <c r="I17" s="16"/>
      <c r="P17" s="8" t="s">
        <v>67</v>
      </c>
    </row>
    <row r="18" spans="1:19">
      <c r="D18"/>
      <c r="E18" s="6"/>
      <c r="F18" s="6"/>
      <c r="G18" s="6"/>
      <c r="H18" s="6"/>
      <c r="I18" s="6"/>
      <c r="N18" s="39"/>
      <c r="O18" s="35"/>
      <c r="P18" s="48">
        <f>+A4</f>
        <v>41974</v>
      </c>
    </row>
    <row r="19" spans="1:19" ht="11.25">
      <c r="A19" s="3" t="s">
        <v>16</v>
      </c>
      <c r="D19" s="16"/>
      <c r="E19" s="16"/>
      <c r="F19" s="45"/>
      <c r="G19" s="6"/>
      <c r="H19" s="6"/>
      <c r="I19" s="6"/>
      <c r="N19" s="29" t="s">
        <v>56</v>
      </c>
      <c r="O19" s="42">
        <v>0.42634034956164213</v>
      </c>
      <c r="P19" s="16">
        <v>14785516.07</v>
      </c>
      <c r="Q19" s="44"/>
      <c r="R19" s="30"/>
      <c r="S19" s="16"/>
    </row>
    <row r="20" spans="1:19" ht="11.25" hidden="1">
      <c r="B20"/>
      <c r="C20" s="3" t="s">
        <v>17</v>
      </c>
      <c r="D20" s="26">
        <v>0</v>
      </c>
      <c r="E20" s="16"/>
      <c r="F20" s="26">
        <f>D20</f>
        <v>0</v>
      </c>
      <c r="G20" s="6"/>
      <c r="H20" s="6"/>
      <c r="I20" s="6"/>
      <c r="N20" s="29" t="s">
        <v>58</v>
      </c>
      <c r="O20" s="42">
        <f>1-O19</f>
        <v>0.57365965043835787</v>
      </c>
      <c r="P20" s="16">
        <v>19894560.739999998</v>
      </c>
      <c r="Q20" s="44"/>
      <c r="R20" s="30"/>
      <c r="S20" s="16"/>
    </row>
    <row r="21" spans="1:19" ht="11.25" hidden="1">
      <c r="B21"/>
      <c r="C21" s="3" t="s">
        <v>18</v>
      </c>
      <c r="D21" s="26">
        <v>0</v>
      </c>
      <c r="E21" s="16"/>
      <c r="F21" s="26">
        <f>D21-G21</f>
        <v>0</v>
      </c>
      <c r="G21" s="26">
        <v>0</v>
      </c>
      <c r="H21" s="6"/>
      <c r="I21" s="6"/>
      <c r="N21" s="29" t="s">
        <v>57</v>
      </c>
      <c r="O21" s="42">
        <f>IFERROR(P21/(P21+P22),0)</f>
        <v>0</v>
      </c>
      <c r="P21" s="16">
        <v>0</v>
      </c>
      <c r="Q21" s="44"/>
      <c r="R21" s="30"/>
      <c r="S21" s="16"/>
    </row>
    <row r="22" spans="1:19" ht="11.25">
      <c r="B22"/>
      <c r="C22" s="3" t="s">
        <v>19</v>
      </c>
      <c r="D22" s="26">
        <v>-148246.80999999959</v>
      </c>
      <c r="E22" s="16"/>
      <c r="F22" s="26">
        <f>D22*0.3</f>
        <v>-44474.042999999874</v>
      </c>
      <c r="G22" s="26">
        <f>D22*0.7</f>
        <v>-103772.7669999997</v>
      </c>
      <c r="H22" s="6"/>
      <c r="I22" s="6"/>
      <c r="N22" s="29" t="s">
        <v>59</v>
      </c>
      <c r="O22" s="42">
        <f>1-O21</f>
        <v>1</v>
      </c>
      <c r="P22" s="16">
        <v>0</v>
      </c>
      <c r="Q22" s="44"/>
      <c r="R22" s="30"/>
      <c r="S22" s="16"/>
    </row>
    <row r="23" spans="1:19">
      <c r="B23"/>
      <c r="C23" s="3" t="s">
        <v>20</v>
      </c>
      <c r="D23" s="26">
        <v>270000</v>
      </c>
      <c r="E23" s="16"/>
      <c r="F23" s="26">
        <f>D23*0.2073628</f>
        <v>55987.956000000006</v>
      </c>
      <c r="G23" s="26">
        <f>D23-F23</f>
        <v>214012.04399999999</v>
      </c>
      <c r="H23" s="6"/>
      <c r="I23" s="6"/>
    </row>
    <row r="24" spans="1:19">
      <c r="B24"/>
      <c r="C24" s="3" t="s">
        <v>21</v>
      </c>
      <c r="D24" s="26">
        <f>N27</f>
        <v>76897305.959999993</v>
      </c>
      <c r="E24" s="16"/>
      <c r="F24" s="31">
        <f>(N25+N24*O19)*K24</f>
        <v>2517906.851172646</v>
      </c>
      <c r="G24" s="31">
        <f>(N25+N24*O19)*L24</f>
        <v>12267609.214563949</v>
      </c>
      <c r="H24" s="6"/>
      <c r="I24" s="31">
        <f>(N26+N24*O20)</f>
        <v>62111789.894263402</v>
      </c>
      <c r="K24" s="25">
        <v>0.17029549999999999</v>
      </c>
      <c r="L24" s="25">
        <f>1-K24</f>
        <v>0.82970450000000007</v>
      </c>
      <c r="N24" s="26">
        <v>34680076.799999997</v>
      </c>
      <c r="O24" t="s">
        <v>53</v>
      </c>
    </row>
    <row r="25" spans="1:19">
      <c r="B25"/>
      <c r="C25" s="49" t="s">
        <v>90</v>
      </c>
      <c r="D25" s="26">
        <v>0</v>
      </c>
      <c r="E25" s="16"/>
      <c r="F25" s="6"/>
      <c r="G25" s="26">
        <f>D25</f>
        <v>0</v>
      </c>
      <c r="H25" s="6"/>
      <c r="I25" s="26"/>
      <c r="N25" s="26">
        <v>0</v>
      </c>
      <c r="O25" t="s">
        <v>50</v>
      </c>
    </row>
    <row r="26" spans="1:19">
      <c r="B26" s="40" t="s">
        <v>65</v>
      </c>
      <c r="C26" s="14"/>
      <c r="D26" s="11" t="s">
        <v>14</v>
      </c>
      <c r="E26" s="14" t="s">
        <v>13</v>
      </c>
      <c r="F26" s="11" t="s">
        <v>14</v>
      </c>
      <c r="G26" s="11" t="s">
        <v>14</v>
      </c>
      <c r="H26" s="11" t="s">
        <v>14</v>
      </c>
      <c r="I26" s="11" t="s">
        <v>14</v>
      </c>
      <c r="K26" s="25"/>
      <c r="L26" s="25"/>
      <c r="N26" s="43">
        <v>42217229.159999996</v>
      </c>
      <c r="O26" t="s">
        <v>49</v>
      </c>
    </row>
    <row r="27" spans="1:19">
      <c r="B27" s="3" t="s">
        <v>22</v>
      </c>
      <c r="C27"/>
      <c r="D27" s="26">
        <f>SUM(D20:D26)</f>
        <v>77019059.149999991</v>
      </c>
      <c r="E27" s="16"/>
      <c r="F27" s="26">
        <f>SUM(F20:F26)</f>
        <v>2529420.7641726462</v>
      </c>
      <c r="G27" s="26">
        <f>SUM(G20:G26)</f>
        <v>12377848.49156395</v>
      </c>
      <c r="H27" s="26">
        <f>SUM(H20:H26)</f>
        <v>0</v>
      </c>
      <c r="I27" s="26">
        <f>SUM(I20:I26)</f>
        <v>62111789.894263402</v>
      </c>
      <c r="K27" s="25"/>
      <c r="L27" s="25"/>
      <c r="N27" s="26">
        <f>SUM(N24:N26)</f>
        <v>76897305.959999993</v>
      </c>
      <c r="O27"/>
    </row>
    <row r="28" spans="1:19" ht="12.75">
      <c r="D28" s="1"/>
      <c r="E28" s="16"/>
      <c r="F28" s="1"/>
      <c r="G28" s="1"/>
      <c r="H28" s="6"/>
      <c r="I28" s="6"/>
      <c r="K28" s="25"/>
      <c r="L28" s="25"/>
      <c r="N28" s="34"/>
      <c r="O28" s="32"/>
    </row>
    <row r="29" spans="1:19" hidden="1">
      <c r="B29"/>
      <c r="C29" s="3" t="s">
        <v>41</v>
      </c>
      <c r="D29" s="26">
        <v>0</v>
      </c>
      <c r="E29" s="16"/>
      <c r="F29" s="26"/>
      <c r="G29" s="26">
        <f>D29</f>
        <v>0</v>
      </c>
      <c r="H29" s="6"/>
      <c r="I29" s="6"/>
      <c r="K29" s="25"/>
      <c r="L29" s="25"/>
      <c r="N29" s="26">
        <v>0</v>
      </c>
      <c r="O29" t="s">
        <v>54</v>
      </c>
    </row>
    <row r="30" spans="1:19" hidden="1">
      <c r="B30"/>
      <c r="C30" s="3" t="s">
        <v>23</v>
      </c>
      <c r="D30" s="26">
        <v>0</v>
      </c>
      <c r="E30" s="16"/>
      <c r="F30" s="26"/>
      <c r="G30" s="26">
        <f>D30</f>
        <v>0</v>
      </c>
      <c r="H30" s="6"/>
      <c r="I30" s="6"/>
      <c r="K30" s="25"/>
      <c r="L30" s="25"/>
      <c r="M30" s="21"/>
      <c r="N30" s="26">
        <v>0</v>
      </c>
      <c r="O30" t="s">
        <v>51</v>
      </c>
    </row>
    <row r="31" spans="1:19" hidden="1">
      <c r="B31"/>
      <c r="C31" s="3" t="s">
        <v>24</v>
      </c>
      <c r="D31" s="26">
        <f>N32</f>
        <v>0</v>
      </c>
      <c r="E31" s="16"/>
      <c r="F31" s="31">
        <f>(N30+N29*O21)*K31</f>
        <v>0</v>
      </c>
      <c r="G31" s="31">
        <f>(N30+N29*O21)*L31</f>
        <v>0</v>
      </c>
      <c r="H31" s="6"/>
      <c r="I31" s="31">
        <f>(N31+N29*O22)</f>
        <v>0</v>
      </c>
      <c r="K31" s="25">
        <v>0.7</v>
      </c>
      <c r="L31" s="25">
        <f>1-K31</f>
        <v>0.30000000000000004</v>
      </c>
      <c r="N31" s="43">
        <v>0</v>
      </c>
      <c r="O31" t="s">
        <v>48</v>
      </c>
    </row>
    <row r="32" spans="1:19" hidden="1">
      <c r="B32"/>
      <c r="C32" s="3" t="s">
        <v>25</v>
      </c>
      <c r="D32" s="26">
        <v>0</v>
      </c>
      <c r="E32" s="16"/>
      <c r="F32" s="26">
        <f>D32</f>
        <v>0</v>
      </c>
      <c r="G32" s="26">
        <v>0</v>
      </c>
      <c r="H32" s="6"/>
      <c r="I32" s="6"/>
      <c r="N32" s="33">
        <f>SUM(N29:N31)</f>
        <v>0</v>
      </c>
      <c r="O32"/>
    </row>
    <row r="33" spans="2:18" hidden="1">
      <c r="B33"/>
      <c r="C33" s="3" t="s">
        <v>89</v>
      </c>
      <c r="D33" s="26">
        <v>0</v>
      </c>
      <c r="E33" s="16"/>
      <c r="F33" s="6"/>
      <c r="G33" s="26">
        <f>D33</f>
        <v>0</v>
      </c>
      <c r="H33" s="6"/>
      <c r="I33" s="6"/>
      <c r="N33" s="33"/>
      <c r="O33"/>
    </row>
    <row r="34" spans="2:18" hidden="1">
      <c r="B34"/>
      <c r="C34" s="3" t="s">
        <v>26</v>
      </c>
      <c r="D34" s="26">
        <v>0</v>
      </c>
      <c r="E34" s="16"/>
      <c r="F34" s="26">
        <v>0</v>
      </c>
      <c r="G34" s="26">
        <v>0</v>
      </c>
      <c r="H34" s="6"/>
      <c r="I34" s="6"/>
    </row>
    <row r="35" spans="2:18" hidden="1">
      <c r="B35" s="40" t="s">
        <v>65</v>
      </c>
      <c r="C35" s="14"/>
      <c r="D35" s="11" t="s">
        <v>14</v>
      </c>
      <c r="E35" s="14" t="s">
        <v>13</v>
      </c>
      <c r="F35" s="11" t="s">
        <v>14</v>
      </c>
      <c r="G35" s="11" t="s">
        <v>14</v>
      </c>
      <c r="H35" s="11" t="s">
        <v>14</v>
      </c>
      <c r="I35" s="11" t="s">
        <v>14</v>
      </c>
      <c r="R35" s="30"/>
    </row>
    <row r="36" spans="2:18" hidden="1">
      <c r="B36" s="3" t="s">
        <v>27</v>
      </c>
      <c r="C36"/>
      <c r="D36" s="26">
        <f>SUM(D29:D35)</f>
        <v>0</v>
      </c>
      <c r="E36" s="16"/>
      <c r="F36" s="26">
        <f>SUM(F29:F35)</f>
        <v>0</v>
      </c>
      <c r="G36" s="26">
        <f>SUM(G29:G35)</f>
        <v>0</v>
      </c>
      <c r="H36" s="26">
        <f>SUM(H29:H35)</f>
        <v>0</v>
      </c>
      <c r="I36" s="26">
        <f>SUM(I29:I35)</f>
        <v>0</v>
      </c>
    </row>
    <row r="37" spans="2:18">
      <c r="D37" s="16"/>
      <c r="E37" s="16"/>
      <c r="F37" s="6"/>
      <c r="G37" s="6"/>
      <c r="H37" s="6"/>
      <c r="I37" s="6"/>
      <c r="N37" s="3"/>
    </row>
    <row r="38" spans="2:18" hidden="1">
      <c r="B38"/>
      <c r="C38" s="3" t="s">
        <v>68</v>
      </c>
      <c r="D38" s="26">
        <v>0</v>
      </c>
      <c r="E38" s="16"/>
      <c r="F38" s="6"/>
      <c r="G38" s="6"/>
      <c r="H38" s="6"/>
      <c r="I38" s="26">
        <f t="shared" ref="I38:I65" si="0">IF(K38="Post Merger",D38,0)</f>
        <v>0</v>
      </c>
      <c r="K38" s="3" t="s">
        <v>10</v>
      </c>
    </row>
    <row r="39" spans="2:18" hidden="1">
      <c r="B39"/>
      <c r="C39" s="3" t="s">
        <v>55</v>
      </c>
      <c r="D39" s="26">
        <v>0</v>
      </c>
      <c r="E39" s="16"/>
      <c r="F39" s="6"/>
      <c r="G39" s="6"/>
      <c r="H39" s="6"/>
      <c r="I39" s="26">
        <f t="shared" si="0"/>
        <v>0</v>
      </c>
      <c r="K39" s="3" t="s">
        <v>10</v>
      </c>
    </row>
    <row r="40" spans="2:18" hidden="1">
      <c r="B40"/>
      <c r="C40" s="3" t="s">
        <v>69</v>
      </c>
      <c r="D40" s="26">
        <v>0</v>
      </c>
      <c r="E40" s="16"/>
      <c r="F40" s="6"/>
      <c r="G40" s="6"/>
      <c r="H40" s="6"/>
      <c r="I40" s="26">
        <f t="shared" si="0"/>
        <v>0</v>
      </c>
      <c r="K40" s="3" t="s">
        <v>10</v>
      </c>
    </row>
    <row r="41" spans="2:18" hidden="1">
      <c r="B41"/>
      <c r="C41" s="3" t="s">
        <v>88</v>
      </c>
      <c r="D41" s="26">
        <v>0</v>
      </c>
      <c r="E41" s="16"/>
      <c r="F41" s="6"/>
      <c r="G41" s="6"/>
      <c r="H41" s="6"/>
      <c r="I41" s="26">
        <f t="shared" si="0"/>
        <v>0</v>
      </c>
      <c r="K41" s="3" t="s">
        <v>10</v>
      </c>
    </row>
    <row r="42" spans="2:18" hidden="1">
      <c r="B42"/>
      <c r="C42" s="3" t="s">
        <v>70</v>
      </c>
      <c r="D42" s="26">
        <v>0</v>
      </c>
      <c r="E42" s="16"/>
      <c r="F42" s="6"/>
      <c r="G42" s="6"/>
      <c r="H42" s="6"/>
      <c r="I42" s="26">
        <f t="shared" si="0"/>
        <v>0</v>
      </c>
      <c r="K42" s="3" t="s">
        <v>10</v>
      </c>
    </row>
    <row r="43" spans="2:18">
      <c r="B43"/>
      <c r="C43" s="3" t="s">
        <v>71</v>
      </c>
      <c r="D43" s="26">
        <v>4575693.2</v>
      </c>
      <c r="E43" s="16"/>
      <c r="F43" s="6"/>
      <c r="G43" s="6"/>
      <c r="H43" s="6"/>
      <c r="I43" s="26">
        <f t="shared" si="0"/>
        <v>4575693.2</v>
      </c>
      <c r="K43" s="3" t="s">
        <v>10</v>
      </c>
    </row>
    <row r="44" spans="2:18" hidden="1">
      <c r="B44"/>
      <c r="C44" s="3" t="s">
        <v>72</v>
      </c>
      <c r="D44" s="26">
        <v>0</v>
      </c>
      <c r="E44" s="16"/>
      <c r="F44" s="6"/>
      <c r="G44" s="6"/>
      <c r="H44" s="6"/>
      <c r="I44" s="26">
        <f t="shared" si="0"/>
        <v>0</v>
      </c>
      <c r="K44" s="3" t="s">
        <v>10</v>
      </c>
    </row>
    <row r="45" spans="2:18">
      <c r="B45"/>
      <c r="C45" s="3" t="s">
        <v>46</v>
      </c>
      <c r="D45" s="26">
        <v>8005931.2199999997</v>
      </c>
      <c r="E45" s="16"/>
      <c r="F45" s="6"/>
      <c r="G45" s="6"/>
      <c r="H45" s="6"/>
      <c r="I45" s="26">
        <f t="shared" si="0"/>
        <v>8005931.2199999997</v>
      </c>
      <c r="K45" s="3" t="s">
        <v>10</v>
      </c>
    </row>
    <row r="46" spans="2:18">
      <c r="B46"/>
      <c r="C46" s="3" t="s">
        <v>73</v>
      </c>
      <c r="D46" s="26">
        <v>84152812.780000001</v>
      </c>
      <c r="E46" s="16"/>
      <c r="F46" s="6"/>
      <c r="G46" s="6"/>
      <c r="H46" s="6"/>
      <c r="I46" s="26">
        <f t="shared" si="0"/>
        <v>84152812.780000001</v>
      </c>
      <c r="K46" s="3" t="s">
        <v>10</v>
      </c>
    </row>
    <row r="47" spans="2:18" hidden="1">
      <c r="B47"/>
      <c r="C47" s="3" t="s">
        <v>74</v>
      </c>
      <c r="D47" s="26">
        <v>0</v>
      </c>
      <c r="E47" s="16"/>
      <c r="F47" s="6"/>
      <c r="G47" s="6"/>
      <c r="H47" s="6"/>
      <c r="I47" s="26">
        <f t="shared" si="0"/>
        <v>0</v>
      </c>
      <c r="K47" s="3" t="s">
        <v>10</v>
      </c>
    </row>
    <row r="48" spans="2:18" hidden="1">
      <c r="B48"/>
      <c r="C48" s="3" t="s">
        <v>75</v>
      </c>
      <c r="D48" s="26">
        <v>0</v>
      </c>
      <c r="E48" s="16"/>
      <c r="F48" s="6"/>
      <c r="G48" s="6"/>
      <c r="H48" s="6"/>
      <c r="I48" s="26">
        <f t="shared" si="0"/>
        <v>0</v>
      </c>
      <c r="K48" s="3" t="s">
        <v>10</v>
      </c>
    </row>
    <row r="49" spans="2:11" hidden="1">
      <c r="B49"/>
      <c r="C49" s="3" t="s">
        <v>45</v>
      </c>
      <c r="D49" s="26">
        <v>0</v>
      </c>
      <c r="E49" s="16"/>
      <c r="F49" s="6"/>
      <c r="G49" s="6"/>
      <c r="H49" s="6"/>
      <c r="I49" s="26">
        <f t="shared" si="0"/>
        <v>0</v>
      </c>
      <c r="K49" s="3" t="s">
        <v>10</v>
      </c>
    </row>
    <row r="50" spans="2:11" hidden="1">
      <c r="B50"/>
      <c r="C50" s="22" t="s">
        <v>76</v>
      </c>
      <c r="D50" s="26">
        <v>0</v>
      </c>
      <c r="E50" s="16"/>
      <c r="F50" s="6"/>
      <c r="G50" s="6"/>
      <c r="H50" s="6"/>
      <c r="I50" s="26">
        <f t="shared" si="0"/>
        <v>0</v>
      </c>
      <c r="K50" s="3" t="s">
        <v>10</v>
      </c>
    </row>
    <row r="51" spans="2:11" hidden="1">
      <c r="B51"/>
      <c r="C51" s="3" t="s">
        <v>77</v>
      </c>
      <c r="D51" s="26">
        <v>0</v>
      </c>
      <c r="E51" s="16"/>
      <c r="F51" s="6"/>
      <c r="G51" s="6"/>
      <c r="H51" s="6"/>
      <c r="I51" s="26">
        <f t="shared" si="0"/>
        <v>0</v>
      </c>
      <c r="K51" s="3" t="s">
        <v>10</v>
      </c>
    </row>
    <row r="52" spans="2:11" hidden="1">
      <c r="B52"/>
      <c r="C52" s="3" t="s">
        <v>78</v>
      </c>
      <c r="D52" s="26">
        <v>0</v>
      </c>
      <c r="E52" s="16"/>
      <c r="F52" s="6"/>
      <c r="G52" s="6"/>
      <c r="H52" s="6"/>
      <c r="I52" s="26">
        <f t="shared" si="0"/>
        <v>0</v>
      </c>
      <c r="K52" s="3" t="s">
        <v>10</v>
      </c>
    </row>
    <row r="53" spans="2:11" hidden="1">
      <c r="B53"/>
      <c r="C53" s="3" t="s">
        <v>79</v>
      </c>
      <c r="D53" s="26">
        <v>0</v>
      </c>
      <c r="E53" s="16"/>
      <c r="F53" s="6"/>
      <c r="G53" s="6"/>
      <c r="H53" s="6"/>
      <c r="I53" s="26">
        <f t="shared" si="0"/>
        <v>0</v>
      </c>
      <c r="K53" s="3" t="s">
        <v>10</v>
      </c>
    </row>
    <row r="54" spans="2:11" hidden="1">
      <c r="B54"/>
      <c r="C54" s="3" t="s">
        <v>80</v>
      </c>
      <c r="D54" s="26">
        <v>0</v>
      </c>
      <c r="E54" s="16"/>
      <c r="F54" s="6"/>
      <c r="G54" s="6"/>
      <c r="H54" s="6"/>
      <c r="I54" s="26">
        <f t="shared" si="0"/>
        <v>0</v>
      </c>
      <c r="K54" s="3" t="s">
        <v>10</v>
      </c>
    </row>
    <row r="55" spans="2:11" hidden="1">
      <c r="B55"/>
      <c r="C55" s="3" t="s">
        <v>81</v>
      </c>
      <c r="D55" s="26">
        <v>0</v>
      </c>
      <c r="E55" s="16"/>
      <c r="F55" s="6"/>
      <c r="G55" s="6"/>
      <c r="H55" s="6"/>
      <c r="I55" s="26">
        <f t="shared" si="0"/>
        <v>0</v>
      </c>
      <c r="K55" s="3" t="s">
        <v>10</v>
      </c>
    </row>
    <row r="56" spans="2:11" hidden="1">
      <c r="B56"/>
      <c r="C56" s="3" t="s">
        <v>82</v>
      </c>
      <c r="D56" s="26">
        <v>0</v>
      </c>
      <c r="E56" s="16"/>
      <c r="F56" s="6"/>
      <c r="G56" s="6"/>
      <c r="H56" s="6"/>
      <c r="I56" s="26">
        <f t="shared" si="0"/>
        <v>0</v>
      </c>
      <c r="K56" s="3" t="s">
        <v>10</v>
      </c>
    </row>
    <row r="57" spans="2:11" hidden="1">
      <c r="B57"/>
      <c r="C57" s="27" t="s">
        <v>83</v>
      </c>
      <c r="D57" s="26">
        <v>0</v>
      </c>
      <c r="E57" s="16"/>
      <c r="F57" s="6"/>
      <c r="G57" s="6"/>
      <c r="H57" s="6"/>
      <c r="I57" s="26">
        <f t="shared" si="0"/>
        <v>0</v>
      </c>
      <c r="K57" s="3" t="s">
        <v>10</v>
      </c>
    </row>
    <row r="58" spans="2:11" hidden="1">
      <c r="B58"/>
      <c r="C58" s="27" t="s">
        <v>92</v>
      </c>
      <c r="D58" s="26">
        <v>0</v>
      </c>
      <c r="E58" s="16"/>
      <c r="F58" s="6"/>
      <c r="G58" s="6"/>
      <c r="H58" s="6"/>
      <c r="I58" s="26">
        <f t="shared" si="0"/>
        <v>0</v>
      </c>
      <c r="K58" s="3" t="s">
        <v>10</v>
      </c>
    </row>
    <row r="59" spans="2:11" hidden="1">
      <c r="B59"/>
      <c r="C59" s="3" t="s">
        <v>84</v>
      </c>
      <c r="D59" s="26">
        <v>0</v>
      </c>
      <c r="E59" s="16"/>
      <c r="F59" s="6"/>
      <c r="G59" s="6"/>
      <c r="H59" s="6"/>
      <c r="I59" s="26">
        <f t="shared" si="0"/>
        <v>0</v>
      </c>
      <c r="K59" s="3" t="s">
        <v>10</v>
      </c>
    </row>
    <row r="60" spans="2:11" hidden="1">
      <c r="B60"/>
      <c r="C60" s="3" t="s">
        <v>95</v>
      </c>
      <c r="D60" s="26">
        <v>0</v>
      </c>
      <c r="E60" s="16"/>
      <c r="F60" s="6"/>
      <c r="G60" s="6"/>
      <c r="H60" s="6"/>
      <c r="I60" s="26">
        <f t="shared" si="0"/>
        <v>0</v>
      </c>
      <c r="K60" s="3" t="s">
        <v>10</v>
      </c>
    </row>
    <row r="61" spans="2:11" hidden="1">
      <c r="B61"/>
      <c r="C61" s="3" t="s">
        <v>85</v>
      </c>
      <c r="D61" s="26">
        <v>0</v>
      </c>
      <c r="E61" s="16"/>
      <c r="F61" s="6"/>
      <c r="G61" s="6"/>
      <c r="H61" s="6"/>
      <c r="I61" s="26">
        <f t="shared" si="0"/>
        <v>0</v>
      </c>
      <c r="K61" s="3" t="s">
        <v>10</v>
      </c>
    </row>
    <row r="62" spans="2:11" hidden="1">
      <c r="B62"/>
      <c r="C62" s="3" t="s">
        <v>86</v>
      </c>
      <c r="D62" s="26">
        <v>0</v>
      </c>
      <c r="E62" s="16"/>
      <c r="F62" s="6"/>
      <c r="G62" s="6"/>
      <c r="H62" s="6"/>
      <c r="I62" s="26">
        <f t="shared" si="0"/>
        <v>0</v>
      </c>
      <c r="K62" s="3" t="s">
        <v>10</v>
      </c>
    </row>
    <row r="63" spans="2:11" hidden="1">
      <c r="B63"/>
      <c r="C63" s="3" t="s">
        <v>94</v>
      </c>
      <c r="D63" s="26">
        <v>0</v>
      </c>
      <c r="E63" s="16"/>
      <c r="F63" s="6"/>
      <c r="G63" s="6"/>
      <c r="H63" s="6"/>
      <c r="I63" s="26">
        <f t="shared" si="0"/>
        <v>0</v>
      </c>
      <c r="K63" s="3" t="s">
        <v>10</v>
      </c>
    </row>
    <row r="64" spans="2:11" hidden="1">
      <c r="B64"/>
      <c r="C64" s="27" t="s">
        <v>87</v>
      </c>
      <c r="D64" s="26">
        <v>0</v>
      </c>
      <c r="E64" s="16"/>
      <c r="F64" s="6"/>
      <c r="G64" s="6"/>
      <c r="H64" s="6"/>
      <c r="I64" s="26">
        <f t="shared" si="0"/>
        <v>0</v>
      </c>
      <c r="K64" s="3" t="s">
        <v>10</v>
      </c>
    </row>
    <row r="65" spans="1:16" hidden="1">
      <c r="B65"/>
      <c r="C65" s="3" t="s">
        <v>93</v>
      </c>
      <c r="D65" s="26">
        <v>0</v>
      </c>
      <c r="E65" s="16"/>
      <c r="F65" s="6"/>
      <c r="G65" s="6"/>
      <c r="H65" s="6"/>
      <c r="I65" s="26">
        <f t="shared" si="0"/>
        <v>0</v>
      </c>
      <c r="K65" s="3" t="s">
        <v>10</v>
      </c>
    </row>
    <row r="66" spans="1:16" ht="11.25" thickBot="1">
      <c r="B66"/>
      <c r="C66" s="27"/>
      <c r="D66" s="26"/>
      <c r="E66" s="16"/>
      <c r="F66" s="6"/>
      <c r="G66" s="6"/>
      <c r="H66" s="6"/>
      <c r="I66" s="26"/>
    </row>
    <row r="67" spans="1:16" hidden="1">
      <c r="B67" s="22" t="s">
        <v>64</v>
      </c>
      <c r="C67" s="27"/>
      <c r="D67" s="26"/>
      <c r="E67" s="16"/>
      <c r="F67" s="6"/>
      <c r="G67" s="6"/>
      <c r="H67" s="6"/>
      <c r="I67" s="26"/>
    </row>
    <row r="68" spans="1:16" ht="11.25" hidden="1" thickBot="1">
      <c r="B68"/>
      <c r="C68" s="3" t="s">
        <v>96</v>
      </c>
      <c r="D68" s="26">
        <v>0</v>
      </c>
      <c r="E68" s="16"/>
      <c r="F68" s="6"/>
      <c r="G68" s="6"/>
      <c r="H68" s="6"/>
      <c r="I68" s="26">
        <f>IF(K68="Post Merger",D68,0)</f>
        <v>0</v>
      </c>
      <c r="K68" s="3" t="s">
        <v>10</v>
      </c>
    </row>
    <row r="69" spans="1:16" ht="11.25" thickBot="1">
      <c r="B69"/>
      <c r="D69" s="16"/>
      <c r="E69" s="16"/>
      <c r="F69" s="6"/>
      <c r="G69" s="6"/>
      <c r="H69" s="6"/>
      <c r="I69" s="6"/>
      <c r="K69" s="36">
        <v>0</v>
      </c>
      <c r="L69" s="24" t="s">
        <v>40</v>
      </c>
      <c r="M69" s="37">
        <v>0</v>
      </c>
    </row>
    <row r="70" spans="1:16">
      <c r="B70"/>
      <c r="C70" t="s">
        <v>115</v>
      </c>
      <c r="D70" s="26">
        <v>67492994.709999993</v>
      </c>
      <c r="E70" s="16"/>
      <c r="F70" s="6"/>
      <c r="G70" s="6"/>
      <c r="H70" s="6"/>
      <c r="I70" s="26">
        <f>D70</f>
        <v>67492994.709999993</v>
      </c>
    </row>
    <row r="71" spans="1:16" ht="11.25" thickBot="1">
      <c r="B71" s="40" t="s">
        <v>65</v>
      </c>
      <c r="C71" s="14"/>
      <c r="D71" s="11" t="s">
        <v>14</v>
      </c>
      <c r="E71" s="14" t="s">
        <v>13</v>
      </c>
      <c r="F71" s="11" t="s">
        <v>14</v>
      </c>
      <c r="G71" s="11" t="s">
        <v>14</v>
      </c>
      <c r="H71" s="11" t="s">
        <v>14</v>
      </c>
      <c r="I71" s="11" t="s">
        <v>14</v>
      </c>
    </row>
    <row r="72" spans="1:16" ht="11.25" thickBot="1">
      <c r="B72" s="3" t="s">
        <v>28</v>
      </c>
      <c r="C72"/>
      <c r="D72" s="26">
        <f>SUM(D38:D70)</f>
        <v>164227431.91</v>
      </c>
      <c r="E72" s="16"/>
      <c r="F72" s="26">
        <f>SUM(F38:F70)</f>
        <v>0</v>
      </c>
      <c r="G72" s="26">
        <f>SUM(G38:G70)</f>
        <v>0</v>
      </c>
      <c r="H72" s="26">
        <f>SUM(H38:H70)</f>
        <v>0</v>
      </c>
      <c r="I72" s="26">
        <f>SUM(I38:I70)</f>
        <v>164227431.91</v>
      </c>
      <c r="K72" s="36"/>
      <c r="L72" s="24" t="s">
        <v>40</v>
      </c>
      <c r="M72" s="37">
        <f>D72-SUM(F72:I72)</f>
        <v>0</v>
      </c>
    </row>
    <row r="73" spans="1:16">
      <c r="B73" s="3" t="s">
        <v>116</v>
      </c>
      <c r="D73" s="26">
        <v>663166.31000000006</v>
      </c>
      <c r="E73" s="16"/>
      <c r="F73" s="14"/>
      <c r="H73" s="26"/>
      <c r="I73" s="26">
        <f>D73</f>
        <v>663166.31000000006</v>
      </c>
      <c r="J73"/>
      <c r="K73"/>
      <c r="L73"/>
      <c r="M73"/>
    </row>
    <row r="74" spans="1:16">
      <c r="B74" s="3" t="s">
        <v>29</v>
      </c>
      <c r="C74"/>
      <c r="D74" s="26">
        <v>0</v>
      </c>
      <c r="E74" s="16"/>
      <c r="F74" s="26"/>
      <c r="G74" s="26"/>
      <c r="H74" s="26">
        <f>D74</f>
        <v>0</v>
      </c>
      <c r="I74" s="6"/>
    </row>
    <row r="75" spans="1:16" ht="11.25" thickBot="1">
      <c r="D75" s="11" t="s">
        <v>14</v>
      </c>
      <c r="E75" s="14" t="s">
        <v>13</v>
      </c>
      <c r="F75" s="11" t="s">
        <v>14</v>
      </c>
      <c r="G75" s="11" t="s">
        <v>14</v>
      </c>
      <c r="H75" s="11" t="s">
        <v>14</v>
      </c>
      <c r="I75" s="11" t="s">
        <v>14</v>
      </c>
    </row>
    <row r="76" spans="1:16" ht="11.25" thickBot="1">
      <c r="A76" s="3" t="s">
        <v>30</v>
      </c>
      <c r="D76" s="26">
        <f>D72+D73+D74+D36+D27</f>
        <v>241909657.37</v>
      </c>
      <c r="E76" s="16"/>
      <c r="F76" s="26">
        <f>F72+F73+F74+F36+F27</f>
        <v>2529420.7641726462</v>
      </c>
      <c r="G76" s="26">
        <f>G72+G73+G74+G36+G27</f>
        <v>12377848.49156395</v>
      </c>
      <c r="H76" s="26">
        <f>H72+H73+H74+H36+H27</f>
        <v>0</v>
      </c>
      <c r="I76" s="26">
        <f>I72+I73+I74+I36+I27</f>
        <v>227002388.11426342</v>
      </c>
      <c r="K76" s="36">
        <v>0</v>
      </c>
      <c r="L76" s="24" t="s">
        <v>40</v>
      </c>
      <c r="M76" s="37">
        <f>D76-SUM(F76:I76)</f>
        <v>0</v>
      </c>
    </row>
    <row r="77" spans="1:16">
      <c r="D77" s="16"/>
      <c r="E77" s="16"/>
      <c r="F77" s="16"/>
      <c r="G77" s="16"/>
      <c r="H77" s="16"/>
      <c r="I77" s="16"/>
    </row>
    <row r="78" spans="1:16">
      <c r="D78" s="16"/>
      <c r="E78" s="16"/>
      <c r="F78" s="16"/>
      <c r="G78" s="16"/>
      <c r="H78" s="16"/>
      <c r="I78" s="16"/>
    </row>
    <row r="79" spans="1:16" ht="11.25">
      <c r="A79" s="3" t="s">
        <v>31</v>
      </c>
      <c r="F79" s="6"/>
      <c r="G79" s="6"/>
      <c r="H79" s="6"/>
      <c r="I79" s="6"/>
      <c r="N79" s="29" t="s">
        <v>60</v>
      </c>
      <c r="O79" s="32">
        <v>24999835.973468848</v>
      </c>
      <c r="P79" s="26"/>
    </row>
    <row r="80" spans="1:16" ht="11.25">
      <c r="F80" s="6"/>
      <c r="G80" s="6"/>
      <c r="H80" s="6"/>
      <c r="I80" s="6"/>
      <c r="N80" s="29" t="s">
        <v>61</v>
      </c>
      <c r="O80" s="32">
        <v>0</v>
      </c>
      <c r="P80" s="26"/>
    </row>
    <row r="81" spans="1:16" customFormat="1" ht="11.25">
      <c r="A81" s="3"/>
      <c r="B81" s="3" t="s">
        <v>32</v>
      </c>
      <c r="D81" s="26">
        <f>SUM(F81:I81)</f>
        <v>24999835.973468848</v>
      </c>
      <c r="E81" s="16"/>
      <c r="F81" s="26">
        <f>O79</f>
        <v>24999835.973468848</v>
      </c>
      <c r="G81" s="6"/>
      <c r="H81" s="6"/>
      <c r="I81" s="6"/>
      <c r="J81" s="3"/>
      <c r="K81" s="18"/>
      <c r="L81" s="3"/>
      <c r="M81" s="3"/>
      <c r="N81" s="29" t="s">
        <v>62</v>
      </c>
      <c r="O81" s="32">
        <v>83870014.000558719</v>
      </c>
      <c r="P81" s="38"/>
    </row>
    <row r="82" spans="1:16" ht="11.25" hidden="1">
      <c r="A82"/>
      <c r="B82"/>
      <c r="C82"/>
      <c r="D82"/>
      <c r="E82"/>
      <c r="F82"/>
      <c r="G82"/>
      <c r="H82"/>
      <c r="I82"/>
      <c r="J82"/>
      <c r="K82" s="23"/>
      <c r="L82"/>
      <c r="M82"/>
      <c r="N82" s="29" t="s">
        <v>91</v>
      </c>
      <c r="O82" s="32">
        <v>0</v>
      </c>
      <c r="P82" s="26"/>
    </row>
    <row r="83" spans="1:16" ht="12" thickBot="1">
      <c r="B83" s="3" t="s">
        <v>33</v>
      </c>
      <c r="C83"/>
      <c r="D83" s="26">
        <f>SUM(F83:I83)</f>
        <v>0</v>
      </c>
      <c r="E83" s="16"/>
      <c r="F83" s="26">
        <f>O80</f>
        <v>0</v>
      </c>
      <c r="G83" s="6"/>
      <c r="H83" s="6"/>
      <c r="I83" s="6"/>
      <c r="N83" s="29" t="s">
        <v>63</v>
      </c>
      <c r="O83" s="32">
        <v>1038267.1499999999</v>
      </c>
      <c r="P83" s="26"/>
    </row>
    <row r="84" spans="1:16" ht="11.25" hidden="1" thickBot="1">
      <c r="C84"/>
      <c r="D84" s="16"/>
      <c r="E84" s="16"/>
      <c r="F84" s="6"/>
      <c r="G84" s="6"/>
      <c r="H84" s="6"/>
      <c r="I84" s="6"/>
      <c r="O84" s="32">
        <f>SUM(O79:O83)</f>
        <v>109908117.12402758</v>
      </c>
      <c r="P84" s="26"/>
    </row>
    <row r="85" spans="1:16" ht="11.25" thickBot="1">
      <c r="B85" s="3" t="s">
        <v>10</v>
      </c>
      <c r="C85"/>
      <c r="D85" s="26">
        <f>D90-(D81+D83+D87)</f>
        <v>84908281.02653116</v>
      </c>
      <c r="E85" s="16"/>
      <c r="F85" s="17"/>
      <c r="G85" s="6"/>
      <c r="H85" s="6"/>
      <c r="I85" s="26">
        <f>D85</f>
        <v>84908281.02653116</v>
      </c>
      <c r="N85" s="47" t="s">
        <v>40</v>
      </c>
      <c r="O85" s="37">
        <v>0</v>
      </c>
      <c r="P85" s="46"/>
    </row>
    <row r="86" spans="1:16" hidden="1">
      <c r="F86" s="6"/>
      <c r="G86" s="6"/>
      <c r="H86" s="6"/>
      <c r="I86" s="6"/>
    </row>
    <row r="87" spans="1:16" customFormat="1">
      <c r="A87" s="3"/>
      <c r="B87" t="s">
        <v>34</v>
      </c>
      <c r="C87" s="3"/>
      <c r="D87" s="26">
        <v>0</v>
      </c>
      <c r="E87" s="16"/>
      <c r="F87" s="6"/>
      <c r="H87" s="26">
        <f>D87</f>
        <v>0</v>
      </c>
      <c r="I87" s="6"/>
      <c r="J87" s="3"/>
      <c r="K87" s="3"/>
      <c r="L87" s="3"/>
      <c r="M87" s="3"/>
      <c r="N87" s="27"/>
    </row>
    <row r="88" spans="1:16">
      <c r="A88"/>
      <c r="B88"/>
      <c r="C88"/>
      <c r="D88"/>
      <c r="E88"/>
      <c r="F88"/>
      <c r="G88"/>
      <c r="H88"/>
      <c r="I88"/>
      <c r="J88"/>
      <c r="K88"/>
      <c r="L88"/>
      <c r="M88"/>
    </row>
    <row r="89" spans="1:16" ht="11.25" thickBot="1">
      <c r="D89" s="11" t="s">
        <v>14</v>
      </c>
      <c r="E89" s="14" t="s">
        <v>13</v>
      </c>
      <c r="F89" s="11" t="s">
        <v>14</v>
      </c>
      <c r="G89" s="11" t="s">
        <v>14</v>
      </c>
      <c r="H89" s="11" t="s">
        <v>14</v>
      </c>
      <c r="I89" s="11" t="s">
        <v>14</v>
      </c>
    </row>
    <row r="90" spans="1:16" customFormat="1" ht="11.25" thickBot="1">
      <c r="A90" s="3" t="s">
        <v>35</v>
      </c>
      <c r="B90" s="3"/>
      <c r="C90" s="3"/>
      <c r="D90" s="26">
        <v>109908117</v>
      </c>
      <c r="E90" s="16"/>
      <c r="F90" s="26">
        <f>SUM(F81:F87)</f>
        <v>24999835.973468848</v>
      </c>
      <c r="G90" s="26">
        <f>SUM(G81:G87)</f>
        <v>0</v>
      </c>
      <c r="H90" s="26">
        <f>SUM(H81:H87)</f>
        <v>0</v>
      </c>
      <c r="I90" s="26">
        <f>SUM(I81:I87)</f>
        <v>84908281.02653116</v>
      </c>
      <c r="J90" s="3"/>
      <c r="K90" s="36">
        <f>D90-(D81+D83+D85+D87)</f>
        <v>0</v>
      </c>
      <c r="L90" s="24" t="s">
        <v>40</v>
      </c>
      <c r="M90" s="37">
        <f>D90-SUM(F90:I90)</f>
        <v>0</v>
      </c>
      <c r="N90" s="27"/>
    </row>
    <row r="91" spans="1:16" customFormat="1">
      <c r="A91" s="3"/>
      <c r="B91" s="3"/>
      <c r="C91" s="3"/>
      <c r="D91" s="3"/>
      <c r="E91" s="3"/>
      <c r="G91" s="3"/>
      <c r="H91" s="3"/>
      <c r="I91" s="3"/>
      <c r="N91" s="27"/>
    </row>
    <row r="92" spans="1:16" customFormat="1">
      <c r="A92" s="3" t="s">
        <v>36</v>
      </c>
      <c r="B92" s="3"/>
      <c r="C92" s="3"/>
      <c r="D92" s="3"/>
      <c r="E92" s="3"/>
      <c r="G92" s="3"/>
      <c r="H92" s="3"/>
      <c r="I92" s="3"/>
      <c r="N92" s="27"/>
    </row>
    <row r="93" spans="1:16" customFormat="1" hidden="1">
      <c r="A93" s="3"/>
      <c r="B93" s="16" t="s">
        <v>98</v>
      </c>
      <c r="C93" s="3"/>
      <c r="D93" s="26">
        <v>0</v>
      </c>
      <c r="E93" s="16"/>
      <c r="G93" s="3"/>
      <c r="H93" s="26">
        <f t="shared" ref="H93:H107" si="1">D93</f>
        <v>0</v>
      </c>
      <c r="I93" s="2"/>
      <c r="N93" s="27"/>
    </row>
    <row r="94" spans="1:16" customFormat="1" hidden="1">
      <c r="A94" s="3"/>
      <c r="B94" s="16" t="s">
        <v>99</v>
      </c>
      <c r="C94" s="3"/>
      <c r="D94" s="26">
        <v>0</v>
      </c>
      <c r="E94" s="16"/>
      <c r="G94" s="3"/>
      <c r="H94" s="26">
        <f t="shared" si="1"/>
        <v>0</v>
      </c>
      <c r="I94" s="2"/>
      <c r="N94" s="27"/>
    </row>
    <row r="95" spans="1:16" customFormat="1">
      <c r="A95" s="3"/>
      <c r="B95" s="16" t="s">
        <v>100</v>
      </c>
      <c r="C95" s="3"/>
      <c r="D95" s="26">
        <v>8051919.5899999999</v>
      </c>
      <c r="E95" s="16"/>
      <c r="G95" s="3"/>
      <c r="H95" s="26">
        <f t="shared" si="1"/>
        <v>8051919.5899999999</v>
      </c>
      <c r="I95" s="2"/>
      <c r="N95" s="27"/>
    </row>
    <row r="96" spans="1:16" customFormat="1" hidden="1">
      <c r="A96" s="3"/>
      <c r="B96" s="16" t="s">
        <v>101</v>
      </c>
      <c r="C96" s="3"/>
      <c r="D96" s="26">
        <v>0</v>
      </c>
      <c r="E96" s="16"/>
      <c r="G96" s="3"/>
      <c r="H96" s="26">
        <f t="shared" si="1"/>
        <v>0</v>
      </c>
      <c r="I96" s="2"/>
      <c r="N96" s="27"/>
    </row>
    <row r="97" spans="1:14" customFormat="1">
      <c r="A97" s="3"/>
      <c r="B97" s="16" t="s">
        <v>66</v>
      </c>
      <c r="C97" s="3"/>
      <c r="D97" s="26">
        <v>50918245.159999996</v>
      </c>
      <c r="E97" s="16"/>
      <c r="G97" s="3"/>
      <c r="H97" s="26">
        <f t="shared" si="1"/>
        <v>50918245.159999996</v>
      </c>
      <c r="I97" s="2"/>
      <c r="N97" s="27"/>
    </row>
    <row r="98" spans="1:14" customFormat="1" hidden="1">
      <c r="A98" s="3"/>
      <c r="B98" s="16" t="s">
        <v>47</v>
      </c>
      <c r="C98" s="3"/>
      <c r="D98" s="26">
        <v>0</v>
      </c>
      <c r="E98" s="16"/>
      <c r="G98" s="3"/>
      <c r="H98" s="26">
        <f t="shared" si="1"/>
        <v>0</v>
      </c>
      <c r="I98" s="2"/>
      <c r="N98" s="27"/>
    </row>
    <row r="99" spans="1:14" customFormat="1" hidden="1">
      <c r="A99" s="3"/>
      <c r="B99" s="16" t="s">
        <v>102</v>
      </c>
      <c r="C99" s="3"/>
      <c r="D99" s="26">
        <v>0</v>
      </c>
      <c r="E99" s="16"/>
      <c r="G99" s="3"/>
      <c r="H99" s="26">
        <f t="shared" si="1"/>
        <v>0</v>
      </c>
      <c r="I99" s="2"/>
      <c r="N99" s="27"/>
    </row>
    <row r="100" spans="1:14" customFormat="1" hidden="1">
      <c r="A100" s="3"/>
      <c r="B100" s="16" t="s">
        <v>103</v>
      </c>
      <c r="C100" s="3"/>
      <c r="D100" s="26">
        <v>0</v>
      </c>
      <c r="E100" s="16"/>
      <c r="G100" s="3"/>
      <c r="H100" s="26">
        <f t="shared" si="1"/>
        <v>0</v>
      </c>
      <c r="I100" s="2"/>
      <c r="N100" s="27"/>
    </row>
    <row r="101" spans="1:14" customFormat="1" hidden="1">
      <c r="A101" s="3"/>
      <c r="B101" s="16" t="s">
        <v>104</v>
      </c>
      <c r="C101" s="3"/>
      <c r="D101" s="26">
        <v>0</v>
      </c>
      <c r="E101" s="16"/>
      <c r="G101" s="3"/>
      <c r="H101" s="26">
        <f t="shared" si="1"/>
        <v>0</v>
      </c>
      <c r="I101" s="2"/>
      <c r="N101" s="27"/>
    </row>
    <row r="102" spans="1:14" customFormat="1" hidden="1">
      <c r="A102" s="3"/>
      <c r="B102" s="16" t="s">
        <v>105</v>
      </c>
      <c r="C102" s="3"/>
      <c r="D102" s="26">
        <v>0</v>
      </c>
      <c r="E102" s="16"/>
      <c r="F102" s="14"/>
      <c r="G102" s="3"/>
      <c r="H102" s="26">
        <f t="shared" si="1"/>
        <v>0</v>
      </c>
      <c r="I102" s="2"/>
      <c r="N102" s="27"/>
    </row>
    <row r="103" spans="1:14" customFormat="1">
      <c r="A103" s="3"/>
      <c r="B103" s="16" t="s">
        <v>106</v>
      </c>
      <c r="C103" s="3"/>
      <c r="D103" s="26">
        <v>46003985.939999998</v>
      </c>
      <c r="E103" s="16"/>
      <c r="F103" s="14"/>
      <c r="G103" s="3"/>
      <c r="H103" s="26">
        <f t="shared" si="1"/>
        <v>46003985.939999998</v>
      </c>
      <c r="I103" s="2"/>
      <c r="N103" s="27"/>
    </row>
    <row r="104" spans="1:14" customFormat="1" hidden="1">
      <c r="A104" s="3"/>
      <c r="B104" s="16" t="s">
        <v>107</v>
      </c>
      <c r="C104" s="3"/>
      <c r="D104" s="26">
        <v>0</v>
      </c>
      <c r="E104" s="16"/>
      <c r="F104" s="14"/>
      <c r="G104" s="3"/>
      <c r="H104" s="26">
        <f t="shared" si="1"/>
        <v>0</v>
      </c>
      <c r="I104" s="2"/>
      <c r="N104" s="27"/>
    </row>
    <row r="105" spans="1:14" customFormat="1" hidden="1">
      <c r="A105" s="3"/>
      <c r="B105" s="16" t="s">
        <v>108</v>
      </c>
      <c r="C105" s="3"/>
      <c r="D105" s="26">
        <v>0</v>
      </c>
      <c r="E105" s="16"/>
      <c r="F105" s="14"/>
      <c r="G105" s="3"/>
      <c r="H105" s="26">
        <f t="shared" si="1"/>
        <v>0</v>
      </c>
      <c r="I105" s="2"/>
      <c r="N105" s="27"/>
    </row>
    <row r="106" spans="1:14" customFormat="1">
      <c r="A106" s="3"/>
      <c r="B106" s="16" t="s">
        <v>109</v>
      </c>
      <c r="C106" s="3"/>
      <c r="D106" s="26">
        <v>198244684.53999999</v>
      </c>
      <c r="E106" s="16"/>
      <c r="F106" s="14"/>
      <c r="G106" s="3"/>
      <c r="H106" s="26">
        <f t="shared" si="1"/>
        <v>198244684.53999999</v>
      </c>
      <c r="I106" s="2"/>
      <c r="N106" s="27"/>
    </row>
    <row r="107" spans="1:14" customFormat="1" hidden="1">
      <c r="A107" s="3"/>
      <c r="B107" s="16" t="s">
        <v>110</v>
      </c>
      <c r="C107" s="3"/>
      <c r="D107" s="26">
        <v>0</v>
      </c>
      <c r="E107" s="16"/>
      <c r="F107" s="14"/>
      <c r="G107" s="3"/>
      <c r="H107" s="26">
        <f t="shared" si="1"/>
        <v>0</v>
      </c>
      <c r="I107" s="2"/>
      <c r="N107" s="27"/>
    </row>
    <row r="108" spans="1:14" customFormat="1" hidden="1">
      <c r="A108" s="3"/>
      <c r="B108" s="16"/>
      <c r="C108" s="3"/>
      <c r="D108" s="26"/>
      <c r="E108" s="16"/>
      <c r="F108" s="14"/>
      <c r="G108" s="3"/>
      <c r="H108" s="26"/>
      <c r="I108" s="2"/>
      <c r="N108" s="27"/>
    </row>
    <row r="109" spans="1:14" customFormat="1" hidden="1">
      <c r="A109" s="3"/>
      <c r="B109" s="16" t="s">
        <v>111</v>
      </c>
      <c r="C109" s="3"/>
      <c r="D109" s="26">
        <v>0</v>
      </c>
      <c r="E109" s="16"/>
      <c r="F109" s="14"/>
      <c r="G109" s="3"/>
      <c r="H109" s="26">
        <f>D109</f>
        <v>0</v>
      </c>
      <c r="I109" s="2"/>
      <c r="N109" s="27"/>
    </row>
    <row r="110" spans="1:14" customFormat="1" hidden="1">
      <c r="A110" s="3"/>
      <c r="B110" s="16" t="s">
        <v>112</v>
      </c>
      <c r="C110" s="3"/>
      <c r="D110" s="26">
        <v>0</v>
      </c>
      <c r="E110" s="16"/>
      <c r="F110" s="14"/>
      <c r="G110" s="3"/>
      <c r="H110" s="26">
        <f>D110</f>
        <v>0</v>
      </c>
      <c r="I110" s="2"/>
      <c r="N110" s="27"/>
    </row>
    <row r="111" spans="1:14" customFormat="1" hidden="1">
      <c r="A111" s="3"/>
      <c r="B111" s="16" t="s">
        <v>113</v>
      </c>
      <c r="C111" s="3"/>
      <c r="D111" s="26">
        <v>0</v>
      </c>
      <c r="E111" s="16"/>
      <c r="F111" s="14"/>
      <c r="G111" s="3"/>
      <c r="H111" s="26">
        <f>D111</f>
        <v>0</v>
      </c>
      <c r="I111" s="2"/>
      <c r="N111" s="27"/>
    </row>
    <row r="112" spans="1:14" customFormat="1" hidden="1">
      <c r="A112" s="3"/>
      <c r="B112" s="16"/>
      <c r="C112" s="3"/>
      <c r="D112" s="26"/>
      <c r="E112" s="16"/>
      <c r="F112" s="14"/>
      <c r="G112" s="3"/>
      <c r="H112" s="26"/>
      <c r="I112" s="2"/>
      <c r="N112" s="27"/>
    </row>
    <row r="113" spans="1:14" customFormat="1" hidden="1">
      <c r="A113" s="3"/>
      <c r="B113" s="16" t="s">
        <v>114</v>
      </c>
      <c r="C113" s="3"/>
      <c r="D113" s="26">
        <v>0</v>
      </c>
      <c r="E113" s="16"/>
      <c r="F113" s="14"/>
      <c r="G113" s="3"/>
      <c r="H113" s="26">
        <f>D113</f>
        <v>0</v>
      </c>
      <c r="I113" s="2"/>
      <c r="N113" s="27"/>
    </row>
    <row r="114" spans="1:14" customFormat="1" ht="11.25" thickBot="1">
      <c r="A114" s="3"/>
      <c r="B114" s="3"/>
      <c r="C114" s="3"/>
      <c r="D114" s="11" t="s">
        <v>14</v>
      </c>
      <c r="E114" s="14" t="s">
        <v>13</v>
      </c>
      <c r="F114" s="11" t="s">
        <v>14</v>
      </c>
      <c r="G114" s="11" t="s">
        <v>14</v>
      </c>
      <c r="H114" s="11" t="s">
        <v>14</v>
      </c>
      <c r="I114" s="11" t="s">
        <v>14</v>
      </c>
      <c r="N114" s="27"/>
    </row>
    <row r="115" spans="1:14" customFormat="1" ht="11.25" thickBot="1">
      <c r="A115" s="3" t="s">
        <v>37</v>
      </c>
      <c r="B115" s="3"/>
      <c r="C115" s="3"/>
      <c r="D115" s="26">
        <f>SUM(D93:D113)</f>
        <v>303218835.23000002</v>
      </c>
      <c r="E115" s="16"/>
      <c r="F115" s="26">
        <f>SUM(F92:F113)</f>
        <v>0</v>
      </c>
      <c r="G115" s="26">
        <f>SUM(G92:G113)</f>
        <v>0</v>
      </c>
      <c r="H115" s="26">
        <f>SUM(H92:H113)</f>
        <v>303218835.23000002</v>
      </c>
      <c r="I115" s="26">
        <f>SUM(I92:I105)</f>
        <v>0</v>
      </c>
      <c r="K115" s="36">
        <v>0</v>
      </c>
      <c r="L115" s="24" t="s">
        <v>40</v>
      </c>
      <c r="M115" s="37">
        <f>D115-SUM(F115:I115)</f>
        <v>0</v>
      </c>
      <c r="N115" s="27"/>
    </row>
    <row r="116" spans="1:14" customFormat="1">
      <c r="A116" s="3"/>
      <c r="B116" s="3"/>
      <c r="C116" s="3"/>
      <c r="D116" s="7"/>
      <c r="E116" s="16"/>
      <c r="F116" s="16"/>
      <c r="G116" s="16"/>
      <c r="H116" s="16"/>
      <c r="I116" s="16"/>
      <c r="N116" s="27"/>
    </row>
    <row r="117" spans="1:14" customFormat="1">
      <c r="A117" s="3" t="s">
        <v>43</v>
      </c>
      <c r="B117" s="3"/>
      <c r="C117" s="3"/>
      <c r="D117" s="7"/>
      <c r="E117" s="16"/>
      <c r="F117" s="16"/>
      <c r="G117" s="16"/>
      <c r="H117" s="16"/>
      <c r="I117" s="16"/>
      <c r="N117" s="27"/>
    </row>
    <row r="118" spans="1:14" customFormat="1">
      <c r="A118" s="3"/>
      <c r="B118" s="16" t="s">
        <v>97</v>
      </c>
      <c r="C118" s="3"/>
      <c r="D118" s="26">
        <v>0</v>
      </c>
      <c r="E118" s="16"/>
      <c r="F118" s="14"/>
      <c r="G118" s="3"/>
      <c r="H118" s="26">
        <f>D118</f>
        <v>0</v>
      </c>
      <c r="I118" s="2"/>
      <c r="N118" s="27"/>
    </row>
    <row r="119" spans="1:14">
      <c r="D119" s="11" t="s">
        <v>14</v>
      </c>
      <c r="E119" s="14" t="s">
        <v>13</v>
      </c>
      <c r="F119" s="11" t="s">
        <v>14</v>
      </c>
      <c r="G119" s="11" t="s">
        <v>14</v>
      </c>
      <c r="H119" s="11" t="s">
        <v>14</v>
      </c>
      <c r="I119" s="11" t="s">
        <v>14</v>
      </c>
    </row>
    <row r="120" spans="1:14">
      <c r="A120" s="3" t="s">
        <v>44</v>
      </c>
      <c r="D120" s="26">
        <v>0</v>
      </c>
      <c r="E120" s="16"/>
      <c r="F120" s="26">
        <f>SUM(F118:F118)</f>
        <v>0</v>
      </c>
      <c r="G120" s="26">
        <f>SUM(G118:G118)</f>
        <v>0</v>
      </c>
      <c r="H120" s="26">
        <f>SUM(H118:H118)</f>
        <v>0</v>
      </c>
      <c r="I120" s="26">
        <f>SUM(I118:I118)</f>
        <v>0</v>
      </c>
    </row>
    <row r="121" spans="1:14" ht="11.25" thickBot="1">
      <c r="D121" s="19" t="s">
        <v>38</v>
      </c>
      <c r="E121" s="14" t="s">
        <v>13</v>
      </c>
      <c r="F121" s="19" t="s">
        <v>38</v>
      </c>
      <c r="G121" s="19" t="s">
        <v>38</v>
      </c>
      <c r="H121" s="19" t="s">
        <v>38</v>
      </c>
      <c r="I121" s="19" t="s">
        <v>38</v>
      </c>
    </row>
    <row r="122" spans="1:14" ht="11.25" thickBot="1">
      <c r="A122" s="3" t="s">
        <v>39</v>
      </c>
      <c r="D122" s="26">
        <f>D115+D90+D76+D120-D16</f>
        <v>581208002.85000002</v>
      </c>
      <c r="E122" s="16" t="s">
        <v>13</v>
      </c>
      <c r="F122" s="26">
        <f>F115+F90+F76+F120-F16</f>
        <v>14564456.737641495</v>
      </c>
      <c r="G122" s="26">
        <f>G115+G90+G76+G120-G16</f>
        <v>12377848.49156395</v>
      </c>
      <c r="H122" s="26">
        <f>H115+H90+H76+H120-H16</f>
        <v>303218835.23000002</v>
      </c>
      <c r="I122" s="26">
        <f>I115+I90+I76+I120-I16</f>
        <v>251046862.39079458</v>
      </c>
      <c r="K122" s="36">
        <v>0</v>
      </c>
      <c r="L122" s="24" t="s">
        <v>40</v>
      </c>
      <c r="M122" s="37">
        <f>D122-SUM(F122:I122)</f>
        <v>0</v>
      </c>
    </row>
    <row r="123" spans="1:14">
      <c r="D123" s="19" t="s">
        <v>38</v>
      </c>
      <c r="E123" s="14" t="s">
        <v>13</v>
      </c>
      <c r="F123" s="19" t="s">
        <v>38</v>
      </c>
      <c r="G123" s="19" t="s">
        <v>38</v>
      </c>
      <c r="H123" s="19" t="s">
        <v>38</v>
      </c>
      <c r="I123" s="19" t="s">
        <v>38</v>
      </c>
    </row>
  </sheetData>
  <mergeCells count="1">
    <mergeCell ref="A4:C4"/>
  </mergeCells>
  <pageMargins left="0.65" right="0.72" top="1" bottom="1" header="0.5" footer="0.5"/>
  <pageSetup scale="67" orientation="portrait" r:id="rId1"/>
  <headerFooter alignWithMargins="0">
    <oddHeader>&amp;L&amp;"Arial,Regular"&amp;10WA UE-130043
Bench Request 9&amp;R&amp;"Arial,Bold"&amp;10Attachment Bench Request 9</oddHeader>
    <oddFooter>&amp;L&amp;"Arial,Regular"&amp;10&amp;F&amp;C&amp;A</oddFooter>
  </headerFooter>
  <rowBreaks count="1" manualBreakCount="1">
    <brk id="69" max="8" man="1"/>
  </rowBreaks>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4">
    <pageSetUpPr fitToPage="1"/>
  </sheetPr>
  <dimension ref="A1:K50"/>
  <sheetViews>
    <sheetView view="pageBreakPreview" zoomScale="85" zoomScaleNormal="100" zoomScaleSheetLayoutView="85" workbookViewId="0">
      <selection activeCell="T91" sqref="T91"/>
    </sheetView>
  </sheetViews>
  <sheetFormatPr defaultRowHeight="12.75"/>
  <cols>
    <col min="1" max="1" width="4.83203125" style="275" customWidth="1"/>
    <col min="2" max="2" width="8" style="275" customWidth="1"/>
    <col min="3" max="3" width="32.83203125" style="275" customWidth="1"/>
    <col min="4" max="4" width="12.33203125" style="275" customWidth="1"/>
    <col min="5" max="5" width="9.33203125" style="276"/>
    <col min="6" max="6" width="17" style="106" customWidth="1"/>
    <col min="7" max="7" width="9.33203125" style="276"/>
    <col min="8" max="8" width="12" style="276" bestFit="1" customWidth="1"/>
    <col min="9" max="9" width="15.33203125" style="276" bestFit="1" customWidth="1"/>
    <col min="10" max="16384" width="9.33203125" style="275"/>
  </cols>
  <sheetData>
    <row r="1" spans="1:10">
      <c r="A1" s="274" t="s">
        <v>118</v>
      </c>
      <c r="B1" s="274"/>
      <c r="I1" s="277" t="s">
        <v>272</v>
      </c>
      <c r="J1" s="296" t="s">
        <v>302</v>
      </c>
    </row>
    <row r="2" spans="1:10">
      <c r="A2" s="274" t="s">
        <v>255</v>
      </c>
      <c r="B2" s="274"/>
    </row>
    <row r="3" spans="1:10">
      <c r="A3" s="274" t="s">
        <v>325</v>
      </c>
      <c r="B3" s="274"/>
    </row>
    <row r="5" spans="1:10">
      <c r="F5" s="105" t="s">
        <v>274</v>
      </c>
      <c r="I5" s="276" t="s">
        <v>126</v>
      </c>
    </row>
    <row r="6" spans="1:10" ht="15">
      <c r="D6" s="279" t="s">
        <v>275</v>
      </c>
      <c r="E6" s="279" t="s">
        <v>276</v>
      </c>
      <c r="F6" s="280" t="s">
        <v>277</v>
      </c>
      <c r="G6" s="279" t="s">
        <v>278</v>
      </c>
      <c r="H6" s="279" t="s">
        <v>134</v>
      </c>
      <c r="I6" s="279" t="s">
        <v>279</v>
      </c>
      <c r="J6" s="279" t="s">
        <v>280</v>
      </c>
    </row>
    <row r="7" spans="1:10" ht="15">
      <c r="B7" s="274" t="s">
        <v>281</v>
      </c>
      <c r="C7" s="281"/>
      <c r="D7" s="279"/>
      <c r="E7" s="279"/>
      <c r="F7" s="280"/>
      <c r="G7" s="279"/>
      <c r="H7" s="279"/>
      <c r="I7" s="279"/>
      <c r="J7" s="279"/>
    </row>
    <row r="8" spans="1:10" ht="15">
      <c r="B8" s="274"/>
      <c r="C8" s="281"/>
      <c r="D8" s="279"/>
      <c r="E8" s="279"/>
      <c r="F8" s="280"/>
      <c r="G8" s="279"/>
      <c r="H8" s="279"/>
      <c r="I8" s="279"/>
      <c r="J8" s="279"/>
    </row>
    <row r="9" spans="1:10">
      <c r="B9" s="274" t="s">
        <v>137</v>
      </c>
      <c r="C9" s="281"/>
    </row>
    <row r="10" spans="1:10">
      <c r="B10" s="281" t="s">
        <v>138</v>
      </c>
      <c r="C10" s="281"/>
      <c r="D10" s="282" t="s">
        <v>139</v>
      </c>
      <c r="E10" s="283" t="s">
        <v>286</v>
      </c>
      <c r="F10" s="106">
        <f>'9.1 - Summary '!BJ15</f>
        <v>0</v>
      </c>
      <c r="G10" s="276" t="s">
        <v>140</v>
      </c>
      <c r="H10" s="284">
        <v>0.2262649010137</v>
      </c>
      <c r="I10" s="276">
        <f>F10*H10</f>
        <v>0</v>
      </c>
      <c r="J10" s="276"/>
    </row>
    <row r="11" spans="1:10">
      <c r="B11" s="281" t="s">
        <v>141</v>
      </c>
      <c r="C11" s="281"/>
      <c r="D11" s="282" t="s">
        <v>139</v>
      </c>
      <c r="E11" s="283" t="s">
        <v>286</v>
      </c>
      <c r="F11" s="106">
        <f>'9.1 - Summary '!BJ16</f>
        <v>0</v>
      </c>
      <c r="G11" s="276" t="s">
        <v>140</v>
      </c>
      <c r="H11" s="284">
        <v>0.2262649010137</v>
      </c>
      <c r="I11" s="276">
        <f t="shared" ref="I11:I12" si="0">F11*H11</f>
        <v>0</v>
      </c>
      <c r="J11" s="276"/>
    </row>
    <row r="12" spans="1:10">
      <c r="B12" s="281" t="s">
        <v>142</v>
      </c>
      <c r="C12" s="281"/>
      <c r="D12" s="282" t="s">
        <v>139</v>
      </c>
      <c r="E12" s="283" t="s">
        <v>286</v>
      </c>
      <c r="F12" s="106">
        <f>'9.1 - Summary '!BJ17</f>
        <v>0</v>
      </c>
      <c r="G12" s="276" t="s">
        <v>143</v>
      </c>
      <c r="H12" s="284">
        <v>0.22648067236840891</v>
      </c>
      <c r="I12" s="276">
        <f t="shared" si="0"/>
        <v>0</v>
      </c>
    </row>
    <row r="13" spans="1:10">
      <c r="B13" s="281" t="s">
        <v>144</v>
      </c>
      <c r="C13" s="281"/>
      <c r="D13" s="282"/>
      <c r="E13" s="283"/>
      <c r="F13" s="285">
        <f>SUM(F10:F12)</f>
        <v>0</v>
      </c>
      <c r="H13" s="284"/>
      <c r="I13" s="285">
        <f>SUM(I10:I12)</f>
        <v>0</v>
      </c>
      <c r="J13" s="282" t="s">
        <v>340</v>
      </c>
    </row>
    <row r="14" spans="1:10">
      <c r="B14" s="281"/>
      <c r="C14" s="286"/>
      <c r="D14" s="282"/>
      <c r="E14" s="283"/>
      <c r="H14" s="284"/>
    </row>
    <row r="15" spans="1:10">
      <c r="B15" s="274" t="s">
        <v>145</v>
      </c>
      <c r="C15" s="286"/>
      <c r="D15" s="282"/>
      <c r="E15" s="283"/>
      <c r="H15" s="284"/>
    </row>
    <row r="16" spans="1:10">
      <c r="B16" s="281" t="s">
        <v>146</v>
      </c>
      <c r="C16" s="286"/>
      <c r="D16" s="282" t="s">
        <v>147</v>
      </c>
      <c r="E16" s="283" t="s">
        <v>286</v>
      </c>
      <c r="F16" s="106">
        <f>'9.1 - Summary '!BJ21</f>
        <v>0</v>
      </c>
      <c r="G16" s="276" t="s">
        <v>140</v>
      </c>
      <c r="H16" s="284">
        <v>0.2262649010137</v>
      </c>
      <c r="I16" s="276">
        <f t="shared" ref="I16:I20" si="1">F16*H16</f>
        <v>0</v>
      </c>
      <c r="J16" s="276"/>
    </row>
    <row r="17" spans="2:10">
      <c r="B17" s="281" t="s">
        <v>148</v>
      </c>
      <c r="C17" s="286"/>
      <c r="D17" s="282" t="s">
        <v>147</v>
      </c>
      <c r="E17" s="283" t="s">
        <v>286</v>
      </c>
      <c r="F17" s="106">
        <f>'9.1 - Summary '!BJ22</f>
        <v>0</v>
      </c>
      <c r="G17" s="276" t="s">
        <v>143</v>
      </c>
      <c r="H17" s="284">
        <v>0.22648067236840891</v>
      </c>
      <c r="I17" s="276">
        <f t="shared" si="1"/>
        <v>0</v>
      </c>
      <c r="J17" s="276"/>
    </row>
    <row r="18" spans="2:10">
      <c r="B18" s="281" t="s">
        <v>149</v>
      </c>
      <c r="C18" s="286"/>
      <c r="D18" s="282" t="s">
        <v>147</v>
      </c>
      <c r="E18" s="283" t="s">
        <v>286</v>
      </c>
      <c r="F18" s="106">
        <f>'9.1 - Summary '!BJ23</f>
        <v>0</v>
      </c>
      <c r="G18" s="276" t="s">
        <v>140</v>
      </c>
      <c r="H18" s="284">
        <v>0.2262649010137</v>
      </c>
      <c r="I18" s="276">
        <f t="shared" si="1"/>
        <v>0</v>
      </c>
      <c r="J18" s="276"/>
    </row>
    <row r="19" spans="2:10">
      <c r="B19" s="281" t="s">
        <v>150</v>
      </c>
      <c r="C19" s="286"/>
      <c r="D19" s="282" t="s">
        <v>147</v>
      </c>
      <c r="E19" s="283" t="s">
        <v>286</v>
      </c>
      <c r="F19" s="106">
        <f>'9.1 - Summary '!BJ24</f>
        <v>0</v>
      </c>
      <c r="G19" s="276" t="s">
        <v>140</v>
      </c>
      <c r="H19" s="284">
        <v>0.2262649010137</v>
      </c>
      <c r="I19" s="276">
        <f t="shared" si="1"/>
        <v>0</v>
      </c>
      <c r="J19" s="276"/>
    </row>
    <row r="20" spans="2:10">
      <c r="B20" s="281" t="s">
        <v>151</v>
      </c>
      <c r="C20" s="281"/>
      <c r="D20" s="282" t="s">
        <v>147</v>
      </c>
      <c r="E20" s="283" t="s">
        <v>286</v>
      </c>
      <c r="F20" s="106">
        <f>'9.1 - Summary '!BJ25</f>
        <v>0</v>
      </c>
      <c r="G20" s="276" t="s">
        <v>140</v>
      </c>
      <c r="H20" s="284">
        <v>0.2262649010137</v>
      </c>
      <c r="I20" s="276">
        <f t="shared" si="1"/>
        <v>0</v>
      </c>
    </row>
    <row r="21" spans="2:10">
      <c r="B21" s="281" t="s">
        <v>152</v>
      </c>
      <c r="C21" s="281"/>
      <c r="D21" s="282"/>
      <c r="E21" s="283"/>
      <c r="F21" s="285">
        <f>SUM(F16:F20)</f>
        <v>0</v>
      </c>
      <c r="H21" s="284"/>
      <c r="I21" s="285">
        <f>SUM(I16:I20)</f>
        <v>0</v>
      </c>
      <c r="J21" s="282" t="s">
        <v>340</v>
      </c>
    </row>
    <row r="22" spans="2:10">
      <c r="B22" s="281"/>
      <c r="C22" s="281"/>
      <c r="D22" s="282"/>
      <c r="E22" s="283"/>
      <c r="H22" s="284"/>
    </row>
    <row r="23" spans="2:10">
      <c r="B23" s="274" t="s">
        <v>153</v>
      </c>
      <c r="C23" s="281"/>
      <c r="D23" s="282"/>
      <c r="E23" s="283"/>
      <c r="H23" s="284"/>
      <c r="J23" s="276"/>
    </row>
    <row r="24" spans="2:10">
      <c r="B24" s="281" t="s">
        <v>154</v>
      </c>
      <c r="C24" s="281"/>
      <c r="D24" s="282" t="s">
        <v>155</v>
      </c>
      <c r="E24" s="283" t="s">
        <v>286</v>
      </c>
      <c r="F24" s="106">
        <f>'9.1 - Summary '!BJ29</f>
        <v>0</v>
      </c>
      <c r="G24" s="276" t="s">
        <v>140</v>
      </c>
      <c r="H24" s="284">
        <v>0.2262649010137</v>
      </c>
      <c r="I24" s="276">
        <f t="shared" ref="I24:I26" si="2">F24*H24</f>
        <v>0</v>
      </c>
      <c r="J24" s="276"/>
    </row>
    <row r="25" spans="2:10">
      <c r="B25" s="281" t="s">
        <v>156</v>
      </c>
      <c r="C25" s="286"/>
      <c r="D25" s="282" t="s">
        <v>155</v>
      </c>
      <c r="E25" s="283" t="s">
        <v>286</v>
      </c>
      <c r="F25" s="106">
        <f>'9.1 - Summary '!BJ30</f>
        <v>300000</v>
      </c>
      <c r="G25" s="276" t="s">
        <v>140</v>
      </c>
      <c r="H25" s="284">
        <v>0.2262649010137</v>
      </c>
      <c r="I25" s="276">
        <f t="shared" si="2"/>
        <v>67879.47030411</v>
      </c>
      <c r="J25" s="276"/>
    </row>
    <row r="26" spans="2:10">
      <c r="B26" s="281" t="s">
        <v>157</v>
      </c>
      <c r="C26" s="286"/>
      <c r="D26" s="282" t="s">
        <v>155</v>
      </c>
      <c r="E26" s="283" t="s">
        <v>286</v>
      </c>
      <c r="F26" s="106">
        <f>'9.1 - Summary '!BJ31</f>
        <v>0</v>
      </c>
      <c r="G26" s="276" t="s">
        <v>143</v>
      </c>
      <c r="H26" s="284">
        <v>0.22648067236840891</v>
      </c>
      <c r="I26" s="276">
        <f t="shared" si="2"/>
        <v>0</v>
      </c>
      <c r="J26" s="276"/>
    </row>
    <row r="27" spans="2:10">
      <c r="B27" s="281" t="s">
        <v>158</v>
      </c>
      <c r="C27" s="281"/>
      <c r="D27" s="282"/>
      <c r="E27" s="283"/>
      <c r="F27" s="285">
        <f>SUM(F24:F26)</f>
        <v>300000</v>
      </c>
      <c r="H27" s="284"/>
      <c r="I27" s="285">
        <f>SUM(I24:I26)</f>
        <v>67879.47030411</v>
      </c>
      <c r="J27" s="282" t="s">
        <v>340</v>
      </c>
    </row>
    <row r="28" spans="2:10">
      <c r="B28" s="281"/>
      <c r="C28" s="281"/>
      <c r="D28" s="282"/>
      <c r="E28" s="283"/>
      <c r="H28" s="284"/>
    </row>
    <row r="29" spans="2:10">
      <c r="B29" s="274" t="s">
        <v>159</v>
      </c>
      <c r="C29" s="274"/>
      <c r="D29" s="282"/>
      <c r="E29" s="283"/>
      <c r="H29" s="284"/>
      <c r="J29" s="276"/>
    </row>
    <row r="30" spans="2:10">
      <c r="B30" s="281" t="s">
        <v>160</v>
      </c>
      <c r="C30" s="274"/>
      <c r="D30" s="282" t="s">
        <v>161</v>
      </c>
      <c r="E30" s="283" t="s">
        <v>286</v>
      </c>
      <c r="F30" s="106">
        <f>'9.1 - Summary '!BJ35</f>
        <v>0</v>
      </c>
      <c r="G30" s="276" t="s">
        <v>143</v>
      </c>
      <c r="H30" s="284">
        <v>0.22648067236840891</v>
      </c>
      <c r="I30" s="276">
        <f t="shared" ref="I30:I31" si="3">F30*H30</f>
        <v>0</v>
      </c>
      <c r="J30" s="276"/>
    </row>
    <row r="31" spans="2:10">
      <c r="B31" s="281" t="s">
        <v>162</v>
      </c>
      <c r="C31" s="274"/>
      <c r="D31" s="282" t="s">
        <v>163</v>
      </c>
      <c r="E31" s="283" t="s">
        <v>286</v>
      </c>
      <c r="F31" s="106">
        <f>'9.1 - Summary '!BJ36</f>
        <v>0</v>
      </c>
      <c r="G31" s="276" t="s">
        <v>143</v>
      </c>
      <c r="H31" s="284">
        <v>0.22648067236840891</v>
      </c>
      <c r="I31" s="276">
        <f t="shared" si="3"/>
        <v>0</v>
      </c>
    </row>
    <row r="32" spans="2:10">
      <c r="B32" s="281" t="s">
        <v>164</v>
      </c>
      <c r="C32" s="274"/>
      <c r="D32" s="282"/>
      <c r="E32" s="283"/>
      <c r="F32" s="285">
        <f>SUM(F30:F31)</f>
        <v>0</v>
      </c>
      <c r="H32" s="287"/>
      <c r="I32" s="285">
        <f>SUM(I30:I31)</f>
        <v>0</v>
      </c>
      <c r="J32" s="282" t="s">
        <v>340</v>
      </c>
    </row>
    <row r="33" spans="1:11">
      <c r="B33" s="291"/>
      <c r="C33" s="274"/>
      <c r="D33" s="282"/>
      <c r="E33" s="283"/>
      <c r="H33" s="287"/>
      <c r="I33" s="106"/>
      <c r="J33" s="276"/>
    </row>
    <row r="34" spans="1:11">
      <c r="B34" s="288" t="s">
        <v>284</v>
      </c>
      <c r="C34" s="274"/>
      <c r="D34" s="282"/>
      <c r="E34" s="283"/>
      <c r="F34" s="285">
        <f>-F13+F21+F27+F32</f>
        <v>300000</v>
      </c>
      <c r="H34" s="287"/>
      <c r="I34" s="285">
        <f>-I13+I21+I27+I32</f>
        <v>67879.47030411</v>
      </c>
      <c r="J34" s="276"/>
    </row>
    <row r="35" spans="1:11">
      <c r="C35" s="274"/>
      <c r="F35" s="289"/>
      <c r="J35" s="276"/>
    </row>
    <row r="36" spans="1:11">
      <c r="C36" s="274"/>
      <c r="F36" s="289"/>
      <c r="J36" s="276"/>
    </row>
    <row r="37" spans="1:11">
      <c r="C37" s="274"/>
      <c r="F37" s="289"/>
      <c r="J37" s="276"/>
    </row>
    <row r="42" spans="1:11" ht="13.5" thickBot="1">
      <c r="B42" s="290" t="s">
        <v>283</v>
      </c>
    </row>
    <row r="43" spans="1:11" ht="12.75" customHeight="1">
      <c r="A43" s="359" t="s">
        <v>350</v>
      </c>
      <c r="B43" s="360"/>
      <c r="C43" s="360"/>
      <c r="D43" s="360"/>
      <c r="E43" s="360"/>
      <c r="F43" s="360"/>
      <c r="G43" s="360"/>
      <c r="H43" s="360"/>
      <c r="I43" s="360"/>
      <c r="J43" s="361"/>
      <c r="K43" s="292"/>
    </row>
    <row r="44" spans="1:11">
      <c r="A44" s="362"/>
      <c r="B44" s="363"/>
      <c r="C44" s="363"/>
      <c r="D44" s="363"/>
      <c r="E44" s="363"/>
      <c r="F44" s="363"/>
      <c r="G44" s="363"/>
      <c r="H44" s="363"/>
      <c r="I44" s="363"/>
      <c r="J44" s="364"/>
      <c r="K44" s="292"/>
    </row>
    <row r="45" spans="1:11">
      <c r="A45" s="362"/>
      <c r="B45" s="363"/>
      <c r="C45" s="363"/>
      <c r="D45" s="363"/>
      <c r="E45" s="363"/>
      <c r="F45" s="363"/>
      <c r="G45" s="363"/>
      <c r="H45" s="363"/>
      <c r="I45" s="363"/>
      <c r="J45" s="364"/>
      <c r="K45" s="292"/>
    </row>
    <row r="46" spans="1:11">
      <c r="A46" s="362"/>
      <c r="B46" s="363"/>
      <c r="C46" s="363"/>
      <c r="D46" s="363"/>
      <c r="E46" s="363"/>
      <c r="F46" s="363"/>
      <c r="G46" s="363"/>
      <c r="H46" s="363"/>
      <c r="I46" s="363"/>
      <c r="J46" s="364"/>
      <c r="K46" s="292"/>
    </row>
    <row r="47" spans="1:11">
      <c r="A47" s="362"/>
      <c r="B47" s="363"/>
      <c r="C47" s="363"/>
      <c r="D47" s="363"/>
      <c r="E47" s="363"/>
      <c r="F47" s="363"/>
      <c r="G47" s="363"/>
      <c r="H47" s="363"/>
      <c r="I47" s="363"/>
      <c r="J47" s="364"/>
      <c r="K47" s="292"/>
    </row>
    <row r="48" spans="1:11">
      <c r="A48" s="362"/>
      <c r="B48" s="363"/>
      <c r="C48" s="363"/>
      <c r="D48" s="363"/>
      <c r="E48" s="363"/>
      <c r="F48" s="363"/>
      <c r="G48" s="363"/>
      <c r="H48" s="363"/>
      <c r="I48" s="363"/>
      <c r="J48" s="364"/>
      <c r="K48" s="292"/>
    </row>
    <row r="49" spans="1:11">
      <c r="A49" s="362"/>
      <c r="B49" s="363"/>
      <c r="C49" s="363"/>
      <c r="D49" s="363"/>
      <c r="E49" s="363"/>
      <c r="F49" s="363"/>
      <c r="G49" s="363"/>
      <c r="H49" s="363"/>
      <c r="I49" s="363"/>
      <c r="J49" s="364"/>
      <c r="K49" s="292"/>
    </row>
    <row r="50" spans="1:11" ht="13.5" thickBot="1">
      <c r="A50" s="365"/>
      <c r="B50" s="366"/>
      <c r="C50" s="366"/>
      <c r="D50" s="366"/>
      <c r="E50" s="366"/>
      <c r="F50" s="366"/>
      <c r="G50" s="366"/>
      <c r="H50" s="366"/>
      <c r="I50" s="366"/>
      <c r="J50" s="367"/>
      <c r="K50" s="292"/>
    </row>
  </sheetData>
  <mergeCells count="1">
    <mergeCell ref="A43:J50"/>
  </mergeCells>
  <conditionalFormatting sqref="B9:B26">
    <cfRule type="cellIs" dxfId="23" priority="3" stopIfTrue="1" operator="equal">
      <formula>"Adjustment to Income/Expense/Rate Base:"</formula>
    </cfRule>
  </conditionalFormatting>
  <conditionalFormatting sqref="B20:B22">
    <cfRule type="cellIs" dxfId="22" priority="2" stopIfTrue="1" operator="equal">
      <formula>"Title"</formula>
    </cfRule>
  </conditionalFormatting>
  <conditionalFormatting sqref="B27:B34">
    <cfRule type="cellIs" dxfId="21" priority="1" stopIfTrue="1" operator="equal">
      <formula>"Adjustment to Income/Expense/Rate Base:"</formula>
    </cfRule>
  </conditionalFormatting>
  <pageMargins left="0.65" right="0.72" top="1" bottom="1" header="0.5" footer="0.5"/>
  <pageSetup scale="77" orientation="portrait" r:id="rId1"/>
  <headerFooter alignWithMargins="0">
    <oddHeader>&amp;L&amp;"Arial,Regular"&amp;10WA UE-130043
Bench Request 9&amp;R&amp;"Arial,Bold"&amp;10Attachment Bench Request 9</oddHeader>
    <oddFooter>&amp;L&amp;"Arial,Regular"&amp;10&amp;F&amp;C&amp;A</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pageSetUpPr fitToPage="1"/>
  </sheetPr>
  <dimension ref="A1:S123"/>
  <sheetViews>
    <sheetView view="pageBreakPreview" zoomScale="85" zoomScaleNormal="85" zoomScaleSheetLayoutView="85" workbookViewId="0">
      <pane xSplit="3" ySplit="6" topLeftCell="D7" activePane="bottomRight" state="frozen"/>
      <selection activeCell="T91" sqref="T91"/>
      <selection pane="topRight" activeCell="T91" sqref="T91"/>
      <selection pane="bottomLeft" activeCell="T91" sqref="T91"/>
      <selection pane="bottomRight" activeCell="T91" sqref="T91"/>
    </sheetView>
  </sheetViews>
  <sheetFormatPr defaultColWidth="11" defaultRowHeight="10.5"/>
  <cols>
    <col min="1" max="1" width="3" style="3" customWidth="1"/>
    <col min="2" max="2" width="2.6640625" style="3" customWidth="1"/>
    <col min="3" max="3" width="33.1640625" style="3" customWidth="1"/>
    <col min="4" max="4" width="13.83203125" style="3" customWidth="1"/>
    <col min="5" max="5" width="2.33203125" style="3" customWidth="1"/>
    <col min="6" max="6" width="15.83203125" style="3" customWidth="1"/>
    <col min="7" max="8" width="13.33203125" style="3" bestFit="1" customWidth="1"/>
    <col min="9" max="9" width="13.83203125" style="3" bestFit="1" customWidth="1"/>
    <col min="10" max="10" width="11" style="3" customWidth="1"/>
    <col min="11" max="11" width="14.5" style="3" customWidth="1"/>
    <col min="12" max="12" width="11" style="3" customWidth="1"/>
    <col min="13" max="13" width="14.1640625" style="3" bestFit="1" customWidth="1"/>
    <col min="14" max="14" width="20.1640625" style="27" bestFit="1" customWidth="1"/>
    <col min="15" max="15" width="15" style="3" bestFit="1" customWidth="1"/>
    <col min="16" max="16" width="14.6640625" style="3" bestFit="1" customWidth="1"/>
    <col min="17" max="16384" width="11" style="3"/>
  </cols>
  <sheetData>
    <row r="1" spans="1:14">
      <c r="A1" s="4" t="s">
        <v>118</v>
      </c>
      <c r="D1"/>
      <c r="E1" s="9"/>
      <c r="F1" s="8" t="s">
        <v>42</v>
      </c>
    </row>
    <row r="2" spans="1:14">
      <c r="A2" s="20"/>
      <c r="D2"/>
      <c r="E2" s="9"/>
      <c r="F2" s="9" t="s">
        <v>0</v>
      </c>
      <c r="K2" s="50"/>
    </row>
    <row r="3" spans="1:14">
      <c r="A3" s="5" t="s">
        <v>52</v>
      </c>
      <c r="D3" s="10"/>
      <c r="E3" s="10"/>
      <c r="F3" s="8" t="s">
        <v>1</v>
      </c>
    </row>
    <row r="4" spans="1:14">
      <c r="A4" s="358">
        <v>41974</v>
      </c>
      <c r="B4" s="358"/>
      <c r="C4" s="358"/>
      <c r="D4" s="10"/>
      <c r="E4" s="10"/>
      <c r="F4" s="9"/>
    </row>
    <row r="5" spans="1:14">
      <c r="B5" s="5"/>
      <c r="D5" s="11" t="s">
        <v>2</v>
      </c>
      <c r="E5" s="11"/>
      <c r="F5" s="12" t="s">
        <v>3</v>
      </c>
      <c r="G5" s="12" t="s">
        <v>3</v>
      </c>
      <c r="H5" s="12"/>
      <c r="I5" s="12"/>
    </row>
    <row r="6" spans="1:14" s="11" customFormat="1">
      <c r="A6" s="3"/>
      <c r="B6" s="3"/>
      <c r="C6" s="3"/>
      <c r="D6" s="41" t="s">
        <v>117</v>
      </c>
      <c r="E6" s="15"/>
      <c r="F6" s="13" t="s">
        <v>4</v>
      </c>
      <c r="G6" s="13" t="s">
        <v>5</v>
      </c>
      <c r="H6" s="13" t="s">
        <v>6</v>
      </c>
      <c r="I6" s="13" t="s">
        <v>7</v>
      </c>
      <c r="N6" s="28"/>
    </row>
    <row r="7" spans="1:14">
      <c r="A7" s="3" t="s">
        <v>8</v>
      </c>
      <c r="F7" s="6"/>
      <c r="G7" s="6"/>
      <c r="H7" s="6"/>
      <c r="I7" s="6"/>
    </row>
    <row r="8" spans="1:14">
      <c r="B8" t="s">
        <v>9</v>
      </c>
      <c r="D8" s="26">
        <v>12964800</v>
      </c>
      <c r="E8" s="16"/>
      <c r="F8" s="26">
        <f>D8</f>
        <v>12964800</v>
      </c>
      <c r="G8"/>
      <c r="H8"/>
      <c r="I8"/>
    </row>
    <row r="9" spans="1:14" hidden="1">
      <c r="B9"/>
      <c r="D9" s="16"/>
      <c r="E9" s="16"/>
      <c r="F9" s="1"/>
      <c r="G9" s="6"/>
      <c r="H9" s="6"/>
      <c r="I9" s="6"/>
    </row>
    <row r="10" spans="1:14">
      <c r="B10" t="s">
        <v>10</v>
      </c>
      <c r="D10" s="26">
        <v>60863806.75</v>
      </c>
      <c r="E10" s="16"/>
      <c r="F10" s="1"/>
      <c r="G10" s="6"/>
      <c r="H10" s="6"/>
      <c r="I10" s="26">
        <f>D10</f>
        <v>60863806.75</v>
      </c>
    </row>
    <row r="11" spans="1:14" hidden="1">
      <c r="B11"/>
      <c r="D11" s="16"/>
      <c r="E11" s="16"/>
      <c r="F11" s="1"/>
      <c r="G11" s="6"/>
      <c r="H11" s="6"/>
      <c r="I11" s="6"/>
    </row>
    <row r="12" spans="1:14" hidden="1">
      <c r="B12" t="s">
        <v>11</v>
      </c>
      <c r="D12" s="26">
        <v>0</v>
      </c>
      <c r="E12" s="16"/>
      <c r="F12" s="26">
        <f>D12</f>
        <v>0</v>
      </c>
      <c r="G12" s="6"/>
      <c r="H12" s="6"/>
      <c r="I12" s="6"/>
    </row>
    <row r="13" spans="1:14" hidden="1">
      <c r="C13"/>
      <c r="D13" s="16"/>
      <c r="E13" s="16"/>
      <c r="F13" s="6"/>
      <c r="G13" s="6"/>
      <c r="H13" s="6"/>
      <c r="I13" s="6"/>
    </row>
    <row r="14" spans="1:14" hidden="1">
      <c r="B14" s="3" t="s">
        <v>12</v>
      </c>
      <c r="C14"/>
      <c r="D14" s="26">
        <v>0</v>
      </c>
      <c r="E14" s="16"/>
      <c r="F14" s="6"/>
      <c r="G14" s="6"/>
      <c r="H14" s="26">
        <f>D14</f>
        <v>0</v>
      </c>
      <c r="I14" s="6"/>
    </row>
    <row r="15" spans="1:14" ht="11.25" thickBot="1">
      <c r="D15" s="11" t="s">
        <v>14</v>
      </c>
      <c r="E15" s="14" t="s">
        <v>13</v>
      </c>
      <c r="F15" s="11" t="s">
        <v>14</v>
      </c>
      <c r="G15" s="11" t="s">
        <v>14</v>
      </c>
      <c r="H15" s="11" t="s">
        <v>14</v>
      </c>
      <c r="I15" s="11" t="s">
        <v>14</v>
      </c>
    </row>
    <row r="16" spans="1:14" ht="11.25" thickBot="1">
      <c r="A16" s="3" t="s">
        <v>15</v>
      </c>
      <c r="D16" s="26">
        <f>SUM(D8:D14)</f>
        <v>73828606.75</v>
      </c>
      <c r="E16" s="16"/>
      <c r="F16" s="26">
        <f>SUM(F8:F14)</f>
        <v>12964800</v>
      </c>
      <c r="G16" s="26">
        <f>SUM(G8:G14)</f>
        <v>0</v>
      </c>
      <c r="H16" s="26">
        <f>SUM(H8:H14)</f>
        <v>0</v>
      </c>
      <c r="I16" s="26">
        <f>SUM(I8:I14)</f>
        <v>60863806.75</v>
      </c>
      <c r="K16" s="36">
        <v>0</v>
      </c>
      <c r="L16" s="24" t="s">
        <v>40</v>
      </c>
      <c r="M16" s="37">
        <f>D16-SUM(F16:I16)</f>
        <v>0</v>
      </c>
    </row>
    <row r="17" spans="1:19">
      <c r="D17" s="16"/>
      <c r="E17" s="16"/>
      <c r="F17" s="16"/>
      <c r="G17" s="16"/>
      <c r="H17" s="16"/>
      <c r="I17" s="16"/>
      <c r="P17" s="8" t="s">
        <v>67</v>
      </c>
    </row>
    <row r="18" spans="1:19">
      <c r="D18"/>
      <c r="E18" s="6"/>
      <c r="F18" s="6"/>
      <c r="G18" s="6"/>
      <c r="H18" s="6"/>
      <c r="I18" s="6"/>
      <c r="N18" s="39"/>
      <c r="O18" s="35"/>
      <c r="P18" s="48">
        <f>+A4</f>
        <v>41974</v>
      </c>
    </row>
    <row r="19" spans="1:19" ht="11.25">
      <c r="A19" s="3" t="s">
        <v>16</v>
      </c>
      <c r="D19" s="16"/>
      <c r="E19" s="16"/>
      <c r="F19" s="45"/>
      <c r="G19" s="6"/>
      <c r="H19" s="6"/>
      <c r="I19" s="6"/>
      <c r="N19" s="29" t="s">
        <v>56</v>
      </c>
      <c r="O19" s="42">
        <v>0.42634034956164213</v>
      </c>
      <c r="P19" s="16">
        <v>14785516.07</v>
      </c>
      <c r="Q19" s="44"/>
      <c r="R19" s="30"/>
      <c r="S19" s="16"/>
    </row>
    <row r="20" spans="1:19" ht="11.25" hidden="1">
      <c r="B20"/>
      <c r="C20" s="3" t="s">
        <v>17</v>
      </c>
      <c r="D20" s="26">
        <v>0</v>
      </c>
      <c r="E20" s="16"/>
      <c r="F20" s="26">
        <f>D20</f>
        <v>0</v>
      </c>
      <c r="G20" s="6"/>
      <c r="H20" s="6"/>
      <c r="I20" s="6"/>
      <c r="N20" s="29" t="s">
        <v>58</v>
      </c>
      <c r="O20" s="42">
        <f>1-O19</f>
        <v>0.57365965043835787</v>
      </c>
      <c r="P20" s="16">
        <v>19894560.739999998</v>
      </c>
      <c r="Q20" s="44"/>
      <c r="R20" s="30"/>
      <c r="S20" s="16"/>
    </row>
    <row r="21" spans="1:19" ht="11.25" hidden="1">
      <c r="B21"/>
      <c r="C21" s="3" t="s">
        <v>18</v>
      </c>
      <c r="D21" s="26">
        <v>0</v>
      </c>
      <c r="E21" s="16"/>
      <c r="F21" s="26">
        <f>D21-G21</f>
        <v>0</v>
      </c>
      <c r="G21" s="26">
        <v>0</v>
      </c>
      <c r="H21" s="6"/>
      <c r="I21" s="6"/>
      <c r="N21" s="29" t="s">
        <v>57</v>
      </c>
      <c r="O21" s="42">
        <f>IFERROR(P21/(P21+P22),0)</f>
        <v>0</v>
      </c>
      <c r="P21" s="16">
        <v>0</v>
      </c>
      <c r="Q21" s="44"/>
      <c r="R21" s="30"/>
      <c r="S21" s="16"/>
    </row>
    <row r="22" spans="1:19" ht="11.25">
      <c r="B22"/>
      <c r="C22" s="3" t="s">
        <v>19</v>
      </c>
      <c r="D22" s="26">
        <v>-148246.80999999959</v>
      </c>
      <c r="E22" s="16"/>
      <c r="F22" s="26">
        <f>D22*0.3</f>
        <v>-44474.042999999874</v>
      </c>
      <c r="G22" s="26">
        <f>D22*0.7</f>
        <v>-103772.7669999997</v>
      </c>
      <c r="H22" s="6"/>
      <c r="I22" s="6"/>
      <c r="N22" s="29" t="s">
        <v>59</v>
      </c>
      <c r="O22" s="42">
        <f>1-O21</f>
        <v>1</v>
      </c>
      <c r="P22" s="16">
        <v>0</v>
      </c>
      <c r="Q22" s="44"/>
      <c r="R22" s="30"/>
      <c r="S22" s="16"/>
    </row>
    <row r="23" spans="1:19">
      <c r="B23"/>
      <c r="C23" s="3" t="s">
        <v>20</v>
      </c>
      <c r="D23" s="26">
        <v>270000</v>
      </c>
      <c r="E23" s="16"/>
      <c r="F23" s="26">
        <f>D23*0.2073628</f>
        <v>55987.956000000006</v>
      </c>
      <c r="G23" s="26">
        <f>D23-F23</f>
        <v>214012.04399999999</v>
      </c>
      <c r="H23" s="6"/>
      <c r="I23" s="6"/>
    </row>
    <row r="24" spans="1:19">
      <c r="B24"/>
      <c r="C24" s="3" t="s">
        <v>21</v>
      </c>
      <c r="D24" s="26">
        <f>N27</f>
        <v>76897305.959999993</v>
      </c>
      <c r="E24" s="16"/>
      <c r="F24" s="31">
        <f>(N25+N24*O19)*K24</f>
        <v>2517906.851172646</v>
      </c>
      <c r="G24" s="31">
        <f>(N25+N24*O19)*L24</f>
        <v>12267609.214563949</v>
      </c>
      <c r="H24" s="6"/>
      <c r="I24" s="31">
        <f>(N26+N24*O20)</f>
        <v>62111789.894263402</v>
      </c>
      <c r="K24" s="25">
        <v>0.17029549999999999</v>
      </c>
      <c r="L24" s="25">
        <f>1-K24</f>
        <v>0.82970450000000007</v>
      </c>
      <c r="N24" s="26">
        <v>34680076.799999997</v>
      </c>
      <c r="O24" t="s">
        <v>53</v>
      </c>
    </row>
    <row r="25" spans="1:19">
      <c r="B25"/>
      <c r="C25" s="49" t="s">
        <v>90</v>
      </c>
      <c r="D25" s="26">
        <v>0</v>
      </c>
      <c r="E25" s="16"/>
      <c r="F25" s="6"/>
      <c r="G25" s="26">
        <f>D25</f>
        <v>0</v>
      </c>
      <c r="H25" s="6"/>
      <c r="I25" s="26"/>
      <c r="N25" s="26">
        <v>0</v>
      </c>
      <c r="O25" t="s">
        <v>50</v>
      </c>
    </row>
    <row r="26" spans="1:19">
      <c r="B26" s="40" t="s">
        <v>65</v>
      </c>
      <c r="C26" s="14"/>
      <c r="D26" s="11" t="s">
        <v>14</v>
      </c>
      <c r="E26" s="14" t="s">
        <v>13</v>
      </c>
      <c r="F26" s="11" t="s">
        <v>14</v>
      </c>
      <c r="G26" s="11" t="s">
        <v>14</v>
      </c>
      <c r="H26" s="11" t="s">
        <v>14</v>
      </c>
      <c r="I26" s="11" t="s">
        <v>14</v>
      </c>
      <c r="K26" s="25"/>
      <c r="L26" s="25"/>
      <c r="N26" s="43">
        <v>42217229.159999996</v>
      </c>
      <c r="O26" t="s">
        <v>49</v>
      </c>
    </row>
    <row r="27" spans="1:19">
      <c r="B27" s="3" t="s">
        <v>22</v>
      </c>
      <c r="C27"/>
      <c r="D27" s="26">
        <f>SUM(D20:D26)</f>
        <v>77019059.149999991</v>
      </c>
      <c r="E27" s="16"/>
      <c r="F27" s="26">
        <f>SUM(F20:F26)</f>
        <v>2529420.7641726462</v>
      </c>
      <c r="G27" s="26">
        <f>SUM(G20:G26)</f>
        <v>12377848.49156395</v>
      </c>
      <c r="H27" s="26">
        <f>SUM(H20:H26)</f>
        <v>0</v>
      </c>
      <c r="I27" s="26">
        <f>SUM(I20:I26)</f>
        <v>62111789.894263402</v>
      </c>
      <c r="K27" s="25"/>
      <c r="L27" s="25"/>
      <c r="N27" s="26">
        <f>SUM(N24:N26)</f>
        <v>76897305.959999993</v>
      </c>
      <c r="O27"/>
    </row>
    <row r="28" spans="1:19" ht="12.75">
      <c r="D28" s="1"/>
      <c r="E28" s="16"/>
      <c r="F28" s="1"/>
      <c r="G28" s="1"/>
      <c r="H28" s="6"/>
      <c r="I28" s="6"/>
      <c r="K28" s="25"/>
      <c r="L28" s="25"/>
      <c r="N28" s="34"/>
      <c r="O28" s="32"/>
    </row>
    <row r="29" spans="1:19" hidden="1">
      <c r="B29"/>
      <c r="C29" s="3" t="s">
        <v>41</v>
      </c>
      <c r="D29" s="26">
        <v>0</v>
      </c>
      <c r="E29" s="16"/>
      <c r="F29" s="26"/>
      <c r="G29" s="26">
        <f>D29</f>
        <v>0</v>
      </c>
      <c r="H29" s="6"/>
      <c r="I29" s="6"/>
      <c r="K29" s="25"/>
      <c r="L29" s="25"/>
      <c r="N29" s="26">
        <v>0</v>
      </c>
      <c r="O29" t="s">
        <v>54</v>
      </c>
    </row>
    <row r="30" spans="1:19" hidden="1">
      <c r="B30"/>
      <c r="C30" s="3" t="s">
        <v>23</v>
      </c>
      <c r="D30" s="26">
        <v>0</v>
      </c>
      <c r="E30" s="16"/>
      <c r="F30" s="26"/>
      <c r="G30" s="26">
        <f>D30</f>
        <v>0</v>
      </c>
      <c r="H30" s="6"/>
      <c r="I30" s="6"/>
      <c r="K30" s="25"/>
      <c r="L30" s="25"/>
      <c r="M30" s="21"/>
      <c r="N30" s="26">
        <v>0</v>
      </c>
      <c r="O30" t="s">
        <v>51</v>
      </c>
    </row>
    <row r="31" spans="1:19" hidden="1">
      <c r="B31"/>
      <c r="C31" s="3" t="s">
        <v>24</v>
      </c>
      <c r="D31" s="26">
        <f>N32</f>
        <v>0</v>
      </c>
      <c r="E31" s="16"/>
      <c r="F31" s="31">
        <f>(N30+N29*O21)*K31</f>
        <v>0</v>
      </c>
      <c r="G31" s="31">
        <f>(N30+N29*O21)*L31</f>
        <v>0</v>
      </c>
      <c r="H31" s="6"/>
      <c r="I31" s="31">
        <f>(N31+N29*O22)</f>
        <v>0</v>
      </c>
      <c r="K31" s="25">
        <v>0.7</v>
      </c>
      <c r="L31" s="25">
        <f>1-K31</f>
        <v>0.30000000000000004</v>
      </c>
      <c r="N31" s="43">
        <v>0</v>
      </c>
      <c r="O31" t="s">
        <v>48</v>
      </c>
    </row>
    <row r="32" spans="1:19" hidden="1">
      <c r="B32"/>
      <c r="C32" s="3" t="s">
        <v>25</v>
      </c>
      <c r="D32" s="26">
        <v>0</v>
      </c>
      <c r="E32" s="16"/>
      <c r="F32" s="26">
        <f>D32</f>
        <v>0</v>
      </c>
      <c r="G32" s="26">
        <v>0</v>
      </c>
      <c r="H32" s="6"/>
      <c r="I32" s="6"/>
      <c r="N32" s="33">
        <f>SUM(N29:N31)</f>
        <v>0</v>
      </c>
      <c r="O32"/>
    </row>
    <row r="33" spans="2:18" hidden="1">
      <c r="B33"/>
      <c r="C33" s="3" t="s">
        <v>89</v>
      </c>
      <c r="D33" s="26">
        <v>0</v>
      </c>
      <c r="E33" s="16"/>
      <c r="F33" s="6"/>
      <c r="G33" s="26">
        <f>D33</f>
        <v>0</v>
      </c>
      <c r="H33" s="6"/>
      <c r="I33" s="6"/>
      <c r="N33" s="33"/>
      <c r="O33"/>
    </row>
    <row r="34" spans="2:18" hidden="1">
      <c r="B34"/>
      <c r="C34" s="3" t="s">
        <v>26</v>
      </c>
      <c r="D34" s="26">
        <v>0</v>
      </c>
      <c r="E34" s="16"/>
      <c r="F34" s="26">
        <v>0</v>
      </c>
      <c r="G34" s="26">
        <v>0</v>
      </c>
      <c r="H34" s="6"/>
      <c r="I34" s="6"/>
    </row>
    <row r="35" spans="2:18" hidden="1">
      <c r="B35" s="40" t="s">
        <v>65</v>
      </c>
      <c r="C35" s="14"/>
      <c r="D35" s="11" t="s">
        <v>14</v>
      </c>
      <c r="E35" s="14" t="s">
        <v>13</v>
      </c>
      <c r="F35" s="11" t="s">
        <v>14</v>
      </c>
      <c r="G35" s="11" t="s">
        <v>14</v>
      </c>
      <c r="H35" s="11" t="s">
        <v>14</v>
      </c>
      <c r="I35" s="11" t="s">
        <v>14</v>
      </c>
      <c r="R35" s="30"/>
    </row>
    <row r="36" spans="2:18" hidden="1">
      <c r="B36" s="3" t="s">
        <v>27</v>
      </c>
      <c r="C36"/>
      <c r="D36" s="26">
        <f>SUM(D29:D35)</f>
        <v>0</v>
      </c>
      <c r="E36" s="16"/>
      <c r="F36" s="26">
        <f>SUM(F29:F35)</f>
        <v>0</v>
      </c>
      <c r="G36" s="26">
        <f>SUM(G29:G35)</f>
        <v>0</v>
      </c>
      <c r="H36" s="26">
        <f>SUM(H29:H35)</f>
        <v>0</v>
      </c>
      <c r="I36" s="26">
        <f>SUM(I29:I35)</f>
        <v>0</v>
      </c>
    </row>
    <row r="37" spans="2:18">
      <c r="D37" s="16"/>
      <c r="E37" s="16"/>
      <c r="F37" s="6"/>
      <c r="G37" s="6"/>
      <c r="H37" s="6"/>
      <c r="I37" s="6"/>
      <c r="N37" s="3"/>
    </row>
    <row r="38" spans="2:18" hidden="1">
      <c r="B38"/>
      <c r="C38" s="3" t="s">
        <v>68</v>
      </c>
      <c r="D38" s="26">
        <v>0</v>
      </c>
      <c r="E38" s="16"/>
      <c r="F38" s="6"/>
      <c r="G38" s="6"/>
      <c r="H38" s="6"/>
      <c r="I38" s="26">
        <f t="shared" ref="I38:I65" si="0">IF(K38="Post Merger",D38,0)</f>
        <v>0</v>
      </c>
      <c r="K38" s="3" t="s">
        <v>10</v>
      </c>
    </row>
    <row r="39" spans="2:18" hidden="1">
      <c r="B39"/>
      <c r="C39" s="3" t="s">
        <v>55</v>
      </c>
      <c r="D39" s="26">
        <v>0</v>
      </c>
      <c r="E39" s="16"/>
      <c r="F39" s="6"/>
      <c r="G39" s="6"/>
      <c r="H39" s="6"/>
      <c r="I39" s="26">
        <f t="shared" si="0"/>
        <v>0</v>
      </c>
      <c r="K39" s="3" t="s">
        <v>10</v>
      </c>
    </row>
    <row r="40" spans="2:18" hidden="1">
      <c r="B40"/>
      <c r="C40" s="3" t="s">
        <v>69</v>
      </c>
      <c r="D40" s="26">
        <v>0</v>
      </c>
      <c r="E40" s="16"/>
      <c r="F40" s="6"/>
      <c r="G40" s="6"/>
      <c r="H40" s="6"/>
      <c r="I40" s="26">
        <f t="shared" si="0"/>
        <v>0</v>
      </c>
      <c r="K40" s="3" t="s">
        <v>10</v>
      </c>
    </row>
    <row r="41" spans="2:18" hidden="1">
      <c r="B41"/>
      <c r="C41" s="3" t="s">
        <v>88</v>
      </c>
      <c r="D41" s="26">
        <v>0</v>
      </c>
      <c r="E41" s="16"/>
      <c r="F41" s="6"/>
      <c r="G41" s="6"/>
      <c r="H41" s="6"/>
      <c r="I41" s="26">
        <f t="shared" si="0"/>
        <v>0</v>
      </c>
      <c r="K41" s="3" t="s">
        <v>10</v>
      </c>
    </row>
    <row r="42" spans="2:18" hidden="1">
      <c r="B42"/>
      <c r="C42" s="3" t="s">
        <v>70</v>
      </c>
      <c r="D42" s="26">
        <v>0</v>
      </c>
      <c r="E42" s="16"/>
      <c r="F42" s="6"/>
      <c r="G42" s="6"/>
      <c r="H42" s="6"/>
      <c r="I42" s="26">
        <f t="shared" si="0"/>
        <v>0</v>
      </c>
      <c r="K42" s="3" t="s">
        <v>10</v>
      </c>
    </row>
    <row r="43" spans="2:18">
      <c r="B43"/>
      <c r="C43" s="3" t="s">
        <v>71</v>
      </c>
      <c r="D43" s="26">
        <v>4575693.2</v>
      </c>
      <c r="E43" s="16"/>
      <c r="F43" s="6"/>
      <c r="G43" s="6"/>
      <c r="H43" s="6"/>
      <c r="I43" s="26">
        <f t="shared" si="0"/>
        <v>4575693.2</v>
      </c>
      <c r="K43" s="3" t="s">
        <v>10</v>
      </c>
    </row>
    <row r="44" spans="2:18" hidden="1">
      <c r="B44"/>
      <c r="C44" s="3" t="s">
        <v>72</v>
      </c>
      <c r="D44" s="26">
        <v>0</v>
      </c>
      <c r="E44" s="16"/>
      <c r="F44" s="6"/>
      <c r="G44" s="6"/>
      <c r="H44" s="6"/>
      <c r="I44" s="26">
        <f t="shared" si="0"/>
        <v>0</v>
      </c>
      <c r="K44" s="3" t="s">
        <v>10</v>
      </c>
    </row>
    <row r="45" spans="2:18">
      <c r="B45"/>
      <c r="C45" s="3" t="s">
        <v>46</v>
      </c>
      <c r="D45" s="26">
        <v>8005931.2199999997</v>
      </c>
      <c r="E45" s="16"/>
      <c r="F45" s="6"/>
      <c r="G45" s="6"/>
      <c r="H45" s="6"/>
      <c r="I45" s="26">
        <f t="shared" si="0"/>
        <v>8005931.2199999997</v>
      </c>
      <c r="K45" s="3" t="s">
        <v>10</v>
      </c>
    </row>
    <row r="46" spans="2:18">
      <c r="B46"/>
      <c r="C46" s="3" t="s">
        <v>73</v>
      </c>
      <c r="D46" s="26">
        <v>84152812.780000001</v>
      </c>
      <c r="E46" s="16"/>
      <c r="F46" s="6"/>
      <c r="G46" s="6"/>
      <c r="H46" s="6"/>
      <c r="I46" s="26">
        <f t="shared" si="0"/>
        <v>84152812.780000001</v>
      </c>
      <c r="K46" s="3" t="s">
        <v>10</v>
      </c>
    </row>
    <row r="47" spans="2:18" hidden="1">
      <c r="B47"/>
      <c r="C47" s="3" t="s">
        <v>74</v>
      </c>
      <c r="D47" s="26">
        <v>0</v>
      </c>
      <c r="E47" s="16"/>
      <c r="F47" s="6"/>
      <c r="G47" s="6"/>
      <c r="H47" s="6"/>
      <c r="I47" s="26">
        <f t="shared" si="0"/>
        <v>0</v>
      </c>
      <c r="K47" s="3" t="s">
        <v>10</v>
      </c>
    </row>
    <row r="48" spans="2:18" hidden="1">
      <c r="B48"/>
      <c r="C48" s="3" t="s">
        <v>75</v>
      </c>
      <c r="D48" s="26">
        <v>0</v>
      </c>
      <c r="E48" s="16"/>
      <c r="F48" s="6"/>
      <c r="G48" s="6"/>
      <c r="H48" s="6"/>
      <c r="I48" s="26">
        <f t="shared" si="0"/>
        <v>0</v>
      </c>
      <c r="K48" s="3" t="s">
        <v>10</v>
      </c>
    </row>
    <row r="49" spans="2:11" hidden="1">
      <c r="B49"/>
      <c r="C49" s="3" t="s">
        <v>45</v>
      </c>
      <c r="D49" s="26">
        <v>0</v>
      </c>
      <c r="E49" s="16"/>
      <c r="F49" s="6"/>
      <c r="G49" s="6"/>
      <c r="H49" s="6"/>
      <c r="I49" s="26">
        <f t="shared" si="0"/>
        <v>0</v>
      </c>
      <c r="K49" s="3" t="s">
        <v>10</v>
      </c>
    </row>
    <row r="50" spans="2:11" hidden="1">
      <c r="B50"/>
      <c r="C50" s="22" t="s">
        <v>76</v>
      </c>
      <c r="D50" s="26">
        <v>0</v>
      </c>
      <c r="E50" s="16"/>
      <c r="F50" s="6"/>
      <c r="G50" s="6"/>
      <c r="H50" s="6"/>
      <c r="I50" s="26">
        <f t="shared" si="0"/>
        <v>0</v>
      </c>
      <c r="K50" s="3" t="s">
        <v>10</v>
      </c>
    </row>
    <row r="51" spans="2:11" hidden="1">
      <c r="B51"/>
      <c r="C51" s="3" t="s">
        <v>77</v>
      </c>
      <c r="D51" s="26">
        <v>0</v>
      </c>
      <c r="E51" s="16"/>
      <c r="F51" s="6"/>
      <c r="G51" s="6"/>
      <c r="H51" s="6"/>
      <c r="I51" s="26">
        <f t="shared" si="0"/>
        <v>0</v>
      </c>
      <c r="K51" s="3" t="s">
        <v>10</v>
      </c>
    </row>
    <row r="52" spans="2:11" hidden="1">
      <c r="B52"/>
      <c r="C52" s="3" t="s">
        <v>78</v>
      </c>
      <c r="D52" s="26">
        <v>0</v>
      </c>
      <c r="E52" s="16"/>
      <c r="F52" s="6"/>
      <c r="G52" s="6"/>
      <c r="H52" s="6"/>
      <c r="I52" s="26">
        <f t="shared" si="0"/>
        <v>0</v>
      </c>
      <c r="K52" s="3" t="s">
        <v>10</v>
      </c>
    </row>
    <row r="53" spans="2:11" hidden="1">
      <c r="B53"/>
      <c r="C53" s="3" t="s">
        <v>79</v>
      </c>
      <c r="D53" s="26">
        <v>0</v>
      </c>
      <c r="E53" s="16"/>
      <c r="F53" s="6"/>
      <c r="G53" s="6"/>
      <c r="H53" s="6"/>
      <c r="I53" s="26">
        <f t="shared" si="0"/>
        <v>0</v>
      </c>
      <c r="K53" s="3" t="s">
        <v>10</v>
      </c>
    </row>
    <row r="54" spans="2:11" hidden="1">
      <c r="B54"/>
      <c r="C54" s="3" t="s">
        <v>80</v>
      </c>
      <c r="D54" s="26">
        <v>0</v>
      </c>
      <c r="E54" s="16"/>
      <c r="F54" s="6"/>
      <c r="G54" s="6"/>
      <c r="H54" s="6"/>
      <c r="I54" s="26">
        <f t="shared" si="0"/>
        <v>0</v>
      </c>
      <c r="K54" s="3" t="s">
        <v>10</v>
      </c>
    </row>
    <row r="55" spans="2:11" hidden="1">
      <c r="B55"/>
      <c r="C55" s="3" t="s">
        <v>81</v>
      </c>
      <c r="D55" s="26">
        <v>0</v>
      </c>
      <c r="E55" s="16"/>
      <c r="F55" s="6"/>
      <c r="G55" s="6"/>
      <c r="H55" s="6"/>
      <c r="I55" s="26">
        <f t="shared" si="0"/>
        <v>0</v>
      </c>
      <c r="K55" s="3" t="s">
        <v>10</v>
      </c>
    </row>
    <row r="56" spans="2:11" hidden="1">
      <c r="B56"/>
      <c r="C56" s="3" t="s">
        <v>82</v>
      </c>
      <c r="D56" s="26">
        <v>0</v>
      </c>
      <c r="E56" s="16"/>
      <c r="F56" s="6"/>
      <c r="G56" s="6"/>
      <c r="H56" s="6"/>
      <c r="I56" s="26">
        <f t="shared" si="0"/>
        <v>0</v>
      </c>
      <c r="K56" s="3" t="s">
        <v>10</v>
      </c>
    </row>
    <row r="57" spans="2:11" hidden="1">
      <c r="B57"/>
      <c r="C57" s="27" t="s">
        <v>83</v>
      </c>
      <c r="D57" s="26">
        <v>0</v>
      </c>
      <c r="E57" s="16"/>
      <c r="F57" s="6"/>
      <c r="G57" s="6"/>
      <c r="H57" s="6"/>
      <c r="I57" s="26">
        <f t="shared" si="0"/>
        <v>0</v>
      </c>
      <c r="K57" s="3" t="s">
        <v>10</v>
      </c>
    </row>
    <row r="58" spans="2:11" hidden="1">
      <c r="B58"/>
      <c r="C58" s="27" t="s">
        <v>92</v>
      </c>
      <c r="D58" s="26">
        <v>0</v>
      </c>
      <c r="E58" s="16"/>
      <c r="F58" s="6"/>
      <c r="G58" s="6"/>
      <c r="H58" s="6"/>
      <c r="I58" s="26">
        <f t="shared" si="0"/>
        <v>0</v>
      </c>
      <c r="K58" s="3" t="s">
        <v>10</v>
      </c>
    </row>
    <row r="59" spans="2:11" hidden="1">
      <c r="B59"/>
      <c r="C59" s="3" t="s">
        <v>84</v>
      </c>
      <c r="D59" s="26">
        <v>0</v>
      </c>
      <c r="E59" s="16"/>
      <c r="F59" s="6"/>
      <c r="G59" s="6"/>
      <c r="H59" s="6"/>
      <c r="I59" s="26">
        <f t="shared" si="0"/>
        <v>0</v>
      </c>
      <c r="K59" s="3" t="s">
        <v>10</v>
      </c>
    </row>
    <row r="60" spans="2:11" hidden="1">
      <c r="B60"/>
      <c r="C60" s="3" t="s">
        <v>95</v>
      </c>
      <c r="D60" s="26">
        <v>0</v>
      </c>
      <c r="E60" s="16"/>
      <c r="F60" s="6"/>
      <c r="G60" s="6"/>
      <c r="H60" s="6"/>
      <c r="I60" s="26">
        <f t="shared" si="0"/>
        <v>0</v>
      </c>
      <c r="K60" s="3" t="s">
        <v>10</v>
      </c>
    </row>
    <row r="61" spans="2:11" hidden="1">
      <c r="B61"/>
      <c r="C61" s="3" t="s">
        <v>85</v>
      </c>
      <c r="D61" s="26">
        <v>0</v>
      </c>
      <c r="E61" s="16"/>
      <c r="F61" s="6"/>
      <c r="G61" s="6"/>
      <c r="H61" s="6"/>
      <c r="I61" s="26">
        <f t="shared" si="0"/>
        <v>0</v>
      </c>
      <c r="K61" s="3" t="s">
        <v>10</v>
      </c>
    </row>
    <row r="62" spans="2:11" hidden="1">
      <c r="B62"/>
      <c r="C62" s="3" t="s">
        <v>86</v>
      </c>
      <c r="D62" s="26">
        <v>0</v>
      </c>
      <c r="E62" s="16"/>
      <c r="F62" s="6"/>
      <c r="G62" s="6"/>
      <c r="H62" s="6"/>
      <c r="I62" s="26">
        <f t="shared" si="0"/>
        <v>0</v>
      </c>
      <c r="K62" s="3" t="s">
        <v>10</v>
      </c>
    </row>
    <row r="63" spans="2:11" hidden="1">
      <c r="B63"/>
      <c r="C63" s="3" t="s">
        <v>94</v>
      </c>
      <c r="D63" s="26">
        <v>0</v>
      </c>
      <c r="E63" s="16"/>
      <c r="F63" s="6"/>
      <c r="G63" s="6"/>
      <c r="H63" s="6"/>
      <c r="I63" s="26">
        <f t="shared" si="0"/>
        <v>0</v>
      </c>
      <c r="K63" s="3" t="s">
        <v>10</v>
      </c>
    </row>
    <row r="64" spans="2:11" hidden="1">
      <c r="B64"/>
      <c r="C64" s="27" t="s">
        <v>87</v>
      </c>
      <c r="D64" s="26">
        <v>0</v>
      </c>
      <c r="E64" s="16"/>
      <c r="F64" s="6"/>
      <c r="G64" s="6"/>
      <c r="H64" s="6"/>
      <c r="I64" s="26">
        <f t="shared" si="0"/>
        <v>0</v>
      </c>
      <c r="K64" s="3" t="s">
        <v>10</v>
      </c>
    </row>
    <row r="65" spans="1:16" hidden="1">
      <c r="B65"/>
      <c r="C65" s="3" t="s">
        <v>93</v>
      </c>
      <c r="D65" s="26">
        <v>0</v>
      </c>
      <c r="E65" s="16"/>
      <c r="F65" s="6"/>
      <c r="G65" s="6"/>
      <c r="H65" s="6"/>
      <c r="I65" s="26">
        <f t="shared" si="0"/>
        <v>0</v>
      </c>
      <c r="K65" s="3" t="s">
        <v>10</v>
      </c>
    </row>
    <row r="66" spans="1:16" ht="11.25" thickBot="1">
      <c r="B66"/>
      <c r="C66" s="27"/>
      <c r="D66" s="26"/>
      <c r="E66" s="16"/>
      <c r="F66" s="6"/>
      <c r="G66" s="6"/>
      <c r="H66" s="6"/>
      <c r="I66" s="26"/>
    </row>
    <row r="67" spans="1:16" hidden="1">
      <c r="B67" s="22" t="s">
        <v>64</v>
      </c>
      <c r="C67" s="27"/>
      <c r="D67" s="26"/>
      <c r="E67" s="16"/>
      <c r="F67" s="6"/>
      <c r="G67" s="6"/>
      <c r="H67" s="6"/>
      <c r="I67" s="26"/>
    </row>
    <row r="68" spans="1:16" ht="11.25" hidden="1" thickBot="1">
      <c r="B68"/>
      <c r="C68" s="3" t="s">
        <v>96</v>
      </c>
      <c r="D68" s="26">
        <v>0</v>
      </c>
      <c r="E68" s="16"/>
      <c r="F68" s="6"/>
      <c r="G68" s="6"/>
      <c r="H68" s="6"/>
      <c r="I68" s="26">
        <f>IF(K68="Post Merger",D68,0)</f>
        <v>0</v>
      </c>
      <c r="K68" s="3" t="s">
        <v>10</v>
      </c>
    </row>
    <row r="69" spans="1:16" ht="11.25" thickBot="1">
      <c r="B69"/>
      <c r="D69" s="16"/>
      <c r="E69" s="16"/>
      <c r="F69" s="6"/>
      <c r="G69" s="6"/>
      <c r="H69" s="6"/>
      <c r="I69" s="6"/>
      <c r="K69" s="36">
        <v>0</v>
      </c>
      <c r="L69" s="24" t="s">
        <v>40</v>
      </c>
      <c r="M69" s="37">
        <v>0</v>
      </c>
    </row>
    <row r="70" spans="1:16">
      <c r="B70"/>
      <c r="C70" t="s">
        <v>115</v>
      </c>
      <c r="D70" s="26">
        <v>67492994.709999993</v>
      </c>
      <c r="E70" s="16"/>
      <c r="F70" s="6"/>
      <c r="G70" s="6"/>
      <c r="H70" s="6"/>
      <c r="I70" s="26">
        <f>D70</f>
        <v>67492994.709999993</v>
      </c>
    </row>
    <row r="71" spans="1:16" ht="11.25" thickBot="1">
      <c r="B71" s="40" t="s">
        <v>65</v>
      </c>
      <c r="C71" s="14"/>
      <c r="D71" s="11" t="s">
        <v>14</v>
      </c>
      <c r="E71" s="14" t="s">
        <v>13</v>
      </c>
      <c r="F71" s="11" t="s">
        <v>14</v>
      </c>
      <c r="G71" s="11" t="s">
        <v>14</v>
      </c>
      <c r="H71" s="11" t="s">
        <v>14</v>
      </c>
      <c r="I71" s="11" t="s">
        <v>14</v>
      </c>
    </row>
    <row r="72" spans="1:16" ht="11.25" thickBot="1">
      <c r="B72" s="3" t="s">
        <v>28</v>
      </c>
      <c r="C72"/>
      <c r="D72" s="26">
        <f>SUM(D38:D70)</f>
        <v>164227431.91</v>
      </c>
      <c r="E72" s="16"/>
      <c r="F72" s="26">
        <f>SUM(F38:F70)</f>
        <v>0</v>
      </c>
      <c r="G72" s="26">
        <f>SUM(G38:G70)</f>
        <v>0</v>
      </c>
      <c r="H72" s="26">
        <f>SUM(H38:H70)</f>
        <v>0</v>
      </c>
      <c r="I72" s="26">
        <f>SUM(I38:I70)</f>
        <v>164227431.91</v>
      </c>
      <c r="K72" s="36"/>
      <c r="L72" s="24" t="s">
        <v>40</v>
      </c>
      <c r="M72" s="37">
        <f>D72-SUM(F72:I72)</f>
        <v>0</v>
      </c>
    </row>
    <row r="73" spans="1:16">
      <c r="B73" s="3" t="s">
        <v>116</v>
      </c>
      <c r="D73" s="26">
        <v>663166.31000000006</v>
      </c>
      <c r="E73" s="16"/>
      <c r="F73" s="14"/>
      <c r="H73" s="26"/>
      <c r="I73" s="26">
        <f>D73</f>
        <v>663166.31000000006</v>
      </c>
      <c r="J73"/>
      <c r="K73"/>
      <c r="L73"/>
      <c r="M73"/>
    </row>
    <row r="74" spans="1:16">
      <c r="B74" s="3" t="s">
        <v>29</v>
      </c>
      <c r="C74"/>
      <c r="D74" s="26">
        <v>0</v>
      </c>
      <c r="E74" s="16"/>
      <c r="F74" s="26"/>
      <c r="G74" s="26"/>
      <c r="H74" s="26">
        <f>D74</f>
        <v>0</v>
      </c>
      <c r="I74" s="6"/>
    </row>
    <row r="75" spans="1:16" ht="11.25" thickBot="1">
      <c r="D75" s="11" t="s">
        <v>14</v>
      </c>
      <c r="E75" s="14" t="s">
        <v>13</v>
      </c>
      <c r="F75" s="11" t="s">
        <v>14</v>
      </c>
      <c r="G75" s="11" t="s">
        <v>14</v>
      </c>
      <c r="H75" s="11" t="s">
        <v>14</v>
      </c>
      <c r="I75" s="11" t="s">
        <v>14</v>
      </c>
    </row>
    <row r="76" spans="1:16" ht="11.25" thickBot="1">
      <c r="A76" s="3" t="s">
        <v>30</v>
      </c>
      <c r="D76" s="26">
        <f>D72+D73+D74+D36+D27</f>
        <v>241909657.37</v>
      </c>
      <c r="E76" s="16"/>
      <c r="F76" s="26">
        <f>F72+F73+F74+F36+F27</f>
        <v>2529420.7641726462</v>
      </c>
      <c r="G76" s="26">
        <f>G72+G73+G74+G36+G27</f>
        <v>12377848.49156395</v>
      </c>
      <c r="H76" s="26">
        <f>H72+H73+H74+H36+H27</f>
        <v>0</v>
      </c>
      <c r="I76" s="26">
        <f>I72+I73+I74+I36+I27</f>
        <v>227002388.11426342</v>
      </c>
      <c r="K76" s="36">
        <v>0</v>
      </c>
      <c r="L76" s="24" t="s">
        <v>40</v>
      </c>
      <c r="M76" s="37">
        <f>D76-SUM(F76:I76)</f>
        <v>0</v>
      </c>
    </row>
    <row r="77" spans="1:16">
      <c r="D77" s="16"/>
      <c r="E77" s="16"/>
      <c r="F77" s="16"/>
      <c r="G77" s="16"/>
      <c r="H77" s="16"/>
      <c r="I77" s="16"/>
    </row>
    <row r="78" spans="1:16">
      <c r="D78" s="16"/>
      <c r="E78" s="16"/>
      <c r="F78" s="16"/>
      <c r="G78" s="16"/>
      <c r="H78" s="16"/>
      <c r="I78" s="16"/>
    </row>
    <row r="79" spans="1:16" ht="11.25">
      <c r="A79" s="3" t="s">
        <v>31</v>
      </c>
      <c r="F79" s="6"/>
      <c r="G79" s="6"/>
      <c r="H79" s="6"/>
      <c r="I79" s="6"/>
      <c r="N79" s="29" t="s">
        <v>60</v>
      </c>
      <c r="O79" s="32">
        <v>24999835.973468848</v>
      </c>
      <c r="P79" s="26"/>
    </row>
    <row r="80" spans="1:16" ht="11.25">
      <c r="F80" s="6"/>
      <c r="G80" s="6"/>
      <c r="H80" s="6"/>
      <c r="I80" s="6"/>
      <c r="N80" s="29" t="s">
        <v>61</v>
      </c>
      <c r="O80" s="32">
        <v>0</v>
      </c>
      <c r="P80" s="26"/>
    </row>
    <row r="81" spans="1:16" customFormat="1" ht="11.25">
      <c r="A81" s="3"/>
      <c r="B81" s="3" t="s">
        <v>32</v>
      </c>
      <c r="D81" s="26">
        <f>SUM(F81:I81)</f>
        <v>24999835.973468848</v>
      </c>
      <c r="E81" s="16"/>
      <c r="F81" s="26">
        <f>O79</f>
        <v>24999835.973468848</v>
      </c>
      <c r="G81" s="6"/>
      <c r="H81" s="6"/>
      <c r="I81" s="6"/>
      <c r="J81" s="3"/>
      <c r="K81" s="18"/>
      <c r="L81" s="3"/>
      <c r="M81" s="3"/>
      <c r="N81" s="29" t="s">
        <v>62</v>
      </c>
      <c r="O81" s="32">
        <v>83604574.000558719</v>
      </c>
      <c r="P81" s="38"/>
    </row>
    <row r="82" spans="1:16" ht="11.25" hidden="1">
      <c r="A82"/>
      <c r="B82"/>
      <c r="C82"/>
      <c r="D82"/>
      <c r="E82"/>
      <c r="F82"/>
      <c r="G82"/>
      <c r="H82"/>
      <c r="I82"/>
      <c r="J82"/>
      <c r="K82" s="23"/>
      <c r="L82"/>
      <c r="M82"/>
      <c r="N82" s="29" t="s">
        <v>91</v>
      </c>
      <c r="O82" s="32">
        <v>0</v>
      </c>
      <c r="P82" s="26"/>
    </row>
    <row r="83" spans="1:16" ht="12" thickBot="1">
      <c r="B83" s="3" t="s">
        <v>33</v>
      </c>
      <c r="C83"/>
      <c r="D83" s="26">
        <f>SUM(F83:I83)</f>
        <v>0</v>
      </c>
      <c r="E83" s="16"/>
      <c r="F83" s="26">
        <f>O80</f>
        <v>0</v>
      </c>
      <c r="G83" s="6"/>
      <c r="H83" s="6"/>
      <c r="I83" s="6"/>
      <c r="N83" s="29" t="s">
        <v>63</v>
      </c>
      <c r="O83" s="32">
        <v>1038267.1499999999</v>
      </c>
      <c r="P83" s="26"/>
    </row>
    <row r="84" spans="1:16" ht="11.25" hidden="1" thickBot="1">
      <c r="C84"/>
      <c r="D84" s="16"/>
      <c r="E84" s="16"/>
      <c r="F84" s="6"/>
      <c r="G84" s="6"/>
      <c r="H84" s="6"/>
      <c r="I84" s="6"/>
      <c r="O84" s="32">
        <f>SUM(O79:O83)</f>
        <v>109642677.12402758</v>
      </c>
      <c r="P84" s="26"/>
    </row>
    <row r="85" spans="1:16" ht="11.25" thickBot="1">
      <c r="B85" s="3" t="s">
        <v>10</v>
      </c>
      <c r="C85"/>
      <c r="D85" s="26">
        <f>D90-(D81+D83+D87)</f>
        <v>84642841.02653116</v>
      </c>
      <c r="E85" s="16"/>
      <c r="F85" s="17"/>
      <c r="G85" s="6"/>
      <c r="H85" s="6"/>
      <c r="I85" s="26">
        <f>D85</f>
        <v>84642841.02653116</v>
      </c>
      <c r="N85" s="47" t="s">
        <v>40</v>
      </c>
      <c r="O85" s="37">
        <v>0</v>
      </c>
      <c r="P85" s="46"/>
    </row>
    <row r="86" spans="1:16" hidden="1">
      <c r="F86" s="6"/>
      <c r="G86" s="6"/>
      <c r="H86" s="6"/>
      <c r="I86" s="6"/>
    </row>
    <row r="87" spans="1:16" customFormat="1">
      <c r="A87" s="3"/>
      <c r="B87" t="s">
        <v>34</v>
      </c>
      <c r="C87" s="3"/>
      <c r="D87" s="26">
        <v>0</v>
      </c>
      <c r="E87" s="16"/>
      <c r="F87" s="6"/>
      <c r="H87" s="26">
        <f>D87</f>
        <v>0</v>
      </c>
      <c r="I87" s="6"/>
      <c r="J87" s="3"/>
      <c r="K87" s="3"/>
      <c r="L87" s="3"/>
      <c r="M87" s="3"/>
      <c r="N87" s="27"/>
    </row>
    <row r="88" spans="1:16">
      <c r="A88"/>
      <c r="B88"/>
      <c r="C88"/>
      <c r="D88"/>
      <c r="E88"/>
      <c r="F88"/>
      <c r="G88"/>
      <c r="H88"/>
      <c r="I88"/>
      <c r="J88"/>
      <c r="K88"/>
      <c r="L88"/>
      <c r="M88"/>
    </row>
    <row r="89" spans="1:16" ht="11.25" thickBot="1">
      <c r="D89" s="11" t="s">
        <v>14</v>
      </c>
      <c r="E89" s="14" t="s">
        <v>13</v>
      </c>
      <c r="F89" s="11" t="s">
        <v>14</v>
      </c>
      <c r="G89" s="11" t="s">
        <v>14</v>
      </c>
      <c r="H89" s="11" t="s">
        <v>14</v>
      </c>
      <c r="I89" s="11" t="s">
        <v>14</v>
      </c>
    </row>
    <row r="90" spans="1:16" customFormat="1" ht="11.25" thickBot="1">
      <c r="A90" s="3" t="s">
        <v>35</v>
      </c>
      <c r="B90" s="3"/>
      <c r="C90" s="3"/>
      <c r="D90" s="26">
        <v>109642677</v>
      </c>
      <c r="E90" s="16"/>
      <c r="F90" s="26">
        <f>SUM(F81:F87)</f>
        <v>24999835.973468848</v>
      </c>
      <c r="G90" s="26">
        <f>SUM(G81:G87)</f>
        <v>0</v>
      </c>
      <c r="H90" s="26">
        <f>SUM(H81:H87)</f>
        <v>0</v>
      </c>
      <c r="I90" s="26">
        <f>SUM(I81:I87)</f>
        <v>84642841.02653116</v>
      </c>
      <c r="J90" s="3"/>
      <c r="K90" s="36">
        <f>D90-(D81+D83+D85+D87)</f>
        <v>0</v>
      </c>
      <c r="L90" s="24" t="s">
        <v>40</v>
      </c>
      <c r="M90" s="37">
        <f>D90-SUM(F90:I90)</f>
        <v>0</v>
      </c>
      <c r="N90" s="27"/>
    </row>
    <row r="91" spans="1:16" customFormat="1">
      <c r="A91" s="3"/>
      <c r="B91" s="3"/>
      <c r="C91" s="3"/>
      <c r="D91" s="3"/>
      <c r="E91" s="3"/>
      <c r="G91" s="3"/>
      <c r="H91" s="3"/>
      <c r="I91" s="3"/>
      <c r="N91" s="27"/>
    </row>
    <row r="92" spans="1:16" customFormat="1">
      <c r="A92" s="3" t="s">
        <v>36</v>
      </c>
      <c r="B92" s="3"/>
      <c r="C92" s="3"/>
      <c r="D92" s="3"/>
      <c r="E92" s="3"/>
      <c r="G92" s="3"/>
      <c r="H92" s="3"/>
      <c r="I92" s="3"/>
      <c r="N92" s="27"/>
    </row>
    <row r="93" spans="1:16" customFormat="1" hidden="1">
      <c r="A93" s="3"/>
      <c r="B93" s="16" t="s">
        <v>98</v>
      </c>
      <c r="C93" s="3"/>
      <c r="D93" s="26">
        <v>0</v>
      </c>
      <c r="E93" s="16"/>
      <c r="G93" s="3"/>
      <c r="H93" s="26">
        <f t="shared" ref="H93:H107" si="1">D93</f>
        <v>0</v>
      </c>
      <c r="I93" s="2"/>
      <c r="N93" s="27"/>
    </row>
    <row r="94" spans="1:16" customFormat="1" hidden="1">
      <c r="A94" s="3"/>
      <c r="B94" s="16" t="s">
        <v>99</v>
      </c>
      <c r="C94" s="3"/>
      <c r="D94" s="26">
        <v>0</v>
      </c>
      <c r="E94" s="16"/>
      <c r="G94" s="3"/>
      <c r="H94" s="26">
        <f t="shared" si="1"/>
        <v>0</v>
      </c>
      <c r="I94" s="2"/>
      <c r="N94" s="27"/>
    </row>
    <row r="95" spans="1:16" customFormat="1">
      <c r="A95" s="3"/>
      <c r="B95" s="16" t="s">
        <v>100</v>
      </c>
      <c r="C95" s="3"/>
      <c r="D95" s="26">
        <v>8051919.5899999999</v>
      </c>
      <c r="E95" s="16"/>
      <c r="G95" s="3"/>
      <c r="H95" s="26">
        <f t="shared" si="1"/>
        <v>8051919.5899999999</v>
      </c>
      <c r="I95" s="2"/>
      <c r="N95" s="27"/>
    </row>
    <row r="96" spans="1:16" customFormat="1" hidden="1">
      <c r="A96" s="3"/>
      <c r="B96" s="16" t="s">
        <v>101</v>
      </c>
      <c r="C96" s="3"/>
      <c r="D96" s="26">
        <v>0</v>
      </c>
      <c r="E96" s="16"/>
      <c r="G96" s="3"/>
      <c r="H96" s="26">
        <f t="shared" si="1"/>
        <v>0</v>
      </c>
      <c r="I96" s="2"/>
      <c r="N96" s="27"/>
    </row>
    <row r="97" spans="1:14" customFormat="1">
      <c r="A97" s="3"/>
      <c r="B97" s="16" t="s">
        <v>66</v>
      </c>
      <c r="C97" s="3"/>
      <c r="D97" s="26">
        <v>50918245.159999996</v>
      </c>
      <c r="E97" s="16"/>
      <c r="G97" s="3"/>
      <c r="H97" s="26">
        <f t="shared" si="1"/>
        <v>50918245.159999996</v>
      </c>
      <c r="I97" s="2"/>
      <c r="N97" s="27"/>
    </row>
    <row r="98" spans="1:14" customFormat="1" hidden="1">
      <c r="A98" s="3"/>
      <c r="B98" s="16" t="s">
        <v>47</v>
      </c>
      <c r="C98" s="3"/>
      <c r="D98" s="26">
        <v>0</v>
      </c>
      <c r="E98" s="16"/>
      <c r="G98" s="3"/>
      <c r="H98" s="26">
        <f t="shared" si="1"/>
        <v>0</v>
      </c>
      <c r="I98" s="2"/>
      <c r="N98" s="27"/>
    </row>
    <row r="99" spans="1:14" customFormat="1" hidden="1">
      <c r="A99" s="3"/>
      <c r="B99" s="16" t="s">
        <v>102</v>
      </c>
      <c r="C99" s="3"/>
      <c r="D99" s="26">
        <v>0</v>
      </c>
      <c r="E99" s="16"/>
      <c r="G99" s="3"/>
      <c r="H99" s="26">
        <f t="shared" si="1"/>
        <v>0</v>
      </c>
      <c r="I99" s="2"/>
      <c r="N99" s="27"/>
    </row>
    <row r="100" spans="1:14" customFormat="1" hidden="1">
      <c r="A100" s="3"/>
      <c r="B100" s="16" t="s">
        <v>103</v>
      </c>
      <c r="C100" s="3"/>
      <c r="D100" s="26">
        <v>0</v>
      </c>
      <c r="E100" s="16"/>
      <c r="G100" s="3"/>
      <c r="H100" s="26">
        <f t="shared" si="1"/>
        <v>0</v>
      </c>
      <c r="I100" s="2"/>
      <c r="N100" s="27"/>
    </row>
    <row r="101" spans="1:14" customFormat="1" hidden="1">
      <c r="A101" s="3"/>
      <c r="B101" s="16" t="s">
        <v>104</v>
      </c>
      <c r="C101" s="3"/>
      <c r="D101" s="26">
        <v>0</v>
      </c>
      <c r="E101" s="16"/>
      <c r="G101" s="3"/>
      <c r="H101" s="26">
        <f t="shared" si="1"/>
        <v>0</v>
      </c>
      <c r="I101" s="2"/>
      <c r="N101" s="27"/>
    </row>
    <row r="102" spans="1:14" customFormat="1" hidden="1">
      <c r="A102" s="3"/>
      <c r="B102" s="16" t="s">
        <v>105</v>
      </c>
      <c r="C102" s="3"/>
      <c r="D102" s="26">
        <v>0</v>
      </c>
      <c r="E102" s="16"/>
      <c r="F102" s="14"/>
      <c r="G102" s="3"/>
      <c r="H102" s="26">
        <f t="shared" si="1"/>
        <v>0</v>
      </c>
      <c r="I102" s="2"/>
      <c r="N102" s="27"/>
    </row>
    <row r="103" spans="1:14" customFormat="1">
      <c r="A103" s="3"/>
      <c r="B103" s="16" t="s">
        <v>106</v>
      </c>
      <c r="C103" s="3"/>
      <c r="D103" s="26">
        <v>46003985.939999998</v>
      </c>
      <c r="E103" s="16"/>
      <c r="F103" s="14"/>
      <c r="G103" s="3"/>
      <c r="H103" s="26">
        <f t="shared" si="1"/>
        <v>46003985.939999998</v>
      </c>
      <c r="I103" s="2"/>
      <c r="N103" s="27"/>
    </row>
    <row r="104" spans="1:14" customFormat="1" hidden="1">
      <c r="A104" s="3"/>
      <c r="B104" s="16" t="s">
        <v>107</v>
      </c>
      <c r="C104" s="3"/>
      <c r="D104" s="26">
        <v>0</v>
      </c>
      <c r="E104" s="16"/>
      <c r="F104" s="14"/>
      <c r="G104" s="3"/>
      <c r="H104" s="26">
        <f t="shared" si="1"/>
        <v>0</v>
      </c>
      <c r="I104" s="2"/>
      <c r="N104" s="27"/>
    </row>
    <row r="105" spans="1:14" customFormat="1" hidden="1">
      <c r="A105" s="3"/>
      <c r="B105" s="16" t="s">
        <v>108</v>
      </c>
      <c r="C105" s="3"/>
      <c r="D105" s="26">
        <v>0</v>
      </c>
      <c r="E105" s="16"/>
      <c r="F105" s="14"/>
      <c r="G105" s="3"/>
      <c r="H105" s="26">
        <f t="shared" si="1"/>
        <v>0</v>
      </c>
      <c r="I105" s="2"/>
      <c r="N105" s="27"/>
    </row>
    <row r="106" spans="1:14" customFormat="1">
      <c r="A106" s="3"/>
      <c r="B106" s="16" t="s">
        <v>109</v>
      </c>
      <c r="C106" s="3"/>
      <c r="D106" s="26">
        <v>198244684.53999999</v>
      </c>
      <c r="E106" s="16"/>
      <c r="F106" s="14"/>
      <c r="G106" s="3"/>
      <c r="H106" s="26">
        <f t="shared" si="1"/>
        <v>198244684.53999999</v>
      </c>
      <c r="I106" s="2"/>
      <c r="N106" s="27"/>
    </row>
    <row r="107" spans="1:14" customFormat="1" hidden="1">
      <c r="A107" s="3"/>
      <c r="B107" s="16" t="s">
        <v>110</v>
      </c>
      <c r="C107" s="3"/>
      <c r="D107" s="26">
        <v>0</v>
      </c>
      <c r="E107" s="16"/>
      <c r="F107" s="14"/>
      <c r="G107" s="3"/>
      <c r="H107" s="26">
        <f t="shared" si="1"/>
        <v>0</v>
      </c>
      <c r="I107" s="2"/>
      <c r="N107" s="27"/>
    </row>
    <row r="108" spans="1:14" customFormat="1" hidden="1">
      <c r="A108" s="3"/>
      <c r="B108" s="16"/>
      <c r="C108" s="3"/>
      <c r="D108" s="26"/>
      <c r="E108" s="16"/>
      <c r="F108" s="14"/>
      <c r="G108" s="3"/>
      <c r="H108" s="26"/>
      <c r="I108" s="2"/>
      <c r="N108" s="27"/>
    </row>
    <row r="109" spans="1:14" customFormat="1" hidden="1">
      <c r="A109" s="3"/>
      <c r="B109" s="16" t="s">
        <v>111</v>
      </c>
      <c r="C109" s="3"/>
      <c r="D109" s="26">
        <v>0</v>
      </c>
      <c r="E109" s="16"/>
      <c r="F109" s="14"/>
      <c r="G109" s="3"/>
      <c r="H109" s="26">
        <f>D109</f>
        <v>0</v>
      </c>
      <c r="I109" s="2"/>
      <c r="N109" s="27"/>
    </row>
    <row r="110" spans="1:14" customFormat="1" hidden="1">
      <c r="A110" s="3"/>
      <c r="B110" s="16" t="s">
        <v>112</v>
      </c>
      <c r="C110" s="3"/>
      <c r="D110" s="26">
        <v>0</v>
      </c>
      <c r="E110" s="16"/>
      <c r="F110" s="14"/>
      <c r="G110" s="3"/>
      <c r="H110" s="26">
        <f>D110</f>
        <v>0</v>
      </c>
      <c r="I110" s="2"/>
      <c r="N110" s="27"/>
    </row>
    <row r="111" spans="1:14" customFormat="1" hidden="1">
      <c r="A111" s="3"/>
      <c r="B111" s="16" t="s">
        <v>113</v>
      </c>
      <c r="C111" s="3"/>
      <c r="D111" s="26">
        <v>0</v>
      </c>
      <c r="E111" s="16"/>
      <c r="F111" s="14"/>
      <c r="G111" s="3"/>
      <c r="H111" s="26">
        <f>D111</f>
        <v>0</v>
      </c>
      <c r="I111" s="2"/>
      <c r="N111" s="27"/>
    </row>
    <row r="112" spans="1:14" customFormat="1" hidden="1">
      <c r="A112" s="3"/>
      <c r="B112" s="16"/>
      <c r="C112" s="3"/>
      <c r="D112" s="26"/>
      <c r="E112" s="16"/>
      <c r="F112" s="14"/>
      <c r="G112" s="3"/>
      <c r="H112" s="26"/>
      <c r="I112" s="2"/>
      <c r="N112" s="27"/>
    </row>
    <row r="113" spans="1:14" customFormat="1" hidden="1">
      <c r="A113" s="3"/>
      <c r="B113" s="16" t="s">
        <v>114</v>
      </c>
      <c r="C113" s="3"/>
      <c r="D113" s="26">
        <v>0</v>
      </c>
      <c r="E113" s="16"/>
      <c r="F113" s="14"/>
      <c r="G113" s="3"/>
      <c r="H113" s="26">
        <f>D113</f>
        <v>0</v>
      </c>
      <c r="I113" s="2"/>
      <c r="N113" s="27"/>
    </row>
    <row r="114" spans="1:14" customFormat="1" ht="11.25" thickBot="1">
      <c r="A114" s="3"/>
      <c r="B114" s="3"/>
      <c r="C114" s="3"/>
      <c r="D114" s="11" t="s">
        <v>14</v>
      </c>
      <c r="E114" s="14" t="s">
        <v>13</v>
      </c>
      <c r="F114" s="11" t="s">
        <v>14</v>
      </c>
      <c r="G114" s="11" t="s">
        <v>14</v>
      </c>
      <c r="H114" s="11" t="s">
        <v>14</v>
      </c>
      <c r="I114" s="11" t="s">
        <v>14</v>
      </c>
      <c r="N114" s="27"/>
    </row>
    <row r="115" spans="1:14" customFormat="1" ht="11.25" thickBot="1">
      <c r="A115" s="3" t="s">
        <v>37</v>
      </c>
      <c r="B115" s="3"/>
      <c r="C115" s="3"/>
      <c r="D115" s="26">
        <f>SUM(D93:D113)</f>
        <v>303218835.23000002</v>
      </c>
      <c r="E115" s="16"/>
      <c r="F115" s="26">
        <f>SUM(F92:F113)</f>
        <v>0</v>
      </c>
      <c r="G115" s="26">
        <f>SUM(G92:G113)</f>
        <v>0</v>
      </c>
      <c r="H115" s="26">
        <f>SUM(H92:H113)</f>
        <v>303218835.23000002</v>
      </c>
      <c r="I115" s="26">
        <f>SUM(I92:I105)</f>
        <v>0</v>
      </c>
      <c r="K115" s="36">
        <v>0</v>
      </c>
      <c r="L115" s="24" t="s">
        <v>40</v>
      </c>
      <c r="M115" s="37">
        <f>D115-SUM(F115:I115)</f>
        <v>0</v>
      </c>
      <c r="N115" s="27"/>
    </row>
    <row r="116" spans="1:14" customFormat="1">
      <c r="A116" s="3"/>
      <c r="B116" s="3"/>
      <c r="C116" s="3"/>
      <c r="D116" s="7"/>
      <c r="E116" s="16"/>
      <c r="F116" s="16"/>
      <c r="G116" s="16"/>
      <c r="H116" s="16"/>
      <c r="I116" s="16"/>
      <c r="N116" s="27"/>
    </row>
    <row r="117" spans="1:14" customFormat="1">
      <c r="A117" s="3" t="s">
        <v>43</v>
      </c>
      <c r="B117" s="3"/>
      <c r="C117" s="3"/>
      <c r="D117" s="7"/>
      <c r="E117" s="16"/>
      <c r="F117" s="16"/>
      <c r="G117" s="16"/>
      <c r="H117" s="16"/>
      <c r="I117" s="16"/>
      <c r="N117" s="27"/>
    </row>
    <row r="118" spans="1:14" customFormat="1">
      <c r="A118" s="3"/>
      <c r="B118" s="16" t="s">
        <v>97</v>
      </c>
      <c r="C118" s="3"/>
      <c r="D118" s="26">
        <v>0</v>
      </c>
      <c r="E118" s="16"/>
      <c r="F118" s="14"/>
      <c r="G118" s="3"/>
      <c r="H118" s="26">
        <f>D118</f>
        <v>0</v>
      </c>
      <c r="I118" s="2"/>
      <c r="N118" s="27"/>
    </row>
    <row r="119" spans="1:14">
      <c r="D119" s="11" t="s">
        <v>14</v>
      </c>
      <c r="E119" s="14" t="s">
        <v>13</v>
      </c>
      <c r="F119" s="11" t="s">
        <v>14</v>
      </c>
      <c r="G119" s="11" t="s">
        <v>14</v>
      </c>
      <c r="H119" s="11" t="s">
        <v>14</v>
      </c>
      <c r="I119" s="11" t="s">
        <v>14</v>
      </c>
    </row>
    <row r="120" spans="1:14">
      <c r="A120" s="3" t="s">
        <v>44</v>
      </c>
      <c r="D120" s="26">
        <v>0</v>
      </c>
      <c r="E120" s="16"/>
      <c r="F120" s="26">
        <f>SUM(F118:F118)</f>
        <v>0</v>
      </c>
      <c r="G120" s="26">
        <f>SUM(G118:G118)</f>
        <v>0</v>
      </c>
      <c r="H120" s="26">
        <f>SUM(H118:H118)</f>
        <v>0</v>
      </c>
      <c r="I120" s="26">
        <f>SUM(I118:I118)</f>
        <v>0</v>
      </c>
    </row>
    <row r="121" spans="1:14" ht="11.25" thickBot="1">
      <c r="D121" s="19" t="s">
        <v>38</v>
      </c>
      <c r="E121" s="14" t="s">
        <v>13</v>
      </c>
      <c r="F121" s="19" t="s">
        <v>38</v>
      </c>
      <c r="G121" s="19" t="s">
        <v>38</v>
      </c>
      <c r="H121" s="19" t="s">
        <v>38</v>
      </c>
      <c r="I121" s="19" t="s">
        <v>38</v>
      </c>
    </row>
    <row r="122" spans="1:14" ht="11.25" thickBot="1">
      <c r="A122" s="3" t="s">
        <v>39</v>
      </c>
      <c r="D122" s="26">
        <f>D115+D90+D76+D120-D16</f>
        <v>580942562.85000002</v>
      </c>
      <c r="E122" s="16" t="s">
        <v>13</v>
      </c>
      <c r="F122" s="26">
        <f>F115+F90+F76+F120-F16</f>
        <v>14564456.737641495</v>
      </c>
      <c r="G122" s="26">
        <f>G115+G90+G76+G120-G16</f>
        <v>12377848.49156395</v>
      </c>
      <c r="H122" s="26">
        <f>H115+H90+H76+H120-H16</f>
        <v>303218835.23000002</v>
      </c>
      <c r="I122" s="26">
        <f>I115+I90+I76+I120-I16</f>
        <v>250781422.39079458</v>
      </c>
      <c r="K122" s="36">
        <v>0</v>
      </c>
      <c r="L122" s="24" t="s">
        <v>40</v>
      </c>
      <c r="M122" s="37">
        <f>D122-SUM(F122:I122)</f>
        <v>0</v>
      </c>
    </row>
    <row r="123" spans="1:14">
      <c r="D123" s="19" t="s">
        <v>38</v>
      </c>
      <c r="E123" s="14" t="s">
        <v>13</v>
      </c>
      <c r="F123" s="19" t="s">
        <v>38</v>
      </c>
      <c r="G123" s="19" t="s">
        <v>38</v>
      </c>
      <c r="H123" s="19" t="s">
        <v>38</v>
      </c>
      <c r="I123" s="19" t="s">
        <v>38</v>
      </c>
    </row>
  </sheetData>
  <mergeCells count="1">
    <mergeCell ref="A4:C4"/>
  </mergeCells>
  <pageMargins left="0.65" right="0.72" top="1" bottom="1" header="0.5" footer="0.5"/>
  <pageSetup scale="67" orientation="portrait" r:id="rId1"/>
  <headerFooter alignWithMargins="0">
    <oddHeader>&amp;L&amp;"Arial,Regular"&amp;10WA UE-130043
Bench Request 9&amp;R&amp;"Arial,Bold"&amp;10Attachment Bench Request 9</oddHeader>
    <oddFooter>&amp;L&amp;"Arial,Regular"&amp;10&amp;F&amp;C&amp;A</oddFooter>
  </headerFooter>
  <rowBreaks count="1" manualBreakCount="1">
    <brk id="69" max="8" man="1"/>
  </rowBreaks>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pageSetUpPr fitToPage="1"/>
  </sheetPr>
  <dimension ref="A1:K50"/>
  <sheetViews>
    <sheetView view="pageBreakPreview" zoomScale="85" zoomScaleNormal="100" zoomScaleSheetLayoutView="85" workbookViewId="0">
      <selection activeCell="T91" sqref="T91"/>
    </sheetView>
  </sheetViews>
  <sheetFormatPr defaultRowHeight="12.75"/>
  <cols>
    <col min="1" max="1" width="4.83203125" style="275" customWidth="1"/>
    <col min="2" max="2" width="8" style="275" customWidth="1"/>
    <col min="3" max="3" width="32.83203125" style="275" customWidth="1"/>
    <col min="4" max="4" width="12.33203125" style="275" customWidth="1"/>
    <col min="5" max="5" width="9.33203125" style="276"/>
    <col min="6" max="6" width="17" style="106" customWidth="1"/>
    <col min="7" max="7" width="9.33203125" style="276"/>
    <col min="8" max="8" width="12" style="276" bestFit="1" customWidth="1"/>
    <col min="9" max="9" width="15.33203125" style="276" bestFit="1" customWidth="1"/>
    <col min="10" max="16384" width="9.33203125" style="275"/>
  </cols>
  <sheetData>
    <row r="1" spans="1:10">
      <c r="A1" s="274" t="s">
        <v>118</v>
      </c>
      <c r="B1" s="274"/>
      <c r="I1" s="277" t="s">
        <v>272</v>
      </c>
      <c r="J1" s="296" t="s">
        <v>360</v>
      </c>
    </row>
    <row r="2" spans="1:10">
      <c r="A2" s="274" t="s">
        <v>255</v>
      </c>
      <c r="B2" s="274"/>
    </row>
    <row r="3" spans="1:10">
      <c r="A3" s="274" t="s">
        <v>326</v>
      </c>
      <c r="B3" s="274"/>
    </row>
    <row r="5" spans="1:10">
      <c r="F5" s="105" t="s">
        <v>274</v>
      </c>
      <c r="I5" s="276" t="s">
        <v>126</v>
      </c>
    </row>
    <row r="6" spans="1:10" ht="15">
      <c r="D6" s="279" t="s">
        <v>275</v>
      </c>
      <c r="E6" s="279" t="s">
        <v>276</v>
      </c>
      <c r="F6" s="280" t="s">
        <v>277</v>
      </c>
      <c r="G6" s="279" t="s">
        <v>278</v>
      </c>
      <c r="H6" s="279" t="s">
        <v>134</v>
      </c>
      <c r="I6" s="279" t="s">
        <v>279</v>
      </c>
      <c r="J6" s="279" t="s">
        <v>280</v>
      </c>
    </row>
    <row r="7" spans="1:10" ht="15">
      <c r="B7" s="274" t="s">
        <v>281</v>
      </c>
      <c r="C7" s="281"/>
      <c r="D7" s="279"/>
      <c r="E7" s="279"/>
      <c r="F7" s="280"/>
      <c r="G7" s="279"/>
      <c r="H7" s="279"/>
      <c r="I7" s="279"/>
      <c r="J7" s="279"/>
    </row>
    <row r="8" spans="1:10" ht="15">
      <c r="B8" s="274"/>
      <c r="C8" s="281"/>
      <c r="D8" s="279"/>
      <c r="E8" s="279"/>
      <c r="F8" s="280"/>
      <c r="G8" s="279"/>
      <c r="H8" s="279"/>
      <c r="I8" s="279"/>
      <c r="J8" s="279"/>
    </row>
    <row r="9" spans="1:10">
      <c r="B9" s="274" t="s">
        <v>137</v>
      </c>
      <c r="C9" s="281"/>
    </row>
    <row r="10" spans="1:10">
      <c r="B10" s="281" t="s">
        <v>138</v>
      </c>
      <c r="C10" s="281"/>
      <c r="D10" s="282" t="s">
        <v>139</v>
      </c>
      <c r="E10" s="283" t="s">
        <v>286</v>
      </c>
      <c r="F10" s="106">
        <f>'9.1 - Summary '!BM15</f>
        <v>0</v>
      </c>
      <c r="G10" s="276" t="s">
        <v>140</v>
      </c>
      <c r="H10" s="284">
        <v>0.2262649010137</v>
      </c>
      <c r="I10" s="276">
        <f>F10*H10</f>
        <v>0</v>
      </c>
      <c r="J10" s="276"/>
    </row>
    <row r="11" spans="1:10">
      <c r="B11" s="281" t="s">
        <v>141</v>
      </c>
      <c r="C11" s="281"/>
      <c r="D11" s="282" t="s">
        <v>139</v>
      </c>
      <c r="E11" s="283" t="s">
        <v>286</v>
      </c>
      <c r="F11" s="106">
        <f>'9.1 - Summary '!BM16</f>
        <v>0</v>
      </c>
      <c r="G11" s="276" t="s">
        <v>140</v>
      </c>
      <c r="H11" s="284">
        <v>0.2262649010137</v>
      </c>
      <c r="I11" s="276">
        <f t="shared" ref="I11:I12" si="0">F11*H11</f>
        <v>0</v>
      </c>
      <c r="J11" s="276"/>
    </row>
    <row r="12" spans="1:10">
      <c r="B12" s="281" t="s">
        <v>142</v>
      </c>
      <c r="C12" s="281"/>
      <c r="D12" s="282" t="s">
        <v>139</v>
      </c>
      <c r="E12" s="283" t="s">
        <v>286</v>
      </c>
      <c r="F12" s="106">
        <f>'9.1 - Summary '!BM17</f>
        <v>0</v>
      </c>
      <c r="G12" s="276" t="s">
        <v>143</v>
      </c>
      <c r="H12" s="284">
        <v>0.22648067236840891</v>
      </c>
      <c r="I12" s="276">
        <f t="shared" si="0"/>
        <v>0</v>
      </c>
    </row>
    <row r="13" spans="1:10">
      <c r="B13" s="281" t="s">
        <v>144</v>
      </c>
      <c r="C13" s="281"/>
      <c r="D13" s="282"/>
      <c r="E13" s="283"/>
      <c r="F13" s="285">
        <f>SUM(F10:F12)</f>
        <v>0</v>
      </c>
      <c r="H13" s="284"/>
      <c r="I13" s="285">
        <f>SUM(I10:I12)</f>
        <v>0</v>
      </c>
      <c r="J13" s="282" t="s">
        <v>341</v>
      </c>
    </row>
    <row r="14" spans="1:10">
      <c r="B14" s="281"/>
      <c r="C14" s="286"/>
      <c r="D14" s="282"/>
      <c r="E14" s="283"/>
      <c r="H14" s="284"/>
    </row>
    <row r="15" spans="1:10">
      <c r="B15" s="274" t="s">
        <v>145</v>
      </c>
      <c r="C15" s="286"/>
      <c r="D15" s="282"/>
      <c r="E15" s="283"/>
      <c r="H15" s="284"/>
    </row>
    <row r="16" spans="1:10">
      <c r="B16" s="281" t="s">
        <v>146</v>
      </c>
      <c r="C16" s="286"/>
      <c r="D16" s="282" t="s">
        <v>147</v>
      </c>
      <c r="E16" s="283" t="s">
        <v>286</v>
      </c>
      <c r="F16" s="106">
        <f>'9.1 - Summary '!BM21</f>
        <v>-31655.151000000071</v>
      </c>
      <c r="G16" s="276" t="s">
        <v>140</v>
      </c>
      <c r="H16" s="284">
        <v>0.2262649010137</v>
      </c>
      <c r="I16" s="276">
        <f t="shared" ref="I16:I20" si="1">F16*H16</f>
        <v>-7162.4496075887428</v>
      </c>
      <c r="J16" s="276"/>
    </row>
    <row r="17" spans="2:10">
      <c r="B17" s="281" t="s">
        <v>148</v>
      </c>
      <c r="C17" s="286"/>
      <c r="D17" s="282" t="s">
        <v>147</v>
      </c>
      <c r="E17" s="283" t="s">
        <v>286</v>
      </c>
      <c r="F17" s="106">
        <f>'9.1 - Summary '!BM22</f>
        <v>-73862.019000001252</v>
      </c>
      <c r="G17" s="276" t="s">
        <v>143</v>
      </c>
      <c r="H17" s="284">
        <v>0.22648067236840891</v>
      </c>
      <c r="I17" s="276">
        <f t="shared" si="1"/>
        <v>-16728.319725608479</v>
      </c>
      <c r="J17" s="276"/>
    </row>
    <row r="18" spans="2:10">
      <c r="B18" s="281" t="s">
        <v>149</v>
      </c>
      <c r="C18" s="286"/>
      <c r="D18" s="282" t="s">
        <v>147</v>
      </c>
      <c r="E18" s="283" t="s">
        <v>286</v>
      </c>
      <c r="F18" s="106">
        <f>'9.1 - Summary '!BM23</f>
        <v>0</v>
      </c>
      <c r="G18" s="276" t="s">
        <v>140</v>
      </c>
      <c r="H18" s="284">
        <v>0.2262649010137</v>
      </c>
      <c r="I18" s="276">
        <f t="shared" si="1"/>
        <v>0</v>
      </c>
      <c r="J18" s="276"/>
    </row>
    <row r="19" spans="2:10">
      <c r="B19" s="281" t="s">
        <v>150</v>
      </c>
      <c r="C19" s="286"/>
      <c r="D19" s="282" t="s">
        <v>147</v>
      </c>
      <c r="E19" s="283" t="s">
        <v>286</v>
      </c>
      <c r="F19" s="106">
        <f>'9.1 - Summary '!BM24</f>
        <v>0</v>
      </c>
      <c r="G19" s="276" t="s">
        <v>140</v>
      </c>
      <c r="H19" s="284">
        <v>0.2262649010137</v>
      </c>
      <c r="I19" s="276">
        <f t="shared" si="1"/>
        <v>0</v>
      </c>
      <c r="J19" s="276"/>
    </row>
    <row r="20" spans="2:10">
      <c r="B20" s="281" t="s">
        <v>151</v>
      </c>
      <c r="C20" s="281"/>
      <c r="D20" s="282" t="s">
        <v>147</v>
      </c>
      <c r="E20" s="283" t="s">
        <v>286</v>
      </c>
      <c r="F20" s="106">
        <f>'9.1 - Summary '!BM25</f>
        <v>0</v>
      </c>
      <c r="G20" s="276" t="s">
        <v>140</v>
      </c>
      <c r="H20" s="284">
        <v>0.2262649010137</v>
      </c>
      <c r="I20" s="276">
        <f t="shared" si="1"/>
        <v>0</v>
      </c>
    </row>
    <row r="21" spans="2:10">
      <c r="B21" s="281" t="s">
        <v>152</v>
      </c>
      <c r="C21" s="281"/>
      <c r="D21" s="282"/>
      <c r="E21" s="283"/>
      <c r="F21" s="285">
        <f>SUM(F16:F20)</f>
        <v>-105517.17000000132</v>
      </c>
      <c r="H21" s="284"/>
      <c r="I21" s="285">
        <f>SUM(I16:I20)</f>
        <v>-23890.769333197222</v>
      </c>
      <c r="J21" s="282" t="s">
        <v>341</v>
      </c>
    </row>
    <row r="22" spans="2:10">
      <c r="B22" s="281"/>
      <c r="C22" s="281"/>
      <c r="D22" s="282"/>
      <c r="E22" s="283"/>
      <c r="H22" s="284"/>
    </row>
    <row r="23" spans="2:10">
      <c r="B23" s="274" t="s">
        <v>153</v>
      </c>
      <c r="C23" s="281"/>
      <c r="D23" s="282"/>
      <c r="E23" s="283"/>
      <c r="H23" s="284"/>
      <c r="J23" s="276"/>
    </row>
    <row r="24" spans="2:10">
      <c r="B24" s="281" t="s">
        <v>154</v>
      </c>
      <c r="C24" s="281"/>
      <c r="D24" s="282" t="s">
        <v>155</v>
      </c>
      <c r="E24" s="283" t="s">
        <v>286</v>
      </c>
      <c r="F24" s="106">
        <f>'9.1 - Summary '!BM29</f>
        <v>0</v>
      </c>
      <c r="G24" s="276" t="s">
        <v>140</v>
      </c>
      <c r="H24" s="284">
        <v>0.2262649010137</v>
      </c>
      <c r="I24" s="276">
        <f t="shared" ref="I24:I26" si="2">F24*H24</f>
        <v>0</v>
      </c>
      <c r="J24" s="276"/>
    </row>
    <row r="25" spans="2:10">
      <c r="B25" s="281" t="s">
        <v>156</v>
      </c>
      <c r="C25" s="286"/>
      <c r="D25" s="282" t="s">
        <v>155</v>
      </c>
      <c r="E25" s="283" t="s">
        <v>286</v>
      </c>
      <c r="F25" s="106">
        <f>'9.1 - Summary '!BM30</f>
        <v>0</v>
      </c>
      <c r="G25" s="276" t="s">
        <v>140</v>
      </c>
      <c r="H25" s="284">
        <v>0.2262649010137</v>
      </c>
      <c r="I25" s="276">
        <f t="shared" si="2"/>
        <v>0</v>
      </c>
      <c r="J25" s="276"/>
    </row>
    <row r="26" spans="2:10">
      <c r="B26" s="281" t="s">
        <v>157</v>
      </c>
      <c r="C26" s="286"/>
      <c r="D26" s="282" t="s">
        <v>155</v>
      </c>
      <c r="E26" s="283" t="s">
        <v>286</v>
      </c>
      <c r="F26" s="106">
        <f>'9.1 - Summary '!BM31</f>
        <v>0</v>
      </c>
      <c r="G26" s="276" t="s">
        <v>143</v>
      </c>
      <c r="H26" s="284">
        <v>0.22648067236840891</v>
      </c>
      <c r="I26" s="276">
        <f t="shared" si="2"/>
        <v>0</v>
      </c>
      <c r="J26" s="276"/>
    </row>
    <row r="27" spans="2:10">
      <c r="B27" s="281" t="s">
        <v>158</v>
      </c>
      <c r="C27" s="281"/>
      <c r="D27" s="282"/>
      <c r="E27" s="283"/>
      <c r="F27" s="285">
        <f>SUM(F24:F26)</f>
        <v>0</v>
      </c>
      <c r="H27" s="284"/>
      <c r="I27" s="285">
        <f>SUM(I24:I26)</f>
        <v>0</v>
      </c>
      <c r="J27" s="282" t="s">
        <v>341</v>
      </c>
    </row>
    <row r="28" spans="2:10">
      <c r="B28" s="281"/>
      <c r="C28" s="281"/>
      <c r="D28" s="282"/>
      <c r="E28" s="283"/>
      <c r="H28" s="284"/>
    </row>
    <row r="29" spans="2:10">
      <c r="B29" s="274" t="s">
        <v>159</v>
      </c>
      <c r="C29" s="274"/>
      <c r="D29" s="282"/>
      <c r="E29" s="283"/>
      <c r="H29" s="284"/>
      <c r="J29" s="276"/>
    </row>
    <row r="30" spans="2:10">
      <c r="B30" s="281" t="s">
        <v>160</v>
      </c>
      <c r="C30" s="274"/>
      <c r="D30" s="282" t="s">
        <v>161</v>
      </c>
      <c r="E30" s="283" t="s">
        <v>286</v>
      </c>
      <c r="F30" s="106">
        <f>'9.1 - Summary '!BM35</f>
        <v>0</v>
      </c>
      <c r="G30" s="276" t="s">
        <v>143</v>
      </c>
      <c r="H30" s="284">
        <v>0.22648067236840891</v>
      </c>
      <c r="I30" s="276">
        <f t="shared" ref="I30:I31" si="3">F30*H30</f>
        <v>0</v>
      </c>
      <c r="J30" s="276"/>
    </row>
    <row r="31" spans="2:10">
      <c r="B31" s="281" t="s">
        <v>162</v>
      </c>
      <c r="C31" s="274"/>
      <c r="D31" s="282" t="s">
        <v>163</v>
      </c>
      <c r="E31" s="283" t="s">
        <v>286</v>
      </c>
      <c r="F31" s="106">
        <f>'9.1 - Summary '!BM36</f>
        <v>0</v>
      </c>
      <c r="G31" s="276" t="s">
        <v>143</v>
      </c>
      <c r="H31" s="284">
        <v>0.22648067236840891</v>
      </c>
      <c r="I31" s="276">
        <f t="shared" si="3"/>
        <v>0</v>
      </c>
    </row>
    <row r="32" spans="2:10">
      <c r="B32" s="281" t="s">
        <v>164</v>
      </c>
      <c r="C32" s="274"/>
      <c r="D32" s="282"/>
      <c r="E32" s="283"/>
      <c r="F32" s="285">
        <f>SUM(F30:F31)</f>
        <v>0</v>
      </c>
      <c r="H32" s="287"/>
      <c r="I32" s="285">
        <f>SUM(I30:I31)</f>
        <v>0</v>
      </c>
      <c r="J32" s="282" t="s">
        <v>341</v>
      </c>
    </row>
    <row r="33" spans="1:11">
      <c r="B33" s="291"/>
      <c r="C33" s="274"/>
      <c r="D33" s="282"/>
      <c r="E33" s="283"/>
      <c r="H33" s="287"/>
      <c r="I33" s="106"/>
      <c r="J33" s="276"/>
    </row>
    <row r="34" spans="1:11">
      <c r="B34" s="288" t="s">
        <v>284</v>
      </c>
      <c r="C34" s="274"/>
      <c r="D34" s="282"/>
      <c r="E34" s="283"/>
      <c r="F34" s="285">
        <f>-F13+F21+F27+F32</f>
        <v>-105517.17000000132</v>
      </c>
      <c r="H34" s="287"/>
      <c r="I34" s="285">
        <f>-I13+I21+I27+I32</f>
        <v>-23890.769333197222</v>
      </c>
      <c r="J34" s="276"/>
    </row>
    <row r="35" spans="1:11">
      <c r="C35" s="274"/>
      <c r="F35" s="289"/>
      <c r="J35" s="276"/>
    </row>
    <row r="36" spans="1:11">
      <c r="C36" s="274"/>
      <c r="F36" s="289"/>
      <c r="J36" s="276"/>
    </row>
    <row r="37" spans="1:11">
      <c r="C37" s="274"/>
      <c r="F37" s="289"/>
      <c r="J37" s="276"/>
    </row>
    <row r="42" spans="1:11" ht="13.5" thickBot="1">
      <c r="B42" s="290" t="s">
        <v>283</v>
      </c>
    </row>
    <row r="43" spans="1:11" ht="12.75" customHeight="1">
      <c r="A43" s="359" t="s">
        <v>351</v>
      </c>
      <c r="B43" s="360"/>
      <c r="C43" s="360"/>
      <c r="D43" s="360"/>
      <c r="E43" s="360"/>
      <c r="F43" s="360"/>
      <c r="G43" s="360"/>
      <c r="H43" s="360"/>
      <c r="I43" s="360"/>
      <c r="J43" s="361"/>
      <c r="K43" s="292"/>
    </row>
    <row r="44" spans="1:11">
      <c r="A44" s="362"/>
      <c r="B44" s="363"/>
      <c r="C44" s="363"/>
      <c r="D44" s="363"/>
      <c r="E44" s="363"/>
      <c r="F44" s="363"/>
      <c r="G44" s="363"/>
      <c r="H44" s="363"/>
      <c r="I44" s="363"/>
      <c r="J44" s="364"/>
      <c r="K44" s="292"/>
    </row>
    <row r="45" spans="1:11">
      <c r="A45" s="362"/>
      <c r="B45" s="363"/>
      <c r="C45" s="363"/>
      <c r="D45" s="363"/>
      <c r="E45" s="363"/>
      <c r="F45" s="363"/>
      <c r="G45" s="363"/>
      <c r="H45" s="363"/>
      <c r="I45" s="363"/>
      <c r="J45" s="364"/>
      <c r="K45" s="292"/>
    </row>
    <row r="46" spans="1:11">
      <c r="A46" s="362"/>
      <c r="B46" s="363"/>
      <c r="C46" s="363"/>
      <c r="D46" s="363"/>
      <c r="E46" s="363"/>
      <c r="F46" s="363"/>
      <c r="G46" s="363"/>
      <c r="H46" s="363"/>
      <c r="I46" s="363"/>
      <c r="J46" s="364"/>
      <c r="K46" s="292"/>
    </row>
    <row r="47" spans="1:11">
      <c r="A47" s="362"/>
      <c r="B47" s="363"/>
      <c r="C47" s="363"/>
      <c r="D47" s="363"/>
      <c r="E47" s="363"/>
      <c r="F47" s="363"/>
      <c r="G47" s="363"/>
      <c r="H47" s="363"/>
      <c r="I47" s="363"/>
      <c r="J47" s="364"/>
      <c r="K47" s="292"/>
    </row>
    <row r="48" spans="1:11">
      <c r="A48" s="362"/>
      <c r="B48" s="363"/>
      <c r="C48" s="363"/>
      <c r="D48" s="363"/>
      <c r="E48" s="363"/>
      <c r="F48" s="363"/>
      <c r="G48" s="363"/>
      <c r="H48" s="363"/>
      <c r="I48" s="363"/>
      <c r="J48" s="364"/>
      <c r="K48" s="292"/>
    </row>
    <row r="49" spans="1:11">
      <c r="A49" s="362"/>
      <c r="B49" s="363"/>
      <c r="C49" s="363"/>
      <c r="D49" s="363"/>
      <c r="E49" s="363"/>
      <c r="F49" s="363"/>
      <c r="G49" s="363"/>
      <c r="H49" s="363"/>
      <c r="I49" s="363"/>
      <c r="J49" s="364"/>
      <c r="K49" s="292"/>
    </row>
    <row r="50" spans="1:11" ht="13.5" thickBot="1">
      <c r="A50" s="365"/>
      <c r="B50" s="366"/>
      <c r="C50" s="366"/>
      <c r="D50" s="366"/>
      <c r="E50" s="366"/>
      <c r="F50" s="366"/>
      <c r="G50" s="366"/>
      <c r="H50" s="366"/>
      <c r="I50" s="366"/>
      <c r="J50" s="367"/>
      <c r="K50" s="292"/>
    </row>
  </sheetData>
  <mergeCells count="1">
    <mergeCell ref="A43:J50"/>
  </mergeCells>
  <conditionalFormatting sqref="B9:B26">
    <cfRule type="cellIs" dxfId="20" priority="3" stopIfTrue="1" operator="equal">
      <formula>"Adjustment to Income/Expense/Rate Base:"</formula>
    </cfRule>
  </conditionalFormatting>
  <conditionalFormatting sqref="B20:B22">
    <cfRule type="cellIs" dxfId="19" priority="2" stopIfTrue="1" operator="equal">
      <formula>"Title"</formula>
    </cfRule>
  </conditionalFormatting>
  <conditionalFormatting sqref="B27:B34">
    <cfRule type="cellIs" dxfId="18" priority="1" stopIfTrue="1" operator="equal">
      <formula>"Adjustment to Income/Expense/Rate Base:"</formula>
    </cfRule>
  </conditionalFormatting>
  <pageMargins left="0.65" right="0.72" top="1" bottom="1" header="0.5" footer="0.5"/>
  <pageSetup scale="77" orientation="portrait" r:id="rId1"/>
  <headerFooter alignWithMargins="0">
    <oddHeader>&amp;L&amp;"Arial,Regular"&amp;10WA UE-130043
Bench Request 9&amp;R&amp;"Arial,Bold"&amp;10Attachment Bench Request 9</oddHeader>
    <oddFooter>&amp;L&amp;"Arial,Regular"&amp;10&amp;F&amp;C&amp;A</oddFoot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pageSetUpPr fitToPage="1"/>
  </sheetPr>
  <dimension ref="A1:S123"/>
  <sheetViews>
    <sheetView view="pageBreakPreview" zoomScale="85" zoomScaleNormal="85" zoomScaleSheetLayoutView="85" workbookViewId="0">
      <pane xSplit="3" ySplit="6" topLeftCell="D7" activePane="bottomRight" state="frozen"/>
      <selection activeCell="T91" sqref="T91"/>
      <selection pane="topRight" activeCell="T91" sqref="T91"/>
      <selection pane="bottomLeft" activeCell="T91" sqref="T91"/>
      <selection pane="bottomRight" activeCell="T91" sqref="T91"/>
    </sheetView>
  </sheetViews>
  <sheetFormatPr defaultColWidth="11" defaultRowHeight="10.5"/>
  <cols>
    <col min="1" max="1" width="3" style="3" customWidth="1"/>
    <col min="2" max="2" width="2.6640625" style="3" customWidth="1"/>
    <col min="3" max="3" width="33.1640625" style="3" customWidth="1"/>
    <col min="4" max="4" width="13.83203125" style="3" customWidth="1"/>
    <col min="5" max="5" width="2.33203125" style="3" customWidth="1"/>
    <col min="6" max="6" width="15.83203125" style="3" customWidth="1"/>
    <col min="7" max="8" width="13.33203125" style="3" bestFit="1" customWidth="1"/>
    <col min="9" max="9" width="13.83203125" style="3" bestFit="1" customWidth="1"/>
    <col min="10" max="10" width="11" style="3" customWidth="1"/>
    <col min="11" max="11" width="14.5" style="3" customWidth="1"/>
    <col min="12" max="12" width="11" style="3" customWidth="1"/>
    <col min="13" max="13" width="14.1640625" style="3" bestFit="1" customWidth="1"/>
    <col min="14" max="14" width="20.1640625" style="27" bestFit="1" customWidth="1"/>
    <col min="15" max="15" width="15" style="3" bestFit="1" customWidth="1"/>
    <col min="16" max="16" width="14.6640625" style="3" bestFit="1" customWidth="1"/>
    <col min="17" max="16384" width="11" style="3"/>
  </cols>
  <sheetData>
    <row r="1" spans="1:14">
      <c r="A1" s="4" t="s">
        <v>118</v>
      </c>
      <c r="D1"/>
      <c r="E1" s="9"/>
      <c r="F1" s="8" t="s">
        <v>42</v>
      </c>
    </row>
    <row r="2" spans="1:14">
      <c r="A2" s="20"/>
      <c r="D2"/>
      <c r="E2" s="9"/>
      <c r="F2" s="9" t="s">
        <v>0</v>
      </c>
      <c r="K2" s="50"/>
    </row>
    <row r="3" spans="1:14">
      <c r="A3" s="5" t="s">
        <v>52</v>
      </c>
      <c r="D3" s="10"/>
      <c r="E3" s="10"/>
      <c r="F3" s="8" t="s">
        <v>1</v>
      </c>
    </row>
    <row r="4" spans="1:14">
      <c r="A4" s="358">
        <v>41974</v>
      </c>
      <c r="B4" s="358"/>
      <c r="C4" s="358"/>
      <c r="D4" s="10"/>
      <c r="E4" s="10"/>
      <c r="F4" s="9"/>
    </row>
    <row r="5" spans="1:14">
      <c r="B5" s="5"/>
      <c r="D5" s="11" t="s">
        <v>2</v>
      </c>
      <c r="E5" s="11"/>
      <c r="F5" s="12" t="s">
        <v>3</v>
      </c>
      <c r="G5" s="12" t="s">
        <v>3</v>
      </c>
      <c r="H5" s="12"/>
      <c r="I5" s="12"/>
    </row>
    <row r="6" spans="1:14" s="11" customFormat="1">
      <c r="A6" s="3"/>
      <c r="B6" s="3"/>
      <c r="C6" s="3"/>
      <c r="D6" s="41" t="s">
        <v>117</v>
      </c>
      <c r="E6" s="15"/>
      <c r="F6" s="13" t="s">
        <v>4</v>
      </c>
      <c r="G6" s="13" t="s">
        <v>5</v>
      </c>
      <c r="H6" s="13" t="s">
        <v>6</v>
      </c>
      <c r="I6" s="13" t="s">
        <v>7</v>
      </c>
      <c r="N6" s="28"/>
    </row>
    <row r="7" spans="1:14">
      <c r="A7" s="3" t="s">
        <v>8</v>
      </c>
      <c r="F7" s="6"/>
      <c r="G7" s="6"/>
      <c r="H7" s="6"/>
      <c r="I7" s="6"/>
    </row>
    <row r="8" spans="1:14">
      <c r="B8" t="s">
        <v>9</v>
      </c>
      <c r="D8" s="26">
        <v>12964800</v>
      </c>
      <c r="E8" s="16"/>
      <c r="F8" s="26">
        <f>D8</f>
        <v>12964800</v>
      </c>
      <c r="G8"/>
      <c r="H8"/>
      <c r="I8"/>
    </row>
    <row r="9" spans="1:14" hidden="1">
      <c r="B9"/>
      <c r="D9" s="16"/>
      <c r="E9" s="16"/>
      <c r="F9" s="1"/>
      <c r="G9" s="6"/>
      <c r="H9" s="6"/>
      <c r="I9" s="6"/>
    </row>
    <row r="10" spans="1:14">
      <c r="B10" t="s">
        <v>10</v>
      </c>
      <c r="D10" s="26">
        <v>60863806.75</v>
      </c>
      <c r="E10" s="16"/>
      <c r="F10" s="1"/>
      <c r="G10" s="6"/>
      <c r="H10" s="6"/>
      <c r="I10" s="26">
        <f>D10</f>
        <v>60863806.75</v>
      </c>
    </row>
    <row r="11" spans="1:14" hidden="1">
      <c r="B11"/>
      <c r="D11" s="16"/>
      <c r="E11" s="16"/>
      <c r="F11" s="1"/>
      <c r="G11" s="6"/>
      <c r="H11" s="6"/>
      <c r="I11" s="6"/>
    </row>
    <row r="12" spans="1:14" hidden="1">
      <c r="B12" t="s">
        <v>11</v>
      </c>
      <c r="D12" s="26">
        <v>0</v>
      </c>
      <c r="E12" s="16"/>
      <c r="F12" s="26">
        <f>D12</f>
        <v>0</v>
      </c>
      <c r="G12" s="6"/>
      <c r="H12" s="6"/>
      <c r="I12" s="6"/>
    </row>
    <row r="13" spans="1:14" hidden="1">
      <c r="C13"/>
      <c r="D13" s="16"/>
      <c r="E13" s="16"/>
      <c r="F13" s="6"/>
      <c r="G13" s="6"/>
      <c r="H13" s="6"/>
      <c r="I13" s="6"/>
    </row>
    <row r="14" spans="1:14" hidden="1">
      <c r="B14" s="3" t="s">
        <v>12</v>
      </c>
      <c r="C14"/>
      <c r="D14" s="26">
        <v>0</v>
      </c>
      <c r="E14" s="16"/>
      <c r="F14" s="6"/>
      <c r="G14" s="6"/>
      <c r="H14" s="26">
        <f>D14</f>
        <v>0</v>
      </c>
      <c r="I14" s="6"/>
    </row>
    <row r="15" spans="1:14" ht="11.25" thickBot="1">
      <c r="D15" s="11" t="s">
        <v>14</v>
      </c>
      <c r="E15" s="14" t="s">
        <v>13</v>
      </c>
      <c r="F15" s="11" t="s">
        <v>14</v>
      </c>
      <c r="G15" s="11" t="s">
        <v>14</v>
      </c>
      <c r="H15" s="11" t="s">
        <v>14</v>
      </c>
      <c r="I15" s="11" t="s">
        <v>14</v>
      </c>
    </row>
    <row r="16" spans="1:14" ht="11.25" thickBot="1">
      <c r="A16" s="3" t="s">
        <v>15</v>
      </c>
      <c r="D16" s="26">
        <f>SUM(D8:D14)</f>
        <v>73828606.75</v>
      </c>
      <c r="E16" s="16"/>
      <c r="F16" s="26">
        <f>SUM(F8:F14)</f>
        <v>12964800</v>
      </c>
      <c r="G16" s="26">
        <f>SUM(G8:G14)</f>
        <v>0</v>
      </c>
      <c r="H16" s="26">
        <f>SUM(H8:H14)</f>
        <v>0</v>
      </c>
      <c r="I16" s="26">
        <f>SUM(I8:I14)</f>
        <v>60863806.75</v>
      </c>
      <c r="K16" s="36">
        <v>0</v>
      </c>
      <c r="L16" s="24" t="s">
        <v>40</v>
      </c>
      <c r="M16" s="37">
        <f>D16-SUM(F16:I16)</f>
        <v>0</v>
      </c>
    </row>
    <row r="17" spans="1:19">
      <c r="D17" s="16"/>
      <c r="E17" s="16"/>
      <c r="F17" s="16"/>
      <c r="G17" s="16"/>
      <c r="H17" s="16"/>
      <c r="I17" s="16"/>
      <c r="P17" s="8" t="s">
        <v>67</v>
      </c>
    </row>
    <row r="18" spans="1:19">
      <c r="D18"/>
      <c r="E18" s="6"/>
      <c r="F18" s="6"/>
      <c r="G18" s="6"/>
      <c r="H18" s="6"/>
      <c r="I18" s="6"/>
      <c r="N18" s="39"/>
      <c r="O18" s="35"/>
      <c r="P18" s="48">
        <f>+A4</f>
        <v>41974</v>
      </c>
    </row>
    <row r="19" spans="1:19" ht="11.25">
      <c r="A19" s="3" t="s">
        <v>16</v>
      </c>
      <c r="D19" s="16"/>
      <c r="E19" s="16"/>
      <c r="F19" s="45"/>
      <c r="G19" s="6"/>
      <c r="H19" s="6"/>
      <c r="I19" s="6"/>
      <c r="N19" s="29" t="s">
        <v>56</v>
      </c>
      <c r="O19" s="42">
        <v>0.42634034956164213</v>
      </c>
      <c r="P19" s="16">
        <v>14785516.07</v>
      </c>
      <c r="Q19" s="44"/>
      <c r="R19" s="30"/>
      <c r="S19" s="16"/>
    </row>
    <row r="20" spans="1:19" ht="11.25" hidden="1">
      <c r="B20"/>
      <c r="C20" s="3" t="s">
        <v>17</v>
      </c>
      <c r="D20" s="26">
        <v>0</v>
      </c>
      <c r="E20" s="16"/>
      <c r="F20" s="26">
        <f>D20</f>
        <v>0</v>
      </c>
      <c r="G20" s="6"/>
      <c r="H20" s="6"/>
      <c r="I20" s="6"/>
      <c r="N20" s="29" t="s">
        <v>58</v>
      </c>
      <c r="O20" s="42">
        <f>1-O19</f>
        <v>0.57365965043835787</v>
      </c>
      <c r="P20" s="16">
        <v>19894560.739999998</v>
      </c>
      <c r="Q20" s="44"/>
      <c r="R20" s="30"/>
      <c r="S20" s="16"/>
    </row>
    <row r="21" spans="1:19" ht="11.25" hidden="1">
      <c r="B21"/>
      <c r="C21" s="3" t="s">
        <v>18</v>
      </c>
      <c r="D21" s="26">
        <v>0</v>
      </c>
      <c r="E21" s="16"/>
      <c r="F21" s="26">
        <f>D21-G21</f>
        <v>0</v>
      </c>
      <c r="G21" s="26">
        <v>0</v>
      </c>
      <c r="H21" s="6"/>
      <c r="I21" s="6"/>
      <c r="N21" s="29" t="s">
        <v>57</v>
      </c>
      <c r="O21" s="42">
        <f>IFERROR(P21/(P21+P22),0)</f>
        <v>0</v>
      </c>
      <c r="P21" s="16">
        <v>0</v>
      </c>
      <c r="Q21" s="44"/>
      <c r="R21" s="30"/>
      <c r="S21" s="16"/>
    </row>
    <row r="22" spans="1:19" ht="11.25">
      <c r="B22"/>
      <c r="C22" s="3" t="s">
        <v>19</v>
      </c>
      <c r="D22" s="26">
        <v>-253763.97999999952</v>
      </c>
      <c r="E22" s="16"/>
      <c r="F22" s="26">
        <f>D22*0.3</f>
        <v>-76129.193999999858</v>
      </c>
      <c r="G22" s="26">
        <f>D22*0.7</f>
        <v>-177634.78599999964</v>
      </c>
      <c r="H22" s="6"/>
      <c r="I22" s="6"/>
      <c r="N22" s="29" t="s">
        <v>59</v>
      </c>
      <c r="O22" s="42">
        <f>1-O21</f>
        <v>1</v>
      </c>
      <c r="P22" s="16">
        <v>0</v>
      </c>
      <c r="Q22" s="44"/>
      <c r="R22" s="30"/>
      <c r="S22" s="16"/>
    </row>
    <row r="23" spans="1:19">
      <c r="B23"/>
      <c r="C23" s="3" t="s">
        <v>20</v>
      </c>
      <c r="D23" s="26">
        <v>270000</v>
      </c>
      <c r="E23" s="16"/>
      <c r="F23" s="26">
        <f>D23*0.2073628</f>
        <v>55987.956000000006</v>
      </c>
      <c r="G23" s="26">
        <f>D23-F23</f>
        <v>214012.04399999999</v>
      </c>
      <c r="H23" s="6"/>
      <c r="I23" s="6"/>
    </row>
    <row r="24" spans="1:19">
      <c r="B24"/>
      <c r="C24" s="3" t="s">
        <v>21</v>
      </c>
      <c r="D24" s="26">
        <f>N27</f>
        <v>76897305.959999993</v>
      </c>
      <c r="E24" s="16"/>
      <c r="F24" s="31">
        <f>(N25+N24*O19)*K24</f>
        <v>2517906.851172646</v>
      </c>
      <c r="G24" s="31">
        <f>(N25+N24*O19)*L24</f>
        <v>12267609.214563949</v>
      </c>
      <c r="H24" s="6"/>
      <c r="I24" s="31">
        <f>(N26+N24*O20)</f>
        <v>62111789.894263402</v>
      </c>
      <c r="K24" s="25">
        <v>0.17029549999999999</v>
      </c>
      <c r="L24" s="25">
        <f>1-K24</f>
        <v>0.82970450000000007</v>
      </c>
      <c r="N24" s="26">
        <v>34680076.799999997</v>
      </c>
      <c r="O24" t="s">
        <v>53</v>
      </c>
    </row>
    <row r="25" spans="1:19">
      <c r="B25"/>
      <c r="C25" s="49" t="s">
        <v>90</v>
      </c>
      <c r="D25" s="26">
        <v>0</v>
      </c>
      <c r="E25" s="16"/>
      <c r="F25" s="6"/>
      <c r="G25" s="26">
        <f>D25</f>
        <v>0</v>
      </c>
      <c r="H25" s="6"/>
      <c r="I25" s="26"/>
      <c r="N25" s="26">
        <v>0</v>
      </c>
      <c r="O25" t="s">
        <v>50</v>
      </c>
    </row>
    <row r="26" spans="1:19">
      <c r="B26" s="40" t="s">
        <v>65</v>
      </c>
      <c r="C26" s="14"/>
      <c r="D26" s="11" t="s">
        <v>14</v>
      </c>
      <c r="E26" s="14" t="s">
        <v>13</v>
      </c>
      <c r="F26" s="11" t="s">
        <v>14</v>
      </c>
      <c r="G26" s="11" t="s">
        <v>14</v>
      </c>
      <c r="H26" s="11" t="s">
        <v>14</v>
      </c>
      <c r="I26" s="11" t="s">
        <v>14</v>
      </c>
      <c r="K26" s="25"/>
      <c r="L26" s="25"/>
      <c r="N26" s="43">
        <v>42217229.159999996</v>
      </c>
      <c r="O26" t="s">
        <v>49</v>
      </c>
    </row>
    <row r="27" spans="1:19">
      <c r="B27" s="3" t="s">
        <v>22</v>
      </c>
      <c r="C27"/>
      <c r="D27" s="26">
        <f>SUM(D20:D26)</f>
        <v>76913541.979999989</v>
      </c>
      <c r="E27" s="16"/>
      <c r="F27" s="26">
        <f>SUM(F20:F26)</f>
        <v>2497765.6131726461</v>
      </c>
      <c r="G27" s="26">
        <f>SUM(G20:G26)</f>
        <v>12303986.472563948</v>
      </c>
      <c r="H27" s="26">
        <f>SUM(H20:H26)</f>
        <v>0</v>
      </c>
      <c r="I27" s="26">
        <f>SUM(I20:I26)</f>
        <v>62111789.894263402</v>
      </c>
      <c r="K27" s="25"/>
      <c r="L27" s="25"/>
      <c r="N27" s="26">
        <f>SUM(N24:N26)</f>
        <v>76897305.959999993</v>
      </c>
      <c r="O27"/>
    </row>
    <row r="28" spans="1:19" ht="12.75">
      <c r="D28" s="1"/>
      <c r="E28" s="16"/>
      <c r="F28" s="1"/>
      <c r="G28" s="1"/>
      <c r="H28" s="6"/>
      <c r="I28" s="6"/>
      <c r="K28" s="25"/>
      <c r="L28" s="25"/>
      <c r="N28" s="34"/>
      <c r="O28" s="32"/>
    </row>
    <row r="29" spans="1:19" hidden="1">
      <c r="B29"/>
      <c r="C29" s="3" t="s">
        <v>41</v>
      </c>
      <c r="D29" s="26">
        <v>0</v>
      </c>
      <c r="E29" s="16"/>
      <c r="F29" s="26"/>
      <c r="G29" s="26">
        <f>D29</f>
        <v>0</v>
      </c>
      <c r="H29" s="6"/>
      <c r="I29" s="6"/>
      <c r="K29" s="25"/>
      <c r="L29" s="25"/>
      <c r="N29" s="26">
        <v>0</v>
      </c>
      <c r="O29" t="s">
        <v>54</v>
      </c>
    </row>
    <row r="30" spans="1:19" hidden="1">
      <c r="B30"/>
      <c r="C30" s="3" t="s">
        <v>23</v>
      </c>
      <c r="D30" s="26">
        <v>0</v>
      </c>
      <c r="E30" s="16"/>
      <c r="F30" s="26"/>
      <c r="G30" s="26">
        <f>D30</f>
        <v>0</v>
      </c>
      <c r="H30" s="6"/>
      <c r="I30" s="6"/>
      <c r="K30" s="25"/>
      <c r="L30" s="25"/>
      <c r="M30" s="21"/>
      <c r="N30" s="26">
        <v>0</v>
      </c>
      <c r="O30" t="s">
        <v>51</v>
      </c>
    </row>
    <row r="31" spans="1:19" hidden="1">
      <c r="B31"/>
      <c r="C31" s="3" t="s">
        <v>24</v>
      </c>
      <c r="D31" s="26">
        <f>N32</f>
        <v>0</v>
      </c>
      <c r="E31" s="16"/>
      <c r="F31" s="31">
        <f>(N30+N29*O21)*K31</f>
        <v>0</v>
      </c>
      <c r="G31" s="31">
        <f>(N30+N29*O21)*L31</f>
        <v>0</v>
      </c>
      <c r="H31" s="6"/>
      <c r="I31" s="31">
        <f>(N31+N29*O22)</f>
        <v>0</v>
      </c>
      <c r="K31" s="25">
        <v>0.7</v>
      </c>
      <c r="L31" s="25">
        <f>1-K31</f>
        <v>0.30000000000000004</v>
      </c>
      <c r="N31" s="43">
        <v>0</v>
      </c>
      <c r="O31" t="s">
        <v>48</v>
      </c>
    </row>
    <row r="32" spans="1:19" hidden="1">
      <c r="B32"/>
      <c r="C32" s="3" t="s">
        <v>25</v>
      </c>
      <c r="D32" s="26">
        <v>0</v>
      </c>
      <c r="E32" s="16"/>
      <c r="F32" s="26">
        <f>D32</f>
        <v>0</v>
      </c>
      <c r="G32" s="26">
        <v>0</v>
      </c>
      <c r="H32" s="6"/>
      <c r="I32" s="6"/>
      <c r="N32" s="33">
        <f>SUM(N29:N31)</f>
        <v>0</v>
      </c>
      <c r="O32"/>
    </row>
    <row r="33" spans="2:18" hidden="1">
      <c r="B33"/>
      <c r="C33" s="3" t="s">
        <v>89</v>
      </c>
      <c r="D33" s="26">
        <v>0</v>
      </c>
      <c r="E33" s="16"/>
      <c r="F33" s="6"/>
      <c r="G33" s="26">
        <f>D33</f>
        <v>0</v>
      </c>
      <c r="H33" s="6"/>
      <c r="I33" s="6"/>
      <c r="N33" s="33"/>
      <c r="O33"/>
    </row>
    <row r="34" spans="2:18" hidden="1">
      <c r="B34"/>
      <c r="C34" s="3" t="s">
        <v>26</v>
      </c>
      <c r="D34" s="26">
        <v>0</v>
      </c>
      <c r="E34" s="16"/>
      <c r="F34" s="26">
        <v>0</v>
      </c>
      <c r="G34" s="26">
        <v>0</v>
      </c>
      <c r="H34" s="6"/>
      <c r="I34" s="6"/>
    </row>
    <row r="35" spans="2:18" hidden="1">
      <c r="B35" s="40" t="s">
        <v>65</v>
      </c>
      <c r="C35" s="14"/>
      <c r="D35" s="11" t="s">
        <v>14</v>
      </c>
      <c r="E35" s="14" t="s">
        <v>13</v>
      </c>
      <c r="F35" s="11" t="s">
        <v>14</v>
      </c>
      <c r="G35" s="11" t="s">
        <v>14</v>
      </c>
      <c r="H35" s="11" t="s">
        <v>14</v>
      </c>
      <c r="I35" s="11" t="s">
        <v>14</v>
      </c>
      <c r="R35" s="30"/>
    </row>
    <row r="36" spans="2:18" hidden="1">
      <c r="B36" s="3" t="s">
        <v>27</v>
      </c>
      <c r="C36"/>
      <c r="D36" s="26">
        <f>SUM(D29:D35)</f>
        <v>0</v>
      </c>
      <c r="E36" s="16"/>
      <c r="F36" s="26">
        <f>SUM(F29:F35)</f>
        <v>0</v>
      </c>
      <c r="G36" s="26">
        <f>SUM(G29:G35)</f>
        <v>0</v>
      </c>
      <c r="H36" s="26">
        <f>SUM(H29:H35)</f>
        <v>0</v>
      </c>
      <c r="I36" s="26">
        <f>SUM(I29:I35)</f>
        <v>0</v>
      </c>
    </row>
    <row r="37" spans="2:18">
      <c r="D37" s="16"/>
      <c r="E37" s="16"/>
      <c r="F37" s="6"/>
      <c r="G37" s="6"/>
      <c r="H37" s="6"/>
      <c r="I37" s="6"/>
      <c r="N37" s="3"/>
    </row>
    <row r="38" spans="2:18" hidden="1">
      <c r="B38"/>
      <c r="C38" s="3" t="s">
        <v>68</v>
      </c>
      <c r="D38" s="26">
        <v>0</v>
      </c>
      <c r="E38" s="16"/>
      <c r="F38" s="6"/>
      <c r="G38" s="6"/>
      <c r="H38" s="6"/>
      <c r="I38" s="26">
        <f t="shared" ref="I38:I65" si="0">IF(K38="Post Merger",D38,0)</f>
        <v>0</v>
      </c>
      <c r="K38" s="3" t="s">
        <v>10</v>
      </c>
    </row>
    <row r="39" spans="2:18" hidden="1">
      <c r="B39"/>
      <c r="C39" s="3" t="s">
        <v>55</v>
      </c>
      <c r="D39" s="26">
        <v>0</v>
      </c>
      <c r="E39" s="16"/>
      <c r="F39" s="6"/>
      <c r="G39" s="6"/>
      <c r="H39" s="6"/>
      <c r="I39" s="26">
        <f t="shared" si="0"/>
        <v>0</v>
      </c>
      <c r="K39" s="3" t="s">
        <v>10</v>
      </c>
    </row>
    <row r="40" spans="2:18" hidden="1">
      <c r="B40"/>
      <c r="C40" s="3" t="s">
        <v>69</v>
      </c>
      <c r="D40" s="26">
        <v>0</v>
      </c>
      <c r="E40" s="16"/>
      <c r="F40" s="6"/>
      <c r="G40" s="6"/>
      <c r="H40" s="6"/>
      <c r="I40" s="26">
        <f t="shared" si="0"/>
        <v>0</v>
      </c>
      <c r="K40" s="3" t="s">
        <v>10</v>
      </c>
    </row>
    <row r="41" spans="2:18" hidden="1">
      <c r="B41"/>
      <c r="C41" s="3" t="s">
        <v>88</v>
      </c>
      <c r="D41" s="26">
        <v>0</v>
      </c>
      <c r="E41" s="16"/>
      <c r="F41" s="6"/>
      <c r="G41" s="6"/>
      <c r="H41" s="6"/>
      <c r="I41" s="26">
        <f t="shared" si="0"/>
        <v>0</v>
      </c>
      <c r="K41" s="3" t="s">
        <v>10</v>
      </c>
    </row>
    <row r="42" spans="2:18" hidden="1">
      <c r="B42"/>
      <c r="C42" s="3" t="s">
        <v>70</v>
      </c>
      <c r="D42" s="26">
        <v>0</v>
      </c>
      <c r="E42" s="16"/>
      <c r="F42" s="6"/>
      <c r="G42" s="6"/>
      <c r="H42" s="6"/>
      <c r="I42" s="26">
        <f t="shared" si="0"/>
        <v>0</v>
      </c>
      <c r="K42" s="3" t="s">
        <v>10</v>
      </c>
    </row>
    <row r="43" spans="2:18">
      <c r="B43"/>
      <c r="C43" s="3" t="s">
        <v>71</v>
      </c>
      <c r="D43" s="26">
        <v>4575693.2</v>
      </c>
      <c r="E43" s="16"/>
      <c r="F43" s="6"/>
      <c r="G43" s="6"/>
      <c r="H43" s="6"/>
      <c r="I43" s="26">
        <f t="shared" si="0"/>
        <v>4575693.2</v>
      </c>
      <c r="K43" s="3" t="s">
        <v>10</v>
      </c>
    </row>
    <row r="44" spans="2:18" hidden="1">
      <c r="B44"/>
      <c r="C44" s="3" t="s">
        <v>72</v>
      </c>
      <c r="D44" s="26">
        <v>0</v>
      </c>
      <c r="E44" s="16"/>
      <c r="F44" s="6"/>
      <c r="G44" s="6"/>
      <c r="H44" s="6"/>
      <c r="I44" s="26">
        <f t="shared" si="0"/>
        <v>0</v>
      </c>
      <c r="K44" s="3" t="s">
        <v>10</v>
      </c>
    </row>
    <row r="45" spans="2:18">
      <c r="B45"/>
      <c r="C45" s="3" t="s">
        <v>46</v>
      </c>
      <c r="D45" s="26">
        <v>8005931.2199999997</v>
      </c>
      <c r="E45" s="16"/>
      <c r="F45" s="6"/>
      <c r="G45" s="6"/>
      <c r="H45" s="6"/>
      <c r="I45" s="26">
        <f t="shared" si="0"/>
        <v>8005931.2199999997</v>
      </c>
      <c r="K45" s="3" t="s">
        <v>10</v>
      </c>
    </row>
    <row r="46" spans="2:18">
      <c r="B46"/>
      <c r="C46" s="3" t="s">
        <v>73</v>
      </c>
      <c r="D46" s="26">
        <v>84152812.780000001</v>
      </c>
      <c r="E46" s="16"/>
      <c r="F46" s="6"/>
      <c r="G46" s="6"/>
      <c r="H46" s="6"/>
      <c r="I46" s="26">
        <f t="shared" si="0"/>
        <v>84152812.780000001</v>
      </c>
      <c r="K46" s="3" t="s">
        <v>10</v>
      </c>
    </row>
    <row r="47" spans="2:18" hidden="1">
      <c r="B47"/>
      <c r="C47" s="3" t="s">
        <v>74</v>
      </c>
      <c r="D47" s="26">
        <v>0</v>
      </c>
      <c r="E47" s="16"/>
      <c r="F47" s="6"/>
      <c r="G47" s="6"/>
      <c r="H47" s="6"/>
      <c r="I47" s="26">
        <f t="shared" si="0"/>
        <v>0</v>
      </c>
      <c r="K47" s="3" t="s">
        <v>10</v>
      </c>
    </row>
    <row r="48" spans="2:18" hidden="1">
      <c r="B48"/>
      <c r="C48" s="3" t="s">
        <v>75</v>
      </c>
      <c r="D48" s="26">
        <v>0</v>
      </c>
      <c r="E48" s="16"/>
      <c r="F48" s="6"/>
      <c r="G48" s="6"/>
      <c r="H48" s="6"/>
      <c r="I48" s="26">
        <f t="shared" si="0"/>
        <v>0</v>
      </c>
      <c r="K48" s="3" t="s">
        <v>10</v>
      </c>
    </row>
    <row r="49" spans="2:11" hidden="1">
      <c r="B49"/>
      <c r="C49" s="3" t="s">
        <v>45</v>
      </c>
      <c r="D49" s="26">
        <v>0</v>
      </c>
      <c r="E49" s="16"/>
      <c r="F49" s="6"/>
      <c r="G49" s="6"/>
      <c r="H49" s="6"/>
      <c r="I49" s="26">
        <f t="shared" si="0"/>
        <v>0</v>
      </c>
      <c r="K49" s="3" t="s">
        <v>10</v>
      </c>
    </row>
    <row r="50" spans="2:11" hidden="1">
      <c r="B50"/>
      <c r="C50" s="22" t="s">
        <v>76</v>
      </c>
      <c r="D50" s="26">
        <v>0</v>
      </c>
      <c r="E50" s="16"/>
      <c r="F50" s="6"/>
      <c r="G50" s="6"/>
      <c r="H50" s="6"/>
      <c r="I50" s="26">
        <f t="shared" si="0"/>
        <v>0</v>
      </c>
      <c r="K50" s="3" t="s">
        <v>10</v>
      </c>
    </row>
    <row r="51" spans="2:11" hidden="1">
      <c r="B51"/>
      <c r="C51" s="3" t="s">
        <v>77</v>
      </c>
      <c r="D51" s="26">
        <v>0</v>
      </c>
      <c r="E51" s="16"/>
      <c r="F51" s="6"/>
      <c r="G51" s="6"/>
      <c r="H51" s="6"/>
      <c r="I51" s="26">
        <f t="shared" si="0"/>
        <v>0</v>
      </c>
      <c r="K51" s="3" t="s">
        <v>10</v>
      </c>
    </row>
    <row r="52" spans="2:11" hidden="1">
      <c r="B52"/>
      <c r="C52" s="3" t="s">
        <v>78</v>
      </c>
      <c r="D52" s="26">
        <v>0</v>
      </c>
      <c r="E52" s="16"/>
      <c r="F52" s="6"/>
      <c r="G52" s="6"/>
      <c r="H52" s="6"/>
      <c r="I52" s="26">
        <f t="shared" si="0"/>
        <v>0</v>
      </c>
      <c r="K52" s="3" t="s">
        <v>10</v>
      </c>
    </row>
    <row r="53" spans="2:11" hidden="1">
      <c r="B53"/>
      <c r="C53" s="3" t="s">
        <v>79</v>
      </c>
      <c r="D53" s="26">
        <v>0</v>
      </c>
      <c r="E53" s="16"/>
      <c r="F53" s="6"/>
      <c r="G53" s="6"/>
      <c r="H53" s="6"/>
      <c r="I53" s="26">
        <f t="shared" si="0"/>
        <v>0</v>
      </c>
      <c r="K53" s="3" t="s">
        <v>10</v>
      </c>
    </row>
    <row r="54" spans="2:11" hidden="1">
      <c r="B54"/>
      <c r="C54" s="3" t="s">
        <v>80</v>
      </c>
      <c r="D54" s="26">
        <v>0</v>
      </c>
      <c r="E54" s="16"/>
      <c r="F54" s="6"/>
      <c r="G54" s="6"/>
      <c r="H54" s="6"/>
      <c r="I54" s="26">
        <f t="shared" si="0"/>
        <v>0</v>
      </c>
      <c r="K54" s="3" t="s">
        <v>10</v>
      </c>
    </row>
    <row r="55" spans="2:11" hidden="1">
      <c r="B55"/>
      <c r="C55" s="3" t="s">
        <v>81</v>
      </c>
      <c r="D55" s="26">
        <v>0</v>
      </c>
      <c r="E55" s="16"/>
      <c r="F55" s="6"/>
      <c r="G55" s="6"/>
      <c r="H55" s="6"/>
      <c r="I55" s="26">
        <f t="shared" si="0"/>
        <v>0</v>
      </c>
      <c r="K55" s="3" t="s">
        <v>10</v>
      </c>
    </row>
    <row r="56" spans="2:11" hidden="1">
      <c r="B56"/>
      <c r="C56" s="3" t="s">
        <v>82</v>
      </c>
      <c r="D56" s="26">
        <v>0</v>
      </c>
      <c r="E56" s="16"/>
      <c r="F56" s="6"/>
      <c r="G56" s="6"/>
      <c r="H56" s="6"/>
      <c r="I56" s="26">
        <f t="shared" si="0"/>
        <v>0</v>
      </c>
      <c r="K56" s="3" t="s">
        <v>10</v>
      </c>
    </row>
    <row r="57" spans="2:11" hidden="1">
      <c r="B57"/>
      <c r="C57" s="27" t="s">
        <v>83</v>
      </c>
      <c r="D57" s="26">
        <v>0</v>
      </c>
      <c r="E57" s="16"/>
      <c r="F57" s="6"/>
      <c r="G57" s="6"/>
      <c r="H57" s="6"/>
      <c r="I57" s="26">
        <f t="shared" si="0"/>
        <v>0</v>
      </c>
      <c r="K57" s="3" t="s">
        <v>10</v>
      </c>
    </row>
    <row r="58" spans="2:11" hidden="1">
      <c r="B58"/>
      <c r="C58" s="27" t="s">
        <v>92</v>
      </c>
      <c r="D58" s="26">
        <v>0</v>
      </c>
      <c r="E58" s="16"/>
      <c r="F58" s="6"/>
      <c r="G58" s="6"/>
      <c r="H58" s="6"/>
      <c r="I58" s="26">
        <f t="shared" si="0"/>
        <v>0</v>
      </c>
      <c r="K58" s="3" t="s">
        <v>10</v>
      </c>
    </row>
    <row r="59" spans="2:11" hidden="1">
      <c r="B59"/>
      <c r="C59" s="3" t="s">
        <v>84</v>
      </c>
      <c r="D59" s="26">
        <v>0</v>
      </c>
      <c r="E59" s="16"/>
      <c r="F59" s="6"/>
      <c r="G59" s="6"/>
      <c r="H59" s="6"/>
      <c r="I59" s="26">
        <f t="shared" si="0"/>
        <v>0</v>
      </c>
      <c r="K59" s="3" t="s">
        <v>10</v>
      </c>
    </row>
    <row r="60" spans="2:11" hidden="1">
      <c r="B60"/>
      <c r="C60" s="3" t="s">
        <v>95</v>
      </c>
      <c r="D60" s="26">
        <v>0</v>
      </c>
      <c r="E60" s="16"/>
      <c r="F60" s="6"/>
      <c r="G60" s="6"/>
      <c r="H60" s="6"/>
      <c r="I60" s="26">
        <f t="shared" si="0"/>
        <v>0</v>
      </c>
      <c r="K60" s="3" t="s">
        <v>10</v>
      </c>
    </row>
    <row r="61" spans="2:11" hidden="1">
      <c r="B61"/>
      <c r="C61" s="3" t="s">
        <v>85</v>
      </c>
      <c r="D61" s="26">
        <v>0</v>
      </c>
      <c r="E61" s="16"/>
      <c r="F61" s="6"/>
      <c r="G61" s="6"/>
      <c r="H61" s="6"/>
      <c r="I61" s="26">
        <f t="shared" si="0"/>
        <v>0</v>
      </c>
      <c r="K61" s="3" t="s">
        <v>10</v>
      </c>
    </row>
    <row r="62" spans="2:11" hidden="1">
      <c r="B62"/>
      <c r="C62" s="3" t="s">
        <v>86</v>
      </c>
      <c r="D62" s="26">
        <v>0</v>
      </c>
      <c r="E62" s="16"/>
      <c r="F62" s="6"/>
      <c r="G62" s="6"/>
      <c r="H62" s="6"/>
      <c r="I62" s="26">
        <f t="shared" si="0"/>
        <v>0</v>
      </c>
      <c r="K62" s="3" t="s">
        <v>10</v>
      </c>
    </row>
    <row r="63" spans="2:11" hidden="1">
      <c r="B63"/>
      <c r="C63" s="3" t="s">
        <v>94</v>
      </c>
      <c r="D63" s="26">
        <v>0</v>
      </c>
      <c r="E63" s="16"/>
      <c r="F63" s="6"/>
      <c r="G63" s="6"/>
      <c r="H63" s="6"/>
      <c r="I63" s="26">
        <f t="shared" si="0"/>
        <v>0</v>
      </c>
      <c r="K63" s="3" t="s">
        <v>10</v>
      </c>
    </row>
    <row r="64" spans="2:11" hidden="1">
      <c r="B64"/>
      <c r="C64" s="27" t="s">
        <v>87</v>
      </c>
      <c r="D64" s="26">
        <v>0</v>
      </c>
      <c r="E64" s="16"/>
      <c r="F64" s="6"/>
      <c r="G64" s="6"/>
      <c r="H64" s="6"/>
      <c r="I64" s="26">
        <f t="shared" si="0"/>
        <v>0</v>
      </c>
      <c r="K64" s="3" t="s">
        <v>10</v>
      </c>
    </row>
    <row r="65" spans="1:16" hidden="1">
      <c r="B65"/>
      <c r="C65" s="3" t="s">
        <v>93</v>
      </c>
      <c r="D65" s="26">
        <v>0</v>
      </c>
      <c r="E65" s="16"/>
      <c r="F65" s="6"/>
      <c r="G65" s="6"/>
      <c r="H65" s="6"/>
      <c r="I65" s="26">
        <f t="shared" si="0"/>
        <v>0</v>
      </c>
      <c r="K65" s="3" t="s">
        <v>10</v>
      </c>
    </row>
    <row r="66" spans="1:16" ht="11.25" thickBot="1">
      <c r="B66"/>
      <c r="C66" s="27"/>
      <c r="D66" s="26"/>
      <c r="E66" s="16"/>
      <c r="F66" s="6"/>
      <c r="G66" s="6"/>
      <c r="H66" s="6"/>
      <c r="I66" s="26"/>
    </row>
    <row r="67" spans="1:16" hidden="1">
      <c r="B67" s="22" t="s">
        <v>64</v>
      </c>
      <c r="C67" s="27"/>
      <c r="D67" s="26"/>
      <c r="E67" s="16"/>
      <c r="F67" s="6"/>
      <c r="G67" s="6"/>
      <c r="H67" s="6"/>
      <c r="I67" s="26"/>
    </row>
    <row r="68" spans="1:16" ht="11.25" hidden="1" thickBot="1">
      <c r="B68"/>
      <c r="C68" s="3" t="s">
        <v>96</v>
      </c>
      <c r="D68" s="26">
        <v>0</v>
      </c>
      <c r="E68" s="16"/>
      <c r="F68" s="6"/>
      <c r="G68" s="6"/>
      <c r="H68" s="6"/>
      <c r="I68" s="26">
        <f>IF(K68="Post Merger",D68,0)</f>
        <v>0</v>
      </c>
      <c r="K68" s="3" t="s">
        <v>10</v>
      </c>
    </row>
    <row r="69" spans="1:16" ht="11.25" thickBot="1">
      <c r="B69"/>
      <c r="D69" s="16"/>
      <c r="E69" s="16"/>
      <c r="F69" s="6"/>
      <c r="G69" s="6"/>
      <c r="H69" s="6"/>
      <c r="I69" s="6"/>
      <c r="K69" s="36">
        <v>0</v>
      </c>
      <c r="L69" s="24" t="s">
        <v>40</v>
      </c>
      <c r="M69" s="37">
        <v>0</v>
      </c>
    </row>
    <row r="70" spans="1:16">
      <c r="B70"/>
      <c r="C70" t="s">
        <v>115</v>
      </c>
      <c r="D70" s="26">
        <v>67492994.709999993</v>
      </c>
      <c r="E70" s="16"/>
      <c r="F70" s="6"/>
      <c r="G70" s="6"/>
      <c r="H70" s="6"/>
      <c r="I70" s="26">
        <f>D70</f>
        <v>67492994.709999993</v>
      </c>
    </row>
    <row r="71" spans="1:16" ht="11.25" thickBot="1">
      <c r="B71" s="40" t="s">
        <v>65</v>
      </c>
      <c r="C71" s="14"/>
      <c r="D71" s="11" t="s">
        <v>14</v>
      </c>
      <c r="E71" s="14" t="s">
        <v>13</v>
      </c>
      <c r="F71" s="11" t="s">
        <v>14</v>
      </c>
      <c r="G71" s="11" t="s">
        <v>14</v>
      </c>
      <c r="H71" s="11" t="s">
        <v>14</v>
      </c>
      <c r="I71" s="11" t="s">
        <v>14</v>
      </c>
    </row>
    <row r="72" spans="1:16" ht="11.25" thickBot="1">
      <c r="B72" s="3" t="s">
        <v>28</v>
      </c>
      <c r="C72"/>
      <c r="D72" s="26">
        <f>SUM(D38:D70)</f>
        <v>164227431.91</v>
      </c>
      <c r="E72" s="16"/>
      <c r="F72" s="26">
        <f>SUM(F38:F70)</f>
        <v>0</v>
      </c>
      <c r="G72" s="26">
        <f>SUM(G38:G70)</f>
        <v>0</v>
      </c>
      <c r="H72" s="26">
        <f>SUM(H38:H70)</f>
        <v>0</v>
      </c>
      <c r="I72" s="26">
        <f>SUM(I38:I70)</f>
        <v>164227431.91</v>
      </c>
      <c r="K72" s="36"/>
      <c r="L72" s="24" t="s">
        <v>40</v>
      </c>
      <c r="M72" s="37">
        <f>D72-SUM(F72:I72)</f>
        <v>0</v>
      </c>
    </row>
    <row r="73" spans="1:16">
      <c r="B73" s="3" t="s">
        <v>116</v>
      </c>
      <c r="D73" s="26">
        <v>663166.31000000006</v>
      </c>
      <c r="E73" s="16"/>
      <c r="F73" s="14"/>
      <c r="H73" s="26"/>
      <c r="I73" s="26">
        <f>D73</f>
        <v>663166.31000000006</v>
      </c>
      <c r="J73"/>
      <c r="K73"/>
      <c r="L73"/>
      <c r="M73"/>
    </row>
    <row r="74" spans="1:16">
      <c r="B74" s="3" t="s">
        <v>29</v>
      </c>
      <c r="C74"/>
      <c r="D74" s="26">
        <v>0</v>
      </c>
      <c r="E74" s="16"/>
      <c r="F74" s="26"/>
      <c r="G74" s="26"/>
      <c r="H74" s="26">
        <f>D74</f>
        <v>0</v>
      </c>
      <c r="I74" s="6"/>
    </row>
    <row r="75" spans="1:16" ht="11.25" thickBot="1">
      <c r="D75" s="11" t="s">
        <v>14</v>
      </c>
      <c r="E75" s="14" t="s">
        <v>13</v>
      </c>
      <c r="F75" s="11" t="s">
        <v>14</v>
      </c>
      <c r="G75" s="11" t="s">
        <v>14</v>
      </c>
      <c r="H75" s="11" t="s">
        <v>14</v>
      </c>
      <c r="I75" s="11" t="s">
        <v>14</v>
      </c>
    </row>
    <row r="76" spans="1:16" ht="11.25" thickBot="1">
      <c r="A76" s="3" t="s">
        <v>30</v>
      </c>
      <c r="D76" s="26">
        <f>D72+D73+D74+D36+D27</f>
        <v>241804140.19999999</v>
      </c>
      <c r="E76" s="16"/>
      <c r="F76" s="26">
        <f>F72+F73+F74+F36+F27</f>
        <v>2497765.6131726461</v>
      </c>
      <c r="G76" s="26">
        <f>G72+G73+G74+G36+G27</f>
        <v>12303986.472563948</v>
      </c>
      <c r="H76" s="26">
        <f>H72+H73+H74+H36+H27</f>
        <v>0</v>
      </c>
      <c r="I76" s="26">
        <f>I72+I73+I74+I36+I27</f>
        <v>227002388.11426342</v>
      </c>
      <c r="K76" s="36">
        <v>0</v>
      </c>
      <c r="L76" s="24" t="s">
        <v>40</v>
      </c>
      <c r="M76" s="37">
        <f>D76-SUM(F76:I76)</f>
        <v>0</v>
      </c>
    </row>
    <row r="77" spans="1:16">
      <c r="D77" s="16"/>
      <c r="E77" s="16"/>
      <c r="F77" s="16"/>
      <c r="G77" s="16"/>
      <c r="H77" s="16"/>
      <c r="I77" s="16"/>
    </row>
    <row r="78" spans="1:16">
      <c r="D78" s="16"/>
      <c r="E78" s="16"/>
      <c r="F78" s="16"/>
      <c r="G78" s="16"/>
      <c r="H78" s="16"/>
      <c r="I78" s="16"/>
    </row>
    <row r="79" spans="1:16" ht="11.25">
      <c r="A79" s="3" t="s">
        <v>31</v>
      </c>
      <c r="F79" s="6"/>
      <c r="G79" s="6"/>
      <c r="H79" s="6"/>
      <c r="I79" s="6"/>
      <c r="N79" s="29" t="s">
        <v>60</v>
      </c>
      <c r="O79" s="32">
        <v>24999835.973468848</v>
      </c>
      <c r="P79" s="26"/>
    </row>
    <row r="80" spans="1:16" ht="11.25">
      <c r="F80" s="6"/>
      <c r="G80" s="6"/>
      <c r="H80" s="6"/>
      <c r="I80" s="6"/>
      <c r="N80" s="29" t="s">
        <v>61</v>
      </c>
      <c r="O80" s="32">
        <v>0</v>
      </c>
      <c r="P80" s="26"/>
    </row>
    <row r="81" spans="1:16" customFormat="1" ht="11.25">
      <c r="A81" s="3"/>
      <c r="B81" s="3" t="s">
        <v>32</v>
      </c>
      <c r="D81" s="26">
        <f>SUM(F81:I81)</f>
        <v>24999835.973468848</v>
      </c>
      <c r="E81" s="16"/>
      <c r="F81" s="26">
        <f>O79</f>
        <v>24999835.973468848</v>
      </c>
      <c r="G81" s="6"/>
      <c r="H81" s="6"/>
      <c r="I81" s="6"/>
      <c r="J81" s="3"/>
      <c r="K81" s="18"/>
      <c r="L81" s="3"/>
      <c r="M81" s="3"/>
      <c r="N81" s="29" t="s">
        <v>62</v>
      </c>
      <c r="O81" s="32">
        <v>83304574.000558719</v>
      </c>
      <c r="P81" s="38"/>
    </row>
    <row r="82" spans="1:16" ht="11.25" hidden="1">
      <c r="A82"/>
      <c r="B82"/>
      <c r="C82"/>
      <c r="D82"/>
      <c r="E82"/>
      <c r="F82"/>
      <c r="G82"/>
      <c r="H82"/>
      <c r="I82"/>
      <c r="J82"/>
      <c r="K82" s="23"/>
      <c r="L82"/>
      <c r="M82"/>
      <c r="N82" s="29" t="s">
        <v>91</v>
      </c>
      <c r="O82" s="32">
        <v>0</v>
      </c>
      <c r="P82" s="26"/>
    </row>
    <row r="83" spans="1:16" ht="12" thickBot="1">
      <c r="B83" s="3" t="s">
        <v>33</v>
      </c>
      <c r="C83"/>
      <c r="D83" s="26">
        <f>SUM(F83:I83)</f>
        <v>0</v>
      </c>
      <c r="E83" s="16"/>
      <c r="F83" s="26">
        <f>O80</f>
        <v>0</v>
      </c>
      <c r="G83" s="6"/>
      <c r="H83" s="6"/>
      <c r="I83" s="6"/>
      <c r="N83" s="29" t="s">
        <v>63</v>
      </c>
      <c r="O83" s="32">
        <v>1038267.1499999999</v>
      </c>
      <c r="P83" s="26"/>
    </row>
    <row r="84" spans="1:16" ht="11.25" hidden="1" thickBot="1">
      <c r="C84"/>
      <c r="D84" s="16"/>
      <c r="E84" s="16"/>
      <c r="F84" s="6"/>
      <c r="G84" s="6"/>
      <c r="H84" s="6"/>
      <c r="I84" s="6"/>
      <c r="O84" s="32">
        <f>SUM(O79:O83)</f>
        <v>109342677.12402758</v>
      </c>
      <c r="P84" s="26"/>
    </row>
    <row r="85" spans="1:16" ht="11.25" thickBot="1">
      <c r="B85" s="3" t="s">
        <v>10</v>
      </c>
      <c r="C85"/>
      <c r="D85" s="26">
        <f>D90-(D81+D83+D87)</f>
        <v>84342841.02653116</v>
      </c>
      <c r="E85" s="16"/>
      <c r="F85" s="17"/>
      <c r="G85" s="6"/>
      <c r="H85" s="6"/>
      <c r="I85" s="26">
        <f>D85</f>
        <v>84342841.02653116</v>
      </c>
      <c r="N85" s="47" t="s">
        <v>40</v>
      </c>
      <c r="O85" s="37">
        <v>0</v>
      </c>
      <c r="P85" s="46"/>
    </row>
    <row r="86" spans="1:16" hidden="1">
      <c r="F86" s="6"/>
      <c r="G86" s="6"/>
      <c r="H86" s="6"/>
      <c r="I86" s="6"/>
    </row>
    <row r="87" spans="1:16" customFormat="1">
      <c r="A87" s="3"/>
      <c r="B87" t="s">
        <v>34</v>
      </c>
      <c r="C87" s="3"/>
      <c r="D87" s="26">
        <v>0</v>
      </c>
      <c r="E87" s="16"/>
      <c r="F87" s="6"/>
      <c r="H87" s="26">
        <f>D87</f>
        <v>0</v>
      </c>
      <c r="I87" s="6"/>
      <c r="J87" s="3"/>
      <c r="K87" s="3"/>
      <c r="L87" s="3"/>
      <c r="M87" s="3"/>
      <c r="N87" s="27"/>
    </row>
    <row r="88" spans="1:16">
      <c r="A88"/>
      <c r="B88"/>
      <c r="C88"/>
      <c r="D88"/>
      <c r="E88"/>
      <c r="F88"/>
      <c r="G88"/>
      <c r="H88"/>
      <c r="I88"/>
      <c r="J88"/>
      <c r="K88"/>
      <c r="L88"/>
      <c r="M88"/>
    </row>
    <row r="89" spans="1:16" ht="11.25" thickBot="1">
      <c r="D89" s="11" t="s">
        <v>14</v>
      </c>
      <c r="E89" s="14" t="s">
        <v>13</v>
      </c>
      <c r="F89" s="11" t="s">
        <v>14</v>
      </c>
      <c r="G89" s="11" t="s">
        <v>14</v>
      </c>
      <c r="H89" s="11" t="s">
        <v>14</v>
      </c>
      <c r="I89" s="11" t="s">
        <v>14</v>
      </c>
    </row>
    <row r="90" spans="1:16" customFormat="1" ht="11.25" thickBot="1">
      <c r="A90" s="3" t="s">
        <v>35</v>
      </c>
      <c r="B90" s="3"/>
      <c r="C90" s="3"/>
      <c r="D90" s="26">
        <v>109342677</v>
      </c>
      <c r="E90" s="16"/>
      <c r="F90" s="26">
        <f>SUM(F81:F87)</f>
        <v>24999835.973468848</v>
      </c>
      <c r="G90" s="26">
        <f>SUM(G81:G87)</f>
        <v>0</v>
      </c>
      <c r="H90" s="26">
        <f>SUM(H81:H87)</f>
        <v>0</v>
      </c>
      <c r="I90" s="26">
        <f>SUM(I81:I87)</f>
        <v>84342841.02653116</v>
      </c>
      <c r="J90" s="3"/>
      <c r="K90" s="36">
        <f>D90-(D81+D83+D85+D87)</f>
        <v>0</v>
      </c>
      <c r="L90" s="24" t="s">
        <v>40</v>
      </c>
      <c r="M90" s="37">
        <f>D90-SUM(F90:I90)</f>
        <v>0</v>
      </c>
      <c r="N90" s="27"/>
    </row>
    <row r="91" spans="1:16" customFormat="1">
      <c r="A91" s="3"/>
      <c r="B91" s="3"/>
      <c r="C91" s="3"/>
      <c r="D91" s="3"/>
      <c r="E91" s="3"/>
      <c r="G91" s="3"/>
      <c r="H91" s="3"/>
      <c r="I91" s="3"/>
      <c r="N91" s="27"/>
    </row>
    <row r="92" spans="1:16" customFormat="1">
      <c r="A92" s="3" t="s">
        <v>36</v>
      </c>
      <c r="B92" s="3"/>
      <c r="C92" s="3"/>
      <c r="D92" s="3"/>
      <c r="E92" s="3"/>
      <c r="G92" s="3"/>
      <c r="H92" s="3"/>
      <c r="I92" s="3"/>
      <c r="N92" s="27"/>
    </row>
    <row r="93" spans="1:16" customFormat="1" hidden="1">
      <c r="A93" s="3"/>
      <c r="B93" s="16" t="s">
        <v>98</v>
      </c>
      <c r="C93" s="3"/>
      <c r="D93" s="26">
        <v>0</v>
      </c>
      <c r="E93" s="16"/>
      <c r="G93" s="3"/>
      <c r="H93" s="26">
        <f t="shared" ref="H93:H107" si="1">D93</f>
        <v>0</v>
      </c>
      <c r="I93" s="2"/>
      <c r="N93" s="27"/>
    </row>
    <row r="94" spans="1:16" customFormat="1" hidden="1">
      <c r="A94" s="3"/>
      <c r="B94" s="16" t="s">
        <v>99</v>
      </c>
      <c r="C94" s="3"/>
      <c r="D94" s="26">
        <v>0</v>
      </c>
      <c r="E94" s="16"/>
      <c r="G94" s="3"/>
      <c r="H94" s="26">
        <f t="shared" si="1"/>
        <v>0</v>
      </c>
      <c r="I94" s="2"/>
      <c r="N94" s="27"/>
    </row>
    <row r="95" spans="1:16" customFormat="1">
      <c r="A95" s="3"/>
      <c r="B95" s="16" t="s">
        <v>100</v>
      </c>
      <c r="C95" s="3"/>
      <c r="D95" s="26">
        <v>8051919.5899999999</v>
      </c>
      <c r="E95" s="16"/>
      <c r="G95" s="3"/>
      <c r="H95" s="26">
        <f t="shared" si="1"/>
        <v>8051919.5899999999</v>
      </c>
      <c r="I95" s="2"/>
      <c r="N95" s="27"/>
    </row>
    <row r="96" spans="1:16" customFormat="1" hidden="1">
      <c r="A96" s="3"/>
      <c r="B96" s="16" t="s">
        <v>101</v>
      </c>
      <c r="C96" s="3"/>
      <c r="D96" s="26">
        <v>0</v>
      </c>
      <c r="E96" s="16"/>
      <c r="G96" s="3"/>
      <c r="H96" s="26">
        <f t="shared" si="1"/>
        <v>0</v>
      </c>
      <c r="I96" s="2"/>
      <c r="N96" s="27"/>
    </row>
    <row r="97" spans="1:14" customFormat="1">
      <c r="A97" s="3"/>
      <c r="B97" s="16" t="s">
        <v>66</v>
      </c>
      <c r="C97" s="3"/>
      <c r="D97" s="26">
        <v>50918245.159999996</v>
      </c>
      <c r="E97" s="16"/>
      <c r="G97" s="3"/>
      <c r="H97" s="26">
        <f t="shared" si="1"/>
        <v>50918245.159999996</v>
      </c>
      <c r="I97" s="2"/>
      <c r="N97" s="27"/>
    </row>
    <row r="98" spans="1:14" customFormat="1" hidden="1">
      <c r="A98" s="3"/>
      <c r="B98" s="16" t="s">
        <v>47</v>
      </c>
      <c r="C98" s="3"/>
      <c r="D98" s="26">
        <v>0</v>
      </c>
      <c r="E98" s="16"/>
      <c r="G98" s="3"/>
      <c r="H98" s="26">
        <f t="shared" si="1"/>
        <v>0</v>
      </c>
      <c r="I98" s="2"/>
      <c r="N98" s="27"/>
    </row>
    <row r="99" spans="1:14" customFormat="1" hidden="1">
      <c r="A99" s="3"/>
      <c r="B99" s="16" t="s">
        <v>102</v>
      </c>
      <c r="C99" s="3"/>
      <c r="D99" s="26">
        <v>0</v>
      </c>
      <c r="E99" s="16"/>
      <c r="G99" s="3"/>
      <c r="H99" s="26">
        <f t="shared" si="1"/>
        <v>0</v>
      </c>
      <c r="I99" s="2"/>
      <c r="N99" s="27"/>
    </row>
    <row r="100" spans="1:14" customFormat="1" hidden="1">
      <c r="A100" s="3"/>
      <c r="B100" s="16" t="s">
        <v>103</v>
      </c>
      <c r="C100" s="3"/>
      <c r="D100" s="26">
        <v>0</v>
      </c>
      <c r="E100" s="16"/>
      <c r="G100" s="3"/>
      <c r="H100" s="26">
        <f t="shared" si="1"/>
        <v>0</v>
      </c>
      <c r="I100" s="2"/>
      <c r="N100" s="27"/>
    </row>
    <row r="101" spans="1:14" customFormat="1" hidden="1">
      <c r="A101" s="3"/>
      <c r="B101" s="16" t="s">
        <v>104</v>
      </c>
      <c r="C101" s="3"/>
      <c r="D101" s="26">
        <v>0</v>
      </c>
      <c r="E101" s="16"/>
      <c r="G101" s="3"/>
      <c r="H101" s="26">
        <f t="shared" si="1"/>
        <v>0</v>
      </c>
      <c r="I101" s="2"/>
      <c r="N101" s="27"/>
    </row>
    <row r="102" spans="1:14" customFormat="1" hidden="1">
      <c r="A102" s="3"/>
      <c r="B102" s="16" t="s">
        <v>105</v>
      </c>
      <c r="C102" s="3"/>
      <c r="D102" s="26">
        <v>0</v>
      </c>
      <c r="E102" s="16"/>
      <c r="F102" s="14"/>
      <c r="G102" s="3"/>
      <c r="H102" s="26">
        <f t="shared" si="1"/>
        <v>0</v>
      </c>
      <c r="I102" s="2"/>
      <c r="N102" s="27"/>
    </row>
    <row r="103" spans="1:14" customFormat="1">
      <c r="A103" s="3"/>
      <c r="B103" s="16" t="s">
        <v>106</v>
      </c>
      <c r="C103" s="3"/>
      <c r="D103" s="26">
        <v>46003985.939999998</v>
      </c>
      <c r="E103" s="16"/>
      <c r="F103" s="14"/>
      <c r="G103" s="3"/>
      <c r="H103" s="26">
        <f t="shared" si="1"/>
        <v>46003985.939999998</v>
      </c>
      <c r="I103" s="2"/>
      <c r="N103" s="27"/>
    </row>
    <row r="104" spans="1:14" customFormat="1" hidden="1">
      <c r="A104" s="3"/>
      <c r="B104" s="16" t="s">
        <v>107</v>
      </c>
      <c r="C104" s="3"/>
      <c r="D104" s="26">
        <v>0</v>
      </c>
      <c r="E104" s="16"/>
      <c r="F104" s="14"/>
      <c r="G104" s="3"/>
      <c r="H104" s="26">
        <f t="shared" si="1"/>
        <v>0</v>
      </c>
      <c r="I104" s="2"/>
      <c r="N104" s="27"/>
    </row>
    <row r="105" spans="1:14" customFormat="1" hidden="1">
      <c r="A105" s="3"/>
      <c r="B105" s="16" t="s">
        <v>108</v>
      </c>
      <c r="C105" s="3"/>
      <c r="D105" s="26">
        <v>0</v>
      </c>
      <c r="E105" s="16"/>
      <c r="F105" s="14"/>
      <c r="G105" s="3"/>
      <c r="H105" s="26">
        <f t="shared" si="1"/>
        <v>0</v>
      </c>
      <c r="I105" s="2"/>
      <c r="N105" s="27"/>
    </row>
    <row r="106" spans="1:14" customFormat="1">
      <c r="A106" s="3"/>
      <c r="B106" s="16" t="s">
        <v>109</v>
      </c>
      <c r="C106" s="3"/>
      <c r="D106" s="26">
        <v>198244684.53999999</v>
      </c>
      <c r="E106" s="16"/>
      <c r="F106" s="14"/>
      <c r="G106" s="3"/>
      <c r="H106" s="26">
        <f t="shared" si="1"/>
        <v>198244684.53999999</v>
      </c>
      <c r="I106" s="2"/>
      <c r="N106" s="27"/>
    </row>
    <row r="107" spans="1:14" customFormat="1" hidden="1">
      <c r="A107" s="3"/>
      <c r="B107" s="16" t="s">
        <v>110</v>
      </c>
      <c r="C107" s="3"/>
      <c r="D107" s="26">
        <v>0</v>
      </c>
      <c r="E107" s="16"/>
      <c r="F107" s="14"/>
      <c r="G107" s="3"/>
      <c r="H107" s="26">
        <f t="shared" si="1"/>
        <v>0</v>
      </c>
      <c r="I107" s="2"/>
      <c r="N107" s="27"/>
    </row>
    <row r="108" spans="1:14" customFormat="1" hidden="1">
      <c r="A108" s="3"/>
      <c r="B108" s="16"/>
      <c r="C108" s="3"/>
      <c r="D108" s="26"/>
      <c r="E108" s="16"/>
      <c r="F108" s="14"/>
      <c r="G108" s="3"/>
      <c r="H108" s="26"/>
      <c r="I108" s="2"/>
      <c r="N108" s="27"/>
    </row>
    <row r="109" spans="1:14" customFormat="1" hidden="1">
      <c r="A109" s="3"/>
      <c r="B109" s="16" t="s">
        <v>111</v>
      </c>
      <c r="C109" s="3"/>
      <c r="D109" s="26">
        <v>0</v>
      </c>
      <c r="E109" s="16"/>
      <c r="F109" s="14"/>
      <c r="G109" s="3"/>
      <c r="H109" s="26">
        <f>D109</f>
        <v>0</v>
      </c>
      <c r="I109" s="2"/>
      <c r="N109" s="27"/>
    </row>
    <row r="110" spans="1:14" customFormat="1" hidden="1">
      <c r="A110" s="3"/>
      <c r="B110" s="16" t="s">
        <v>112</v>
      </c>
      <c r="C110" s="3"/>
      <c r="D110" s="26">
        <v>0</v>
      </c>
      <c r="E110" s="16"/>
      <c r="F110" s="14"/>
      <c r="G110" s="3"/>
      <c r="H110" s="26">
        <f>D110</f>
        <v>0</v>
      </c>
      <c r="I110" s="2"/>
      <c r="N110" s="27"/>
    </row>
    <row r="111" spans="1:14" customFormat="1" hidden="1">
      <c r="A111" s="3"/>
      <c r="B111" s="16" t="s">
        <v>113</v>
      </c>
      <c r="C111" s="3"/>
      <c r="D111" s="26">
        <v>0</v>
      </c>
      <c r="E111" s="16"/>
      <c r="F111" s="14"/>
      <c r="G111" s="3"/>
      <c r="H111" s="26">
        <f>D111</f>
        <v>0</v>
      </c>
      <c r="I111" s="2"/>
      <c r="N111" s="27"/>
    </row>
    <row r="112" spans="1:14" customFormat="1" hidden="1">
      <c r="A112" s="3"/>
      <c r="B112" s="16"/>
      <c r="C112" s="3"/>
      <c r="D112" s="26"/>
      <c r="E112" s="16"/>
      <c r="F112" s="14"/>
      <c r="G112" s="3"/>
      <c r="H112" s="26"/>
      <c r="I112" s="2"/>
      <c r="N112" s="27"/>
    </row>
    <row r="113" spans="1:14" customFormat="1" hidden="1">
      <c r="A113" s="3"/>
      <c r="B113" s="16" t="s">
        <v>114</v>
      </c>
      <c r="C113" s="3"/>
      <c r="D113" s="26">
        <v>0</v>
      </c>
      <c r="E113" s="16"/>
      <c r="F113" s="14"/>
      <c r="G113" s="3"/>
      <c r="H113" s="26">
        <f>D113</f>
        <v>0</v>
      </c>
      <c r="I113" s="2"/>
      <c r="N113" s="27"/>
    </row>
    <row r="114" spans="1:14" customFormat="1" ht="11.25" thickBot="1">
      <c r="A114" s="3"/>
      <c r="B114" s="3"/>
      <c r="C114" s="3"/>
      <c r="D114" s="11" t="s">
        <v>14</v>
      </c>
      <c r="E114" s="14" t="s">
        <v>13</v>
      </c>
      <c r="F114" s="11" t="s">
        <v>14</v>
      </c>
      <c r="G114" s="11" t="s">
        <v>14</v>
      </c>
      <c r="H114" s="11" t="s">
        <v>14</v>
      </c>
      <c r="I114" s="11" t="s">
        <v>14</v>
      </c>
      <c r="N114" s="27"/>
    </row>
    <row r="115" spans="1:14" customFormat="1" ht="11.25" thickBot="1">
      <c r="A115" s="3" t="s">
        <v>37</v>
      </c>
      <c r="B115" s="3"/>
      <c r="C115" s="3"/>
      <c r="D115" s="26">
        <f>SUM(D93:D113)</f>
        <v>303218835.23000002</v>
      </c>
      <c r="E115" s="16"/>
      <c r="F115" s="26">
        <f>SUM(F92:F113)</f>
        <v>0</v>
      </c>
      <c r="G115" s="26">
        <f>SUM(G92:G113)</f>
        <v>0</v>
      </c>
      <c r="H115" s="26">
        <f>SUM(H92:H113)</f>
        <v>303218835.23000002</v>
      </c>
      <c r="I115" s="26">
        <f>SUM(I92:I105)</f>
        <v>0</v>
      </c>
      <c r="K115" s="36">
        <v>0</v>
      </c>
      <c r="L115" s="24" t="s">
        <v>40</v>
      </c>
      <c r="M115" s="37">
        <f>D115-SUM(F115:I115)</f>
        <v>0</v>
      </c>
      <c r="N115" s="27"/>
    </row>
    <row r="116" spans="1:14" customFormat="1">
      <c r="A116" s="3"/>
      <c r="B116" s="3"/>
      <c r="C116" s="3"/>
      <c r="D116" s="7"/>
      <c r="E116" s="16"/>
      <c r="F116" s="16"/>
      <c r="G116" s="16"/>
      <c r="H116" s="16"/>
      <c r="I116" s="16"/>
      <c r="N116" s="27"/>
    </row>
    <row r="117" spans="1:14" customFormat="1">
      <c r="A117" s="3" t="s">
        <v>43</v>
      </c>
      <c r="B117" s="3"/>
      <c r="C117" s="3"/>
      <c r="D117" s="7"/>
      <c r="E117" s="16"/>
      <c r="F117" s="16"/>
      <c r="G117" s="16"/>
      <c r="H117" s="16"/>
      <c r="I117" s="16"/>
      <c r="N117" s="27"/>
    </row>
    <row r="118" spans="1:14" customFormat="1">
      <c r="A118" s="3"/>
      <c r="B118" s="16" t="s">
        <v>97</v>
      </c>
      <c r="C118" s="3"/>
      <c r="D118" s="26">
        <v>0</v>
      </c>
      <c r="E118" s="16"/>
      <c r="F118" s="14"/>
      <c r="G118" s="3"/>
      <c r="H118" s="26">
        <f>D118</f>
        <v>0</v>
      </c>
      <c r="I118" s="2"/>
      <c r="N118" s="27"/>
    </row>
    <row r="119" spans="1:14">
      <c r="D119" s="11" t="s">
        <v>14</v>
      </c>
      <c r="E119" s="14" t="s">
        <v>13</v>
      </c>
      <c r="F119" s="11" t="s">
        <v>14</v>
      </c>
      <c r="G119" s="11" t="s">
        <v>14</v>
      </c>
      <c r="H119" s="11" t="s">
        <v>14</v>
      </c>
      <c r="I119" s="11" t="s">
        <v>14</v>
      </c>
    </row>
    <row r="120" spans="1:14">
      <c r="A120" s="3" t="s">
        <v>44</v>
      </c>
      <c r="D120" s="26">
        <v>0</v>
      </c>
      <c r="E120" s="16"/>
      <c r="F120" s="26">
        <f>SUM(F118:F118)</f>
        <v>0</v>
      </c>
      <c r="G120" s="26">
        <f>SUM(G118:G118)</f>
        <v>0</v>
      </c>
      <c r="H120" s="26">
        <f>SUM(H118:H118)</f>
        <v>0</v>
      </c>
      <c r="I120" s="26">
        <f>SUM(I118:I118)</f>
        <v>0</v>
      </c>
    </row>
    <row r="121" spans="1:14" ht="11.25" thickBot="1">
      <c r="D121" s="19" t="s">
        <v>38</v>
      </c>
      <c r="E121" s="14" t="s">
        <v>13</v>
      </c>
      <c r="F121" s="19" t="s">
        <v>38</v>
      </c>
      <c r="G121" s="19" t="s">
        <v>38</v>
      </c>
      <c r="H121" s="19" t="s">
        <v>38</v>
      </c>
      <c r="I121" s="19" t="s">
        <v>38</v>
      </c>
    </row>
    <row r="122" spans="1:14" ht="11.25" thickBot="1">
      <c r="A122" s="3" t="s">
        <v>39</v>
      </c>
      <c r="D122" s="26">
        <f>D115+D90+D76+D120-D16</f>
        <v>580537045.68000007</v>
      </c>
      <c r="E122" s="16" t="s">
        <v>13</v>
      </c>
      <c r="F122" s="26">
        <f>F115+F90+F76+F120-F16</f>
        <v>14532801.586641494</v>
      </c>
      <c r="G122" s="26">
        <f>G115+G90+G76+G120-G16</f>
        <v>12303986.472563948</v>
      </c>
      <c r="H122" s="26">
        <f>H115+H90+H76+H120-H16</f>
        <v>303218835.23000002</v>
      </c>
      <c r="I122" s="26">
        <f>I115+I90+I76+I120-I16</f>
        <v>250481422.39079458</v>
      </c>
      <c r="K122" s="36">
        <v>0</v>
      </c>
      <c r="L122" s="24" t="s">
        <v>40</v>
      </c>
      <c r="M122" s="37">
        <f>D122-SUM(F122:I122)</f>
        <v>0</v>
      </c>
    </row>
    <row r="123" spans="1:14">
      <c r="D123" s="19" t="s">
        <v>38</v>
      </c>
      <c r="E123" s="14" t="s">
        <v>13</v>
      </c>
      <c r="F123" s="19" t="s">
        <v>38</v>
      </c>
      <c r="G123" s="19" t="s">
        <v>38</v>
      </c>
      <c r="H123" s="19" t="s">
        <v>38</v>
      </c>
      <c r="I123" s="19" t="s">
        <v>38</v>
      </c>
    </row>
  </sheetData>
  <mergeCells count="1">
    <mergeCell ref="A4:C4"/>
  </mergeCells>
  <pageMargins left="0.65" right="0.72" top="1" bottom="1" header="0.5" footer="0.5"/>
  <pageSetup scale="67" orientation="portrait" r:id="rId1"/>
  <headerFooter alignWithMargins="0">
    <oddHeader>&amp;L&amp;"Arial,Regular"&amp;10WA UE-130043
Bench Request 9&amp;R&amp;"Arial,Bold"&amp;10Attachment Bench Request 9</oddHeader>
    <oddFooter>&amp;L&amp;"Arial,Regular"&amp;10&amp;F&amp;C&amp;A</oddFooter>
  </headerFooter>
  <rowBreaks count="1" manualBreakCount="1">
    <brk id="69" max="8"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I123"/>
  <sheetViews>
    <sheetView view="pageBreakPreview" zoomScale="85" zoomScaleNormal="75" zoomScaleSheetLayoutView="85" workbookViewId="0">
      <selection activeCell="T91" sqref="T91"/>
    </sheetView>
  </sheetViews>
  <sheetFormatPr defaultRowHeight="12.75"/>
  <cols>
    <col min="1" max="1" width="3.33203125" style="128" customWidth="1"/>
    <col min="2" max="2" width="3" style="128" customWidth="1"/>
    <col min="3" max="3" width="38.5" style="128" customWidth="1"/>
    <col min="4" max="4" width="16" style="128" customWidth="1"/>
    <col min="5" max="5" width="2.6640625" style="128" customWidth="1"/>
    <col min="6" max="6" width="18.33203125" style="128" customWidth="1"/>
    <col min="7" max="8" width="15.5" style="128" customWidth="1"/>
    <col min="9" max="9" width="16" style="128" customWidth="1"/>
    <col min="10" max="16384" width="9.33203125" style="128"/>
  </cols>
  <sheetData>
    <row r="1" spans="1:9">
      <c r="A1" s="124" t="s">
        <v>118</v>
      </c>
      <c r="B1" s="125"/>
      <c r="C1" s="125"/>
      <c r="D1" s="125"/>
      <c r="E1" s="126"/>
      <c r="F1" s="127" t="s">
        <v>42</v>
      </c>
      <c r="G1" s="125"/>
      <c r="H1" s="125"/>
      <c r="I1" s="125"/>
    </row>
    <row r="2" spans="1:9">
      <c r="A2" s="129"/>
      <c r="B2" s="125"/>
      <c r="C2" s="125"/>
      <c r="D2" s="125"/>
      <c r="E2" s="126"/>
      <c r="F2" s="126" t="s">
        <v>0</v>
      </c>
      <c r="G2" s="125"/>
      <c r="H2" s="125"/>
      <c r="I2" s="125"/>
    </row>
    <row r="3" spans="1:9">
      <c r="A3" s="130" t="s">
        <v>52</v>
      </c>
      <c r="B3" s="125"/>
      <c r="C3" s="125"/>
      <c r="D3" s="131"/>
      <c r="E3" s="131"/>
      <c r="F3" s="127" t="s">
        <v>1</v>
      </c>
      <c r="G3" s="125"/>
      <c r="H3" s="125"/>
      <c r="I3" s="125"/>
    </row>
    <row r="4" spans="1:9">
      <c r="A4" s="356">
        <v>41061</v>
      </c>
      <c r="B4" s="356"/>
      <c r="C4" s="356"/>
      <c r="D4" s="131"/>
      <c r="E4" s="131"/>
      <c r="F4" s="126"/>
      <c r="G4" s="125"/>
      <c r="H4" s="125"/>
      <c r="I4" s="125"/>
    </row>
    <row r="5" spans="1:9">
      <c r="A5" s="125"/>
      <c r="B5" s="130"/>
      <c r="C5" s="125"/>
      <c r="D5" s="131" t="s">
        <v>2</v>
      </c>
      <c r="E5" s="131"/>
      <c r="F5" s="132" t="s">
        <v>3</v>
      </c>
      <c r="G5" s="132" t="s">
        <v>3</v>
      </c>
      <c r="H5" s="132"/>
      <c r="I5" s="132"/>
    </row>
    <row r="6" spans="1:9">
      <c r="A6" s="125"/>
      <c r="B6" s="125"/>
      <c r="C6" s="125"/>
      <c r="D6" s="133" t="s">
        <v>166</v>
      </c>
      <c r="E6" s="134"/>
      <c r="F6" s="135" t="s">
        <v>4</v>
      </c>
      <c r="G6" s="135" t="s">
        <v>5</v>
      </c>
      <c r="H6" s="135" t="s">
        <v>6</v>
      </c>
      <c r="I6" s="135" t="s">
        <v>7</v>
      </c>
    </row>
    <row r="7" spans="1:9">
      <c r="A7" s="125" t="s">
        <v>8</v>
      </c>
      <c r="B7" s="125"/>
      <c r="C7" s="125"/>
      <c r="D7" s="125"/>
      <c r="E7" s="125"/>
      <c r="F7" s="136"/>
      <c r="G7" s="136"/>
      <c r="H7" s="136"/>
      <c r="I7" s="136"/>
    </row>
    <row r="8" spans="1:9">
      <c r="A8" s="125"/>
      <c r="B8" s="125" t="s">
        <v>9</v>
      </c>
      <c r="C8" s="125"/>
      <c r="D8" s="125">
        <v>8952900.0700000003</v>
      </c>
      <c r="E8" s="137"/>
      <c r="F8" s="125">
        <v>8952900.0700000003</v>
      </c>
      <c r="G8" s="125"/>
      <c r="H8" s="125"/>
      <c r="I8" s="125"/>
    </row>
    <row r="9" spans="1:9">
      <c r="A9" s="125"/>
      <c r="B9" s="125"/>
      <c r="C9" s="125"/>
      <c r="D9" s="137"/>
      <c r="E9" s="137"/>
      <c r="F9" s="138"/>
      <c r="G9" s="136"/>
      <c r="H9" s="136"/>
      <c r="I9" s="136"/>
    </row>
    <row r="10" spans="1:9">
      <c r="A10" s="125"/>
      <c r="B10" s="125" t="s">
        <v>10</v>
      </c>
      <c r="C10" s="125"/>
      <c r="D10" s="125">
        <v>80695779.329999998</v>
      </c>
      <c r="E10" s="137"/>
      <c r="F10" s="138"/>
      <c r="G10" s="136"/>
      <c r="H10" s="136"/>
      <c r="I10" s="125">
        <v>80695779.329999998</v>
      </c>
    </row>
    <row r="11" spans="1:9">
      <c r="A11" s="125"/>
      <c r="B11" s="125"/>
      <c r="C11" s="125"/>
      <c r="D11" s="137"/>
      <c r="E11" s="137"/>
      <c r="F11" s="138"/>
      <c r="G11" s="136"/>
      <c r="H11" s="136"/>
      <c r="I11" s="136"/>
    </row>
    <row r="12" spans="1:9">
      <c r="A12" s="125"/>
      <c r="B12" s="125" t="s">
        <v>11</v>
      </c>
      <c r="C12" s="125"/>
      <c r="D12" s="125">
        <v>0</v>
      </c>
      <c r="E12" s="137"/>
      <c r="F12" s="125">
        <v>0</v>
      </c>
      <c r="G12" s="136"/>
      <c r="H12" s="136"/>
      <c r="I12" s="136"/>
    </row>
    <row r="13" spans="1:9">
      <c r="A13" s="125"/>
      <c r="B13" s="125"/>
      <c r="C13" s="125"/>
      <c r="D13" s="137"/>
      <c r="E13" s="137"/>
      <c r="F13" s="136"/>
      <c r="G13" s="136"/>
      <c r="H13" s="136"/>
      <c r="I13" s="136"/>
    </row>
    <row r="14" spans="1:9">
      <c r="A14" s="125"/>
      <c r="B14" s="125" t="s">
        <v>12</v>
      </c>
      <c r="C14" s="125"/>
      <c r="D14" s="125">
        <v>0</v>
      </c>
      <c r="E14" s="137"/>
      <c r="F14" s="136"/>
      <c r="G14" s="136"/>
      <c r="H14" s="125">
        <v>0</v>
      </c>
      <c r="I14" s="136"/>
    </row>
    <row r="15" spans="1:9">
      <c r="A15" s="125"/>
      <c r="B15" s="125"/>
      <c r="C15" s="125"/>
      <c r="D15" s="131" t="s">
        <v>14</v>
      </c>
      <c r="E15" s="139" t="s">
        <v>13</v>
      </c>
      <c r="F15" s="131" t="s">
        <v>14</v>
      </c>
      <c r="G15" s="131" t="s">
        <v>14</v>
      </c>
      <c r="H15" s="131" t="s">
        <v>14</v>
      </c>
      <c r="I15" s="131" t="s">
        <v>14</v>
      </c>
    </row>
    <row r="16" spans="1:9">
      <c r="A16" s="125" t="s">
        <v>15</v>
      </c>
      <c r="B16" s="125"/>
      <c r="C16" s="125"/>
      <c r="D16" s="125">
        <v>89648679.400000006</v>
      </c>
      <c r="E16" s="137"/>
      <c r="F16" s="125">
        <v>8952900.0700000003</v>
      </c>
      <c r="G16" s="125">
        <v>0</v>
      </c>
      <c r="H16" s="125">
        <v>0</v>
      </c>
      <c r="I16" s="125">
        <v>80695779.329999998</v>
      </c>
    </row>
    <row r="17" spans="1:9">
      <c r="A17" s="125"/>
      <c r="B17" s="125"/>
      <c r="C17" s="125"/>
      <c r="D17" s="137"/>
      <c r="E17" s="137"/>
      <c r="F17" s="137"/>
      <c r="G17" s="137"/>
      <c r="H17" s="137"/>
      <c r="I17" s="137"/>
    </row>
    <row r="18" spans="1:9">
      <c r="A18" s="125"/>
      <c r="B18" s="125"/>
      <c r="C18" s="125"/>
      <c r="D18" s="125"/>
      <c r="E18" s="136"/>
      <c r="F18" s="136"/>
      <c r="G18" s="136"/>
      <c r="H18" s="136"/>
      <c r="I18" s="136"/>
    </row>
    <row r="19" spans="1:9">
      <c r="A19" s="125" t="s">
        <v>16</v>
      </c>
      <c r="B19" s="125"/>
      <c r="C19" s="125"/>
      <c r="D19" s="137"/>
      <c r="E19" s="137"/>
      <c r="F19" s="140"/>
      <c r="G19" s="136"/>
      <c r="H19" s="136"/>
      <c r="I19" s="136"/>
    </row>
    <row r="20" spans="1:9">
      <c r="A20" s="125"/>
      <c r="B20" s="125"/>
      <c r="C20" s="125" t="s">
        <v>17</v>
      </c>
      <c r="D20" s="125">
        <v>9602500</v>
      </c>
      <c r="E20" s="137"/>
      <c r="F20" s="125">
        <v>9602500</v>
      </c>
      <c r="G20" s="136"/>
      <c r="H20" s="136"/>
      <c r="I20" s="136"/>
    </row>
    <row r="21" spans="1:9">
      <c r="A21" s="125"/>
      <c r="B21" s="125"/>
      <c r="C21" s="125" t="s">
        <v>18</v>
      </c>
      <c r="D21" s="125">
        <v>0</v>
      </c>
      <c r="E21" s="137"/>
      <c r="F21" s="125">
        <v>0</v>
      </c>
      <c r="G21" s="125">
        <v>0</v>
      </c>
      <c r="H21" s="136"/>
      <c r="I21" s="136"/>
    </row>
    <row r="22" spans="1:9">
      <c r="A22" s="125"/>
      <c r="B22" s="125"/>
      <c r="C22" s="125" t="s">
        <v>19</v>
      </c>
      <c r="D22" s="125">
        <v>3482835.18</v>
      </c>
      <c r="E22" s="137"/>
      <c r="F22" s="125">
        <v>1044850.554</v>
      </c>
      <c r="G22" s="125">
        <v>2437984.6260000002</v>
      </c>
      <c r="H22" s="136"/>
      <c r="I22" s="136"/>
    </row>
    <row r="23" spans="1:9">
      <c r="A23" s="125"/>
      <c r="B23" s="125"/>
      <c r="C23" s="125" t="s">
        <v>20</v>
      </c>
      <c r="D23" s="125">
        <v>6730940.7000000002</v>
      </c>
      <c r="E23" s="137"/>
      <c r="F23" s="125">
        <v>1395746.7101859602</v>
      </c>
      <c r="G23" s="125">
        <v>5335193.9898140403</v>
      </c>
      <c r="H23" s="136"/>
      <c r="I23" s="136"/>
    </row>
    <row r="24" spans="1:9">
      <c r="A24" s="125"/>
      <c r="B24" s="125"/>
      <c r="C24" s="125" t="s">
        <v>21</v>
      </c>
      <c r="D24" s="125">
        <v>61888677.790000007</v>
      </c>
      <c r="E24" s="137"/>
      <c r="F24" s="141"/>
      <c r="G24" s="141"/>
      <c r="H24" s="136"/>
      <c r="I24" s="141">
        <v>61888677.790000007</v>
      </c>
    </row>
    <row r="25" spans="1:9">
      <c r="A25" s="125"/>
      <c r="B25" s="125"/>
      <c r="C25" s="125" t="s">
        <v>90</v>
      </c>
      <c r="D25" s="125">
        <v>12121.15</v>
      </c>
      <c r="E25" s="137"/>
      <c r="F25" s="136"/>
      <c r="G25" s="125"/>
      <c r="H25" s="136"/>
      <c r="I25" s="125">
        <v>12121.15</v>
      </c>
    </row>
    <row r="26" spans="1:9">
      <c r="A26" s="125"/>
      <c r="B26" s="142" t="s">
        <v>65</v>
      </c>
      <c r="C26" s="139"/>
      <c r="D26" s="131" t="s">
        <v>14</v>
      </c>
      <c r="E26" s="139" t="s">
        <v>13</v>
      </c>
      <c r="F26" s="131" t="s">
        <v>14</v>
      </c>
      <c r="G26" s="131" t="s">
        <v>14</v>
      </c>
      <c r="H26" s="131" t="s">
        <v>14</v>
      </c>
      <c r="I26" s="131" t="s">
        <v>14</v>
      </c>
    </row>
    <row r="27" spans="1:9">
      <c r="A27" s="125"/>
      <c r="B27" s="125" t="s">
        <v>22</v>
      </c>
      <c r="C27" s="125"/>
      <c r="D27" s="125">
        <v>81717074.820000008</v>
      </c>
      <c r="E27" s="137"/>
      <c r="F27" s="125">
        <v>12043097.264185959</v>
      </c>
      <c r="G27" s="125">
        <v>7773178.6158140404</v>
      </c>
      <c r="H27" s="125">
        <v>0</v>
      </c>
      <c r="I27" s="125">
        <v>61900798.940000005</v>
      </c>
    </row>
    <row r="28" spans="1:9">
      <c r="A28" s="125"/>
      <c r="B28" s="125"/>
      <c r="C28" s="125"/>
      <c r="D28" s="138"/>
      <c r="E28" s="137"/>
      <c r="F28" s="138"/>
      <c r="G28" s="138"/>
      <c r="H28" s="136"/>
      <c r="I28" s="136"/>
    </row>
    <row r="29" spans="1:9" hidden="1">
      <c r="A29" s="125"/>
      <c r="B29" s="125"/>
      <c r="C29" s="125" t="s">
        <v>41</v>
      </c>
      <c r="D29" s="125">
        <v>0</v>
      </c>
      <c r="E29" s="137"/>
      <c r="F29" s="125"/>
      <c r="G29" s="125">
        <v>0</v>
      </c>
      <c r="H29" s="136"/>
      <c r="I29" s="136"/>
    </row>
    <row r="30" spans="1:9" hidden="1">
      <c r="A30" s="125"/>
      <c r="B30" s="125"/>
      <c r="C30" s="125" t="s">
        <v>23</v>
      </c>
      <c r="D30" s="125">
        <v>0</v>
      </c>
      <c r="E30" s="137"/>
      <c r="F30" s="125"/>
      <c r="G30" s="125">
        <v>0</v>
      </c>
      <c r="H30" s="136"/>
      <c r="I30" s="136"/>
    </row>
    <row r="31" spans="1:9" hidden="1">
      <c r="A31" s="125"/>
      <c r="B31" s="125"/>
      <c r="C31" s="125" t="s">
        <v>24</v>
      </c>
      <c r="D31" s="125">
        <v>0</v>
      </c>
      <c r="E31" s="137"/>
      <c r="F31" s="141">
        <v>0</v>
      </c>
      <c r="G31" s="141">
        <v>0</v>
      </c>
      <c r="H31" s="136"/>
      <c r="I31" s="141">
        <v>0</v>
      </c>
    </row>
    <row r="32" spans="1:9" hidden="1">
      <c r="A32" s="125"/>
      <c r="B32" s="125"/>
      <c r="C32" s="125" t="s">
        <v>25</v>
      </c>
      <c r="D32" s="125">
        <v>0</v>
      </c>
      <c r="E32" s="137"/>
      <c r="F32" s="125">
        <v>0</v>
      </c>
      <c r="G32" s="125">
        <v>0</v>
      </c>
      <c r="H32" s="136"/>
      <c r="I32" s="136"/>
    </row>
    <row r="33" spans="1:9" hidden="1">
      <c r="A33" s="125"/>
      <c r="B33" s="125"/>
      <c r="C33" s="125" t="s">
        <v>89</v>
      </c>
      <c r="D33" s="125">
        <v>0</v>
      </c>
      <c r="E33" s="137"/>
      <c r="F33" s="136"/>
      <c r="G33" s="125">
        <v>0</v>
      </c>
      <c r="H33" s="136"/>
      <c r="I33" s="136"/>
    </row>
    <row r="34" spans="1:9">
      <c r="A34" s="125"/>
      <c r="B34" s="125"/>
      <c r="C34" s="125" t="s">
        <v>26</v>
      </c>
      <c r="D34" s="125">
        <v>0</v>
      </c>
      <c r="E34" s="137"/>
      <c r="F34" s="125">
        <v>0</v>
      </c>
      <c r="G34" s="125">
        <v>0</v>
      </c>
      <c r="H34" s="136"/>
      <c r="I34" s="136"/>
    </row>
    <row r="35" spans="1:9">
      <c r="A35" s="125"/>
      <c r="B35" s="142" t="s">
        <v>65</v>
      </c>
      <c r="C35" s="139"/>
      <c r="D35" s="131" t="s">
        <v>14</v>
      </c>
      <c r="E35" s="139" t="s">
        <v>13</v>
      </c>
      <c r="F35" s="131" t="s">
        <v>14</v>
      </c>
      <c r="G35" s="131" t="s">
        <v>14</v>
      </c>
      <c r="H35" s="131" t="s">
        <v>14</v>
      </c>
      <c r="I35" s="131" t="s">
        <v>14</v>
      </c>
    </row>
    <row r="36" spans="1:9">
      <c r="A36" s="125"/>
      <c r="B36" s="125" t="s">
        <v>27</v>
      </c>
      <c r="C36" s="125"/>
      <c r="D36" s="125">
        <v>0</v>
      </c>
      <c r="E36" s="137"/>
      <c r="F36" s="125">
        <v>0</v>
      </c>
      <c r="G36" s="125">
        <v>0</v>
      </c>
      <c r="H36" s="125">
        <v>0</v>
      </c>
      <c r="I36" s="125">
        <v>0</v>
      </c>
    </row>
    <row r="37" spans="1:9">
      <c r="A37" s="125"/>
      <c r="B37" s="125"/>
      <c r="C37" s="125"/>
      <c r="D37" s="137"/>
      <c r="E37" s="137"/>
      <c r="F37" s="136"/>
      <c r="G37" s="136"/>
      <c r="H37" s="136"/>
      <c r="I37" s="136"/>
    </row>
    <row r="38" spans="1:9" hidden="1">
      <c r="A38" s="125"/>
      <c r="B38" s="125"/>
      <c r="C38" s="125" t="s">
        <v>68</v>
      </c>
      <c r="D38" s="125">
        <v>0</v>
      </c>
      <c r="E38" s="137"/>
      <c r="F38" s="136"/>
      <c r="G38" s="136"/>
      <c r="H38" s="136"/>
      <c r="I38" s="125">
        <v>0</v>
      </c>
    </row>
    <row r="39" spans="1:9" hidden="1">
      <c r="A39" s="125"/>
      <c r="B39" s="125"/>
      <c r="C39" s="125" t="s">
        <v>55</v>
      </c>
      <c r="D39" s="125">
        <v>0</v>
      </c>
      <c r="E39" s="137"/>
      <c r="F39" s="136"/>
      <c r="G39" s="136"/>
      <c r="H39" s="136"/>
      <c r="I39" s="125">
        <v>0</v>
      </c>
    </row>
    <row r="40" spans="1:9" hidden="1">
      <c r="A40" s="125"/>
      <c r="B40" s="125"/>
      <c r="C40" s="125" t="s">
        <v>69</v>
      </c>
      <c r="D40" s="125">
        <v>0</v>
      </c>
      <c r="E40" s="137"/>
      <c r="F40" s="136"/>
      <c r="G40" s="136"/>
      <c r="H40" s="136"/>
      <c r="I40" s="125">
        <v>0</v>
      </c>
    </row>
    <row r="41" spans="1:9">
      <c r="A41" s="125"/>
      <c r="B41" s="125"/>
      <c r="C41" s="125" t="s">
        <v>88</v>
      </c>
      <c r="D41" s="125">
        <v>244080</v>
      </c>
      <c r="E41" s="137"/>
      <c r="F41" s="136"/>
      <c r="G41" s="136"/>
      <c r="H41" s="136"/>
      <c r="I41" s="125">
        <v>244080</v>
      </c>
    </row>
    <row r="42" spans="1:9" hidden="1">
      <c r="A42" s="125"/>
      <c r="B42" s="125"/>
      <c r="C42" s="125" t="s">
        <v>70</v>
      </c>
      <c r="D42" s="125">
        <v>0</v>
      </c>
      <c r="E42" s="137"/>
      <c r="F42" s="136"/>
      <c r="G42" s="136"/>
      <c r="H42" s="136"/>
      <c r="I42" s="125">
        <v>0</v>
      </c>
    </row>
    <row r="43" spans="1:9">
      <c r="A43" s="125"/>
      <c r="B43" s="125"/>
      <c r="C43" s="125" t="s">
        <v>71</v>
      </c>
      <c r="D43" s="125">
        <v>4738669.24</v>
      </c>
      <c r="E43" s="137"/>
      <c r="F43" s="136"/>
      <c r="G43" s="136"/>
      <c r="H43" s="136"/>
      <c r="I43" s="125">
        <v>4738669.24</v>
      </c>
    </row>
    <row r="44" spans="1:9" hidden="1">
      <c r="A44" s="125"/>
      <c r="B44" s="125"/>
      <c r="C44" s="125" t="s">
        <v>72</v>
      </c>
      <c r="D44" s="125">
        <v>0</v>
      </c>
      <c r="E44" s="137"/>
      <c r="F44" s="136"/>
      <c r="G44" s="136"/>
      <c r="H44" s="136"/>
      <c r="I44" s="125">
        <v>0</v>
      </c>
    </row>
    <row r="45" spans="1:9">
      <c r="A45" s="125"/>
      <c r="B45" s="125"/>
      <c r="C45" s="125" t="s">
        <v>46</v>
      </c>
      <c r="D45" s="125">
        <v>6699772.9199999999</v>
      </c>
      <c r="E45" s="137"/>
      <c r="F45" s="136"/>
      <c r="G45" s="136"/>
      <c r="H45" s="136"/>
      <c r="I45" s="125">
        <v>6699772.9199999999</v>
      </c>
    </row>
    <row r="46" spans="1:9">
      <c r="A46" s="125"/>
      <c r="B46" s="125"/>
      <c r="C46" s="125" t="s">
        <v>73</v>
      </c>
      <c r="D46" s="125">
        <v>90307566.239999995</v>
      </c>
      <c r="E46" s="137"/>
      <c r="F46" s="136"/>
      <c r="G46" s="136"/>
      <c r="H46" s="136"/>
      <c r="I46" s="125">
        <v>90307566.239999995</v>
      </c>
    </row>
    <row r="47" spans="1:9" hidden="1">
      <c r="A47" s="125"/>
      <c r="B47" s="125"/>
      <c r="C47" s="125" t="s">
        <v>74</v>
      </c>
      <c r="D47" s="125">
        <v>0</v>
      </c>
      <c r="E47" s="137"/>
      <c r="F47" s="136"/>
      <c r="G47" s="136"/>
      <c r="H47" s="136"/>
      <c r="I47" s="125">
        <v>0</v>
      </c>
    </row>
    <row r="48" spans="1:9" hidden="1">
      <c r="A48" s="125"/>
      <c r="B48" s="125"/>
      <c r="C48" s="125" t="s">
        <v>75</v>
      </c>
      <c r="D48" s="125">
        <v>0</v>
      </c>
      <c r="E48" s="137"/>
      <c r="F48" s="136"/>
      <c r="G48" s="136"/>
      <c r="H48" s="136"/>
      <c r="I48" s="125">
        <v>0</v>
      </c>
    </row>
    <row r="49" spans="1:9" hidden="1">
      <c r="A49" s="125"/>
      <c r="B49" s="125"/>
      <c r="C49" s="125" t="s">
        <v>45</v>
      </c>
      <c r="D49" s="125">
        <v>0</v>
      </c>
      <c r="E49" s="137"/>
      <c r="F49" s="136"/>
      <c r="G49" s="136"/>
      <c r="H49" s="136"/>
      <c r="I49" s="125">
        <v>0</v>
      </c>
    </row>
    <row r="50" spans="1:9" hidden="1">
      <c r="A50" s="125"/>
      <c r="B50" s="125"/>
      <c r="C50" s="125" t="s">
        <v>76</v>
      </c>
      <c r="D50" s="125">
        <v>0</v>
      </c>
      <c r="E50" s="137"/>
      <c r="F50" s="136"/>
      <c r="G50" s="136"/>
      <c r="H50" s="136"/>
      <c r="I50" s="125">
        <v>0</v>
      </c>
    </row>
    <row r="51" spans="1:9" hidden="1">
      <c r="A51" s="125"/>
      <c r="B51" s="125"/>
      <c r="C51" s="125" t="s">
        <v>77</v>
      </c>
      <c r="D51" s="125">
        <v>0</v>
      </c>
      <c r="E51" s="137"/>
      <c r="F51" s="136"/>
      <c r="G51" s="136"/>
      <c r="H51" s="136"/>
      <c r="I51" s="125">
        <v>0</v>
      </c>
    </row>
    <row r="52" spans="1:9" hidden="1">
      <c r="A52" s="125"/>
      <c r="B52" s="125"/>
      <c r="C52" s="125" t="s">
        <v>78</v>
      </c>
      <c r="D52" s="125">
        <v>0</v>
      </c>
      <c r="E52" s="137"/>
      <c r="F52" s="136"/>
      <c r="G52" s="136"/>
      <c r="H52" s="136"/>
      <c r="I52" s="125">
        <v>0</v>
      </c>
    </row>
    <row r="53" spans="1:9" hidden="1">
      <c r="A53" s="125"/>
      <c r="B53" s="125"/>
      <c r="C53" s="125" t="s">
        <v>79</v>
      </c>
      <c r="D53" s="125">
        <v>0</v>
      </c>
      <c r="E53" s="137"/>
      <c r="F53" s="136"/>
      <c r="G53" s="136"/>
      <c r="H53" s="136"/>
      <c r="I53" s="125">
        <v>0</v>
      </c>
    </row>
    <row r="54" spans="1:9" hidden="1">
      <c r="A54" s="125"/>
      <c r="B54" s="125"/>
      <c r="C54" s="125" t="s">
        <v>80</v>
      </c>
      <c r="D54" s="125">
        <v>0</v>
      </c>
      <c r="E54" s="137"/>
      <c r="F54" s="136"/>
      <c r="G54" s="136"/>
      <c r="H54" s="136"/>
      <c r="I54" s="125">
        <v>0</v>
      </c>
    </row>
    <row r="55" spans="1:9" hidden="1">
      <c r="A55" s="125"/>
      <c r="B55" s="125"/>
      <c r="C55" s="125" t="s">
        <v>81</v>
      </c>
      <c r="D55" s="125">
        <v>0</v>
      </c>
      <c r="E55" s="137"/>
      <c r="F55" s="136"/>
      <c r="G55" s="136"/>
      <c r="H55" s="136"/>
      <c r="I55" s="125">
        <v>0</v>
      </c>
    </row>
    <row r="56" spans="1:9">
      <c r="A56" s="125"/>
      <c r="B56" s="125"/>
      <c r="C56" s="125" t="s">
        <v>82</v>
      </c>
      <c r="D56" s="125">
        <v>859106.6</v>
      </c>
      <c r="E56" s="137"/>
      <c r="F56" s="136"/>
      <c r="G56" s="136"/>
      <c r="H56" s="136"/>
      <c r="I56" s="125">
        <v>859106.6</v>
      </c>
    </row>
    <row r="57" spans="1:9" hidden="1">
      <c r="A57" s="125"/>
      <c r="B57" s="125"/>
      <c r="C57" s="143" t="s">
        <v>83</v>
      </c>
      <c r="D57" s="125">
        <v>0</v>
      </c>
      <c r="E57" s="137"/>
      <c r="F57" s="136"/>
      <c r="G57" s="136"/>
      <c r="H57" s="136"/>
      <c r="I57" s="125">
        <v>0</v>
      </c>
    </row>
    <row r="58" spans="1:9" hidden="1">
      <c r="A58" s="125"/>
      <c r="B58" s="125"/>
      <c r="C58" s="143" t="s">
        <v>92</v>
      </c>
      <c r="D58" s="125">
        <v>0</v>
      </c>
      <c r="E58" s="137"/>
      <c r="F58" s="136"/>
      <c r="G58" s="136"/>
      <c r="H58" s="136"/>
      <c r="I58" s="125">
        <v>0</v>
      </c>
    </row>
    <row r="59" spans="1:9" hidden="1">
      <c r="A59" s="125"/>
      <c r="B59" s="125"/>
      <c r="C59" s="125" t="s">
        <v>84</v>
      </c>
      <c r="D59" s="125">
        <v>0</v>
      </c>
      <c r="E59" s="137"/>
      <c r="F59" s="136"/>
      <c r="G59" s="136"/>
      <c r="H59" s="136"/>
      <c r="I59" s="125">
        <v>0</v>
      </c>
    </row>
    <row r="60" spans="1:9" hidden="1">
      <c r="A60" s="125"/>
      <c r="B60" s="125"/>
      <c r="C60" s="125" t="s">
        <v>95</v>
      </c>
      <c r="D60" s="125">
        <v>0</v>
      </c>
      <c r="E60" s="137"/>
      <c r="F60" s="136"/>
      <c r="G60" s="136"/>
      <c r="H60" s="136"/>
      <c r="I60" s="125">
        <v>0</v>
      </c>
    </row>
    <row r="61" spans="1:9" hidden="1">
      <c r="A61" s="125"/>
      <c r="B61" s="125"/>
      <c r="C61" s="125" t="s">
        <v>85</v>
      </c>
      <c r="D61" s="125">
        <v>0</v>
      </c>
      <c r="E61" s="137"/>
      <c r="F61" s="136"/>
      <c r="G61" s="136"/>
      <c r="H61" s="136"/>
      <c r="I61" s="125">
        <v>0</v>
      </c>
    </row>
    <row r="62" spans="1:9" hidden="1">
      <c r="A62" s="125"/>
      <c r="B62" s="125"/>
      <c r="C62" s="125" t="s">
        <v>86</v>
      </c>
      <c r="D62" s="125">
        <v>0</v>
      </c>
      <c r="E62" s="137"/>
      <c r="F62" s="136"/>
      <c r="G62" s="136"/>
      <c r="H62" s="136"/>
      <c r="I62" s="125">
        <v>0</v>
      </c>
    </row>
    <row r="63" spans="1:9" hidden="1">
      <c r="A63" s="125"/>
      <c r="B63" s="125"/>
      <c r="C63" s="125" t="s">
        <v>94</v>
      </c>
      <c r="D63" s="125">
        <v>0</v>
      </c>
      <c r="E63" s="137"/>
      <c r="F63" s="136"/>
      <c r="G63" s="136"/>
      <c r="H63" s="136"/>
      <c r="I63" s="125">
        <v>0</v>
      </c>
    </row>
    <row r="64" spans="1:9" hidden="1">
      <c r="A64" s="125"/>
      <c r="B64" s="125"/>
      <c r="C64" s="143" t="s">
        <v>87</v>
      </c>
      <c r="D64" s="125">
        <v>0</v>
      </c>
      <c r="E64" s="137"/>
      <c r="F64" s="136"/>
      <c r="G64" s="136"/>
      <c r="H64" s="136"/>
      <c r="I64" s="125">
        <v>0</v>
      </c>
    </row>
    <row r="65" spans="1:9" hidden="1">
      <c r="A65" s="125"/>
      <c r="B65" s="125"/>
      <c r="C65" s="125" t="s">
        <v>93</v>
      </c>
      <c r="D65" s="125">
        <v>0</v>
      </c>
      <c r="E65" s="137"/>
      <c r="F65" s="136"/>
      <c r="G65" s="136"/>
      <c r="H65" s="136"/>
      <c r="I65" s="125">
        <v>0</v>
      </c>
    </row>
    <row r="66" spans="1:9">
      <c r="A66" s="125"/>
      <c r="B66" s="125"/>
      <c r="C66" s="143"/>
      <c r="D66" s="125"/>
      <c r="E66" s="137"/>
      <c r="F66" s="136"/>
      <c r="G66" s="136"/>
      <c r="H66" s="136"/>
      <c r="I66" s="125"/>
    </row>
    <row r="67" spans="1:9">
      <c r="A67" s="125"/>
      <c r="B67" s="125" t="s">
        <v>64</v>
      </c>
      <c r="C67" s="143"/>
      <c r="D67" s="125"/>
      <c r="E67" s="137"/>
      <c r="F67" s="136"/>
      <c r="G67" s="136"/>
      <c r="H67" s="136"/>
      <c r="I67" s="125"/>
    </row>
    <row r="68" spans="1:9">
      <c r="A68" s="125"/>
      <c r="B68" s="125"/>
      <c r="C68" s="125" t="s">
        <v>96</v>
      </c>
      <c r="D68" s="125">
        <v>0</v>
      </c>
      <c r="E68" s="137"/>
      <c r="F68" s="136"/>
      <c r="G68" s="136"/>
      <c r="H68" s="136"/>
      <c r="I68" s="125">
        <v>0</v>
      </c>
    </row>
    <row r="69" spans="1:9">
      <c r="A69" s="125"/>
      <c r="B69" s="125"/>
      <c r="C69" s="125"/>
      <c r="D69" s="137"/>
      <c r="E69" s="137"/>
      <c r="F69" s="136"/>
      <c r="G69" s="136"/>
      <c r="H69" s="136"/>
      <c r="I69" s="136"/>
    </row>
    <row r="70" spans="1:9">
      <c r="A70" s="125"/>
      <c r="B70" s="125"/>
      <c r="C70" s="125" t="s">
        <v>115</v>
      </c>
      <c r="D70" s="125">
        <v>112854158.15000001</v>
      </c>
      <c r="E70" s="137"/>
      <c r="F70" s="136"/>
      <c r="G70" s="136"/>
      <c r="H70" s="136"/>
      <c r="I70" s="125">
        <v>112854158.15000001</v>
      </c>
    </row>
    <row r="71" spans="1:9">
      <c r="A71" s="125"/>
      <c r="B71" s="142" t="s">
        <v>65</v>
      </c>
      <c r="C71" s="139"/>
      <c r="D71" s="131" t="s">
        <v>14</v>
      </c>
      <c r="E71" s="139" t="s">
        <v>13</v>
      </c>
      <c r="F71" s="131" t="s">
        <v>14</v>
      </c>
      <c r="G71" s="131" t="s">
        <v>14</v>
      </c>
      <c r="H71" s="131" t="s">
        <v>14</v>
      </c>
      <c r="I71" s="131" t="s">
        <v>14</v>
      </c>
    </row>
    <row r="72" spans="1:9">
      <c r="A72" s="125"/>
      <c r="B72" s="125" t="s">
        <v>28</v>
      </c>
      <c r="C72" s="125"/>
      <c r="D72" s="125">
        <v>215703353.14999998</v>
      </c>
      <c r="E72" s="137"/>
      <c r="F72" s="125">
        <v>0</v>
      </c>
      <c r="G72" s="125">
        <v>0</v>
      </c>
      <c r="H72" s="125">
        <v>0</v>
      </c>
      <c r="I72" s="125">
        <v>215703353.14999998</v>
      </c>
    </row>
    <row r="73" spans="1:9">
      <c r="A73" s="125"/>
      <c r="B73" s="125" t="s">
        <v>116</v>
      </c>
      <c r="C73" s="125"/>
      <c r="D73" s="125">
        <v>0</v>
      </c>
      <c r="E73" s="137"/>
      <c r="F73" s="139"/>
      <c r="G73" s="125"/>
      <c r="H73" s="125"/>
      <c r="I73" s="125">
        <v>0</v>
      </c>
    </row>
    <row r="74" spans="1:9">
      <c r="A74" s="125"/>
      <c r="B74" s="125" t="s">
        <v>29</v>
      </c>
      <c r="C74" s="125"/>
      <c r="D74" s="125">
        <v>0</v>
      </c>
      <c r="E74" s="137"/>
      <c r="F74" s="125"/>
      <c r="G74" s="125"/>
      <c r="H74" s="125">
        <v>0</v>
      </c>
      <c r="I74" s="136"/>
    </row>
    <row r="75" spans="1:9">
      <c r="A75" s="125"/>
      <c r="B75" s="125"/>
      <c r="C75" s="125"/>
      <c r="D75" s="131" t="s">
        <v>14</v>
      </c>
      <c r="E75" s="139" t="s">
        <v>13</v>
      </c>
      <c r="F75" s="131" t="s">
        <v>14</v>
      </c>
      <c r="G75" s="131" t="s">
        <v>14</v>
      </c>
      <c r="H75" s="131" t="s">
        <v>14</v>
      </c>
      <c r="I75" s="131" t="s">
        <v>14</v>
      </c>
    </row>
    <row r="76" spans="1:9">
      <c r="A76" s="125" t="s">
        <v>30</v>
      </c>
      <c r="B76" s="125"/>
      <c r="C76" s="125"/>
      <c r="D76" s="125">
        <v>297420427.96999997</v>
      </c>
      <c r="E76" s="137"/>
      <c r="F76" s="125">
        <v>12043097.264185959</v>
      </c>
      <c r="G76" s="125">
        <v>7773178.6158140404</v>
      </c>
      <c r="H76" s="125">
        <v>0</v>
      </c>
      <c r="I76" s="125">
        <v>277604152.08999997</v>
      </c>
    </row>
    <row r="77" spans="1:9">
      <c r="A77" s="125"/>
      <c r="B77" s="125"/>
      <c r="C77" s="125"/>
      <c r="D77" s="137"/>
      <c r="E77" s="137"/>
      <c r="F77" s="137"/>
      <c r="G77" s="137"/>
      <c r="H77" s="137"/>
      <c r="I77" s="137"/>
    </row>
    <row r="78" spans="1:9">
      <c r="A78" s="125"/>
      <c r="B78" s="125"/>
      <c r="C78" s="125"/>
      <c r="D78" s="137"/>
      <c r="E78" s="137"/>
      <c r="F78" s="137"/>
      <c r="G78" s="137"/>
      <c r="H78" s="137"/>
      <c r="I78" s="137"/>
    </row>
    <row r="79" spans="1:9">
      <c r="A79" s="125" t="s">
        <v>31</v>
      </c>
      <c r="B79" s="125"/>
      <c r="C79" s="125"/>
      <c r="D79" s="125"/>
      <c r="E79" s="125"/>
      <c r="F79" s="136"/>
      <c r="G79" s="136"/>
      <c r="H79" s="136"/>
      <c r="I79" s="136"/>
    </row>
    <row r="80" spans="1:9">
      <c r="A80" s="125"/>
      <c r="B80" s="125"/>
      <c r="C80" s="125"/>
      <c r="D80" s="125"/>
      <c r="E80" s="125"/>
      <c r="F80" s="136"/>
      <c r="G80" s="136"/>
      <c r="H80" s="136"/>
      <c r="I80" s="136"/>
    </row>
    <row r="81" spans="1:9">
      <c r="A81" s="125"/>
      <c r="B81" s="125" t="s">
        <v>32</v>
      </c>
      <c r="C81" s="125"/>
      <c r="D81" s="125">
        <v>0</v>
      </c>
      <c r="E81" s="137"/>
      <c r="F81" s="125">
        <v>0</v>
      </c>
      <c r="G81" s="136"/>
      <c r="H81" s="136"/>
      <c r="I81" s="136"/>
    </row>
    <row r="82" spans="1:9">
      <c r="A82" s="125"/>
      <c r="B82" s="125"/>
      <c r="C82" s="125"/>
      <c r="D82" s="125"/>
      <c r="E82" s="125"/>
      <c r="F82" s="125"/>
      <c r="G82" s="125"/>
      <c r="H82" s="125"/>
      <c r="I82" s="125"/>
    </row>
    <row r="83" spans="1:9">
      <c r="A83" s="125"/>
      <c r="B83" s="125" t="s">
        <v>33</v>
      </c>
      <c r="C83" s="125"/>
      <c r="D83" s="125">
        <v>0</v>
      </c>
      <c r="E83" s="137"/>
      <c r="F83" s="125">
        <v>0</v>
      </c>
      <c r="G83" s="136"/>
      <c r="H83" s="136"/>
      <c r="I83" s="136"/>
    </row>
    <row r="84" spans="1:9">
      <c r="A84" s="125"/>
      <c r="B84" s="125"/>
      <c r="C84" s="125"/>
      <c r="D84" s="137"/>
      <c r="E84" s="137"/>
      <c r="F84" s="136"/>
      <c r="G84" s="136"/>
      <c r="H84" s="136"/>
      <c r="I84" s="136"/>
    </row>
    <row r="85" spans="1:9">
      <c r="A85" s="125"/>
      <c r="B85" s="125" t="s">
        <v>10</v>
      </c>
      <c r="C85" s="125"/>
      <c r="D85" s="125">
        <v>106273125.68000001</v>
      </c>
      <c r="E85" s="137"/>
      <c r="F85" s="144"/>
      <c r="G85" s="136"/>
      <c r="H85" s="136"/>
      <c r="I85" s="125">
        <v>106273125.68000001</v>
      </c>
    </row>
    <row r="86" spans="1:9">
      <c r="A86" s="125"/>
      <c r="B86" s="125"/>
      <c r="C86" s="125"/>
      <c r="D86" s="125"/>
      <c r="E86" s="125"/>
      <c r="F86" s="136"/>
      <c r="G86" s="136"/>
      <c r="H86" s="136"/>
      <c r="I86" s="136"/>
    </row>
    <row r="87" spans="1:9">
      <c r="A87" s="125"/>
      <c r="B87" s="125" t="s">
        <v>34</v>
      </c>
      <c r="C87" s="125"/>
      <c r="D87" s="125">
        <v>0</v>
      </c>
      <c r="E87" s="137"/>
      <c r="F87" s="136"/>
      <c r="G87" s="125"/>
      <c r="H87" s="125">
        <v>0</v>
      </c>
      <c r="I87" s="136"/>
    </row>
    <row r="88" spans="1:9">
      <c r="A88" s="125"/>
      <c r="B88" s="125"/>
      <c r="C88" s="125"/>
      <c r="D88" s="125"/>
      <c r="E88" s="125"/>
      <c r="F88" s="125"/>
      <c r="G88" s="125"/>
      <c r="H88" s="125"/>
      <c r="I88" s="125"/>
    </row>
    <row r="89" spans="1:9">
      <c r="A89" s="125"/>
      <c r="B89" s="125"/>
      <c r="C89" s="125"/>
      <c r="D89" s="131" t="s">
        <v>14</v>
      </c>
      <c r="E89" s="139" t="s">
        <v>13</v>
      </c>
      <c r="F89" s="131" t="s">
        <v>14</v>
      </c>
      <c r="G89" s="131" t="s">
        <v>14</v>
      </c>
      <c r="H89" s="131" t="s">
        <v>14</v>
      </c>
      <c r="I89" s="131" t="s">
        <v>14</v>
      </c>
    </row>
    <row r="90" spans="1:9">
      <c r="A90" s="125" t="s">
        <v>35</v>
      </c>
      <c r="B90" s="125"/>
      <c r="C90" s="125"/>
      <c r="D90" s="125">
        <v>106273125.68000001</v>
      </c>
      <c r="E90" s="137"/>
      <c r="F90" s="125">
        <v>0</v>
      </c>
      <c r="G90" s="125">
        <v>0</v>
      </c>
      <c r="H90" s="125">
        <v>0</v>
      </c>
      <c r="I90" s="125">
        <v>106273125.68000001</v>
      </c>
    </row>
    <row r="91" spans="1:9">
      <c r="A91" s="125"/>
      <c r="B91" s="125"/>
      <c r="C91" s="125"/>
      <c r="D91" s="125"/>
      <c r="E91" s="125"/>
      <c r="F91" s="125"/>
      <c r="G91" s="125"/>
      <c r="H91" s="125"/>
      <c r="I91" s="125"/>
    </row>
    <row r="92" spans="1:9">
      <c r="A92" s="125" t="s">
        <v>36</v>
      </c>
      <c r="B92" s="125"/>
      <c r="C92" s="125"/>
      <c r="D92" s="125"/>
      <c r="E92" s="125"/>
      <c r="F92" s="125"/>
      <c r="G92" s="125"/>
      <c r="H92" s="125"/>
      <c r="I92" s="125"/>
    </row>
    <row r="93" spans="1:9" hidden="1">
      <c r="A93" s="125"/>
      <c r="B93" s="137" t="s">
        <v>98</v>
      </c>
      <c r="C93" s="125"/>
      <c r="D93" s="125">
        <v>0</v>
      </c>
      <c r="E93" s="137"/>
      <c r="F93" s="125"/>
      <c r="G93" s="125"/>
      <c r="H93" s="125">
        <v>0</v>
      </c>
      <c r="I93" s="138"/>
    </row>
    <row r="94" spans="1:9" hidden="1">
      <c r="A94" s="125"/>
      <c r="B94" s="137" t="s">
        <v>99</v>
      </c>
      <c r="C94" s="125"/>
      <c r="D94" s="125">
        <v>0</v>
      </c>
      <c r="E94" s="137"/>
      <c r="F94" s="125"/>
      <c r="G94" s="125"/>
      <c r="H94" s="125">
        <v>0</v>
      </c>
      <c r="I94" s="138"/>
    </row>
    <row r="95" spans="1:9">
      <c r="A95" s="125"/>
      <c r="B95" s="137" t="s">
        <v>100</v>
      </c>
      <c r="C95" s="125"/>
      <c r="D95" s="125">
        <v>6396180.1500000004</v>
      </c>
      <c r="E95" s="137"/>
      <c r="F95" s="125"/>
      <c r="G95" s="125"/>
      <c r="H95" s="125">
        <v>6396180.1500000004</v>
      </c>
      <c r="I95" s="138"/>
    </row>
    <row r="96" spans="1:9" hidden="1">
      <c r="A96" s="125"/>
      <c r="B96" s="137" t="s">
        <v>101</v>
      </c>
      <c r="C96" s="125"/>
      <c r="D96" s="125">
        <v>0</v>
      </c>
      <c r="E96" s="137"/>
      <c r="F96" s="125"/>
      <c r="G96" s="125"/>
      <c r="H96" s="125">
        <v>0</v>
      </c>
      <c r="I96" s="138"/>
    </row>
    <row r="97" spans="1:9">
      <c r="A97" s="125"/>
      <c r="B97" s="137" t="s">
        <v>66</v>
      </c>
      <c r="C97" s="125"/>
      <c r="D97" s="125">
        <v>53974760.560000002</v>
      </c>
      <c r="E97" s="137"/>
      <c r="F97" s="125"/>
      <c r="G97" s="125"/>
      <c r="H97" s="125">
        <v>53974760.560000002</v>
      </c>
      <c r="I97" s="138"/>
    </row>
    <row r="98" spans="1:9" hidden="1">
      <c r="A98" s="125"/>
      <c r="B98" s="137" t="s">
        <v>47</v>
      </c>
      <c r="C98" s="125"/>
      <c r="D98" s="125">
        <v>0</v>
      </c>
      <c r="E98" s="137"/>
      <c r="F98" s="125"/>
      <c r="G98" s="125"/>
      <c r="H98" s="125">
        <v>0</v>
      </c>
      <c r="I98" s="138"/>
    </row>
    <row r="99" spans="1:9" hidden="1">
      <c r="A99" s="125"/>
      <c r="B99" s="137" t="s">
        <v>102</v>
      </c>
      <c r="C99" s="125"/>
      <c r="D99" s="125">
        <v>0</v>
      </c>
      <c r="E99" s="137"/>
      <c r="F99" s="125"/>
      <c r="G99" s="125"/>
      <c r="H99" s="125">
        <v>0</v>
      </c>
      <c r="I99" s="138"/>
    </row>
    <row r="100" spans="1:9" hidden="1">
      <c r="A100" s="125"/>
      <c r="B100" s="137" t="s">
        <v>103</v>
      </c>
      <c r="C100" s="125"/>
      <c r="D100" s="125">
        <v>0</v>
      </c>
      <c r="E100" s="137"/>
      <c r="F100" s="125"/>
      <c r="G100" s="125"/>
      <c r="H100" s="125">
        <v>0</v>
      </c>
      <c r="I100" s="138"/>
    </row>
    <row r="101" spans="1:9" hidden="1">
      <c r="A101" s="125"/>
      <c r="B101" s="137" t="s">
        <v>104</v>
      </c>
      <c r="C101" s="125"/>
      <c r="D101" s="125">
        <v>0</v>
      </c>
      <c r="E101" s="137"/>
      <c r="F101" s="125"/>
      <c r="G101" s="125"/>
      <c r="H101" s="125">
        <v>0</v>
      </c>
      <c r="I101" s="138"/>
    </row>
    <row r="102" spans="1:9" hidden="1">
      <c r="A102" s="125"/>
      <c r="B102" s="137" t="s">
        <v>105</v>
      </c>
      <c r="C102" s="125"/>
      <c r="D102" s="125">
        <v>0</v>
      </c>
      <c r="E102" s="137"/>
      <c r="F102" s="139"/>
      <c r="G102" s="125"/>
      <c r="H102" s="125">
        <v>0</v>
      </c>
      <c r="I102" s="138"/>
    </row>
    <row r="103" spans="1:9">
      <c r="A103" s="125"/>
      <c r="B103" s="137" t="s">
        <v>106</v>
      </c>
      <c r="C103" s="125"/>
      <c r="D103" s="125">
        <v>53657819.950000003</v>
      </c>
      <c r="E103" s="137"/>
      <c r="F103" s="139"/>
      <c r="G103" s="125"/>
      <c r="H103" s="125">
        <v>53657819.950000003</v>
      </c>
      <c r="I103" s="138"/>
    </row>
    <row r="104" spans="1:9" hidden="1">
      <c r="A104" s="125"/>
      <c r="B104" s="137" t="s">
        <v>107</v>
      </c>
      <c r="C104" s="125"/>
      <c r="D104" s="125">
        <v>0</v>
      </c>
      <c r="E104" s="137"/>
      <c r="F104" s="139"/>
      <c r="G104" s="125"/>
      <c r="H104" s="125">
        <v>0</v>
      </c>
      <c r="I104" s="138"/>
    </row>
    <row r="105" spans="1:9" hidden="1">
      <c r="A105" s="125"/>
      <c r="B105" s="137" t="s">
        <v>108</v>
      </c>
      <c r="C105" s="125"/>
      <c r="D105" s="125">
        <v>0</v>
      </c>
      <c r="E105" s="137"/>
      <c r="F105" s="139"/>
      <c r="G105" s="125"/>
      <c r="H105" s="125">
        <v>0</v>
      </c>
      <c r="I105" s="138"/>
    </row>
    <row r="106" spans="1:9">
      <c r="A106" s="125"/>
      <c r="B106" s="137" t="s">
        <v>109</v>
      </c>
      <c r="C106" s="125"/>
      <c r="D106" s="125">
        <v>186905064</v>
      </c>
      <c r="E106" s="137"/>
      <c r="F106" s="139"/>
      <c r="G106" s="125"/>
      <c r="H106" s="125">
        <v>186905064</v>
      </c>
      <c r="I106" s="138"/>
    </row>
    <row r="107" spans="1:9" hidden="1">
      <c r="A107" s="125"/>
      <c r="B107" s="137" t="s">
        <v>110</v>
      </c>
      <c r="C107" s="125"/>
      <c r="D107" s="125">
        <v>0</v>
      </c>
      <c r="E107" s="137"/>
      <c r="F107" s="139"/>
      <c r="G107" s="125"/>
      <c r="H107" s="125">
        <v>0</v>
      </c>
      <c r="I107" s="138"/>
    </row>
    <row r="108" spans="1:9">
      <c r="A108" s="125"/>
      <c r="B108" s="137"/>
      <c r="C108" s="125"/>
      <c r="D108" s="125"/>
      <c r="E108" s="137"/>
      <c r="F108" s="139"/>
      <c r="G108" s="125"/>
      <c r="H108" s="125"/>
      <c r="I108" s="138"/>
    </row>
    <row r="109" spans="1:9" hidden="1">
      <c r="A109" s="125"/>
      <c r="B109" s="137" t="s">
        <v>111</v>
      </c>
      <c r="C109" s="125"/>
      <c r="D109" s="125">
        <v>0</v>
      </c>
      <c r="E109" s="137"/>
      <c r="F109" s="139"/>
      <c r="G109" s="125"/>
      <c r="H109" s="125">
        <v>0</v>
      </c>
      <c r="I109" s="138"/>
    </row>
    <row r="110" spans="1:9" hidden="1">
      <c r="A110" s="125"/>
      <c r="B110" s="137" t="s">
        <v>112</v>
      </c>
      <c r="C110" s="125"/>
      <c r="D110" s="125">
        <v>0</v>
      </c>
      <c r="E110" s="137"/>
      <c r="F110" s="139"/>
      <c r="G110" s="125"/>
      <c r="H110" s="125">
        <v>0</v>
      </c>
      <c r="I110" s="138"/>
    </row>
    <row r="111" spans="1:9" hidden="1">
      <c r="A111" s="125"/>
      <c r="B111" s="137" t="s">
        <v>113</v>
      </c>
      <c r="C111" s="125"/>
      <c r="D111" s="125">
        <v>0</v>
      </c>
      <c r="E111" s="137"/>
      <c r="F111" s="139"/>
      <c r="G111" s="125"/>
      <c r="H111" s="125">
        <v>0</v>
      </c>
      <c r="I111" s="138"/>
    </row>
    <row r="112" spans="1:9" hidden="1">
      <c r="A112" s="125"/>
      <c r="B112" s="137"/>
      <c r="C112" s="125"/>
      <c r="D112" s="125"/>
      <c r="E112" s="137"/>
      <c r="F112" s="139"/>
      <c r="G112" s="125"/>
      <c r="H112" s="125"/>
      <c r="I112" s="138"/>
    </row>
    <row r="113" spans="1:9" hidden="1">
      <c r="A113" s="125"/>
      <c r="B113" s="137" t="s">
        <v>114</v>
      </c>
      <c r="C113" s="125"/>
      <c r="D113" s="125">
        <v>0</v>
      </c>
      <c r="E113" s="137"/>
      <c r="F113" s="139"/>
      <c r="G113" s="125"/>
      <c r="H113" s="125">
        <v>0</v>
      </c>
      <c r="I113" s="138"/>
    </row>
    <row r="114" spans="1:9">
      <c r="A114" s="125"/>
      <c r="B114" s="125"/>
      <c r="C114" s="125"/>
      <c r="D114" s="131" t="s">
        <v>14</v>
      </c>
      <c r="E114" s="139" t="s">
        <v>13</v>
      </c>
      <c r="F114" s="131" t="s">
        <v>14</v>
      </c>
      <c r="G114" s="131" t="s">
        <v>14</v>
      </c>
      <c r="H114" s="131" t="s">
        <v>14</v>
      </c>
      <c r="I114" s="131" t="s">
        <v>14</v>
      </c>
    </row>
    <row r="115" spans="1:9">
      <c r="A115" s="125" t="s">
        <v>37</v>
      </c>
      <c r="B115" s="125"/>
      <c r="C115" s="125"/>
      <c r="D115" s="125">
        <v>300933824.65999997</v>
      </c>
      <c r="E115" s="137"/>
      <c r="F115" s="125">
        <v>0</v>
      </c>
      <c r="G115" s="125">
        <v>0</v>
      </c>
      <c r="H115" s="125">
        <v>300933824.65999997</v>
      </c>
      <c r="I115" s="125">
        <v>0</v>
      </c>
    </row>
    <row r="116" spans="1:9">
      <c r="A116" s="125"/>
      <c r="B116" s="125"/>
      <c r="C116" s="125"/>
      <c r="D116" s="137"/>
      <c r="E116" s="137"/>
      <c r="F116" s="137"/>
      <c r="G116" s="137"/>
      <c r="H116" s="137"/>
      <c r="I116" s="137"/>
    </row>
    <row r="117" spans="1:9">
      <c r="A117" s="125" t="s">
        <v>43</v>
      </c>
      <c r="B117" s="125"/>
      <c r="C117" s="125"/>
      <c r="D117" s="137"/>
      <c r="E117" s="137"/>
      <c r="F117" s="137"/>
      <c r="G117" s="137"/>
      <c r="H117" s="137"/>
      <c r="I117" s="137"/>
    </row>
    <row r="118" spans="1:9">
      <c r="A118" s="125"/>
      <c r="B118" s="137" t="s">
        <v>97</v>
      </c>
      <c r="C118" s="125"/>
      <c r="D118" s="125">
        <v>0</v>
      </c>
      <c r="E118" s="137"/>
      <c r="F118" s="139"/>
      <c r="G118" s="125"/>
      <c r="H118" s="125">
        <v>0</v>
      </c>
      <c r="I118" s="138"/>
    </row>
    <row r="119" spans="1:9">
      <c r="A119" s="125"/>
      <c r="B119" s="125"/>
      <c r="C119" s="125"/>
      <c r="D119" s="131" t="s">
        <v>14</v>
      </c>
      <c r="E119" s="139" t="s">
        <v>13</v>
      </c>
      <c r="F119" s="131" t="s">
        <v>14</v>
      </c>
      <c r="G119" s="131" t="s">
        <v>14</v>
      </c>
      <c r="H119" s="131" t="s">
        <v>14</v>
      </c>
      <c r="I119" s="131" t="s">
        <v>14</v>
      </c>
    </row>
    <row r="120" spans="1:9">
      <c r="A120" s="125" t="s">
        <v>44</v>
      </c>
      <c r="B120" s="125"/>
      <c r="C120" s="125"/>
      <c r="D120" s="125">
        <v>0</v>
      </c>
      <c r="E120" s="137"/>
      <c r="F120" s="125">
        <v>0</v>
      </c>
      <c r="G120" s="125">
        <v>0</v>
      </c>
      <c r="H120" s="125">
        <v>0</v>
      </c>
      <c r="I120" s="125">
        <v>0</v>
      </c>
    </row>
    <row r="121" spans="1:9">
      <c r="A121" s="125"/>
      <c r="B121" s="125"/>
      <c r="C121" s="125"/>
      <c r="D121" s="145" t="s">
        <v>38</v>
      </c>
      <c r="E121" s="139" t="s">
        <v>13</v>
      </c>
      <c r="F121" s="145" t="s">
        <v>38</v>
      </c>
      <c r="G121" s="145" t="s">
        <v>38</v>
      </c>
      <c r="H121" s="145" t="s">
        <v>38</v>
      </c>
      <c r="I121" s="145" t="s">
        <v>38</v>
      </c>
    </row>
    <row r="122" spans="1:9">
      <c r="A122" s="125" t="s">
        <v>39</v>
      </c>
      <c r="B122" s="125"/>
      <c r="C122" s="125"/>
      <c r="D122" s="125">
        <v>614978698.90999997</v>
      </c>
      <c r="E122" s="137" t="s">
        <v>13</v>
      </c>
      <c r="F122" s="125">
        <v>3090197.1941859592</v>
      </c>
      <c r="G122" s="125">
        <v>7773178.6158140404</v>
      </c>
      <c r="H122" s="125">
        <v>300933824.65999997</v>
      </c>
      <c r="I122" s="125">
        <v>303181498.44</v>
      </c>
    </row>
    <row r="123" spans="1:9">
      <c r="A123" s="125"/>
      <c r="B123" s="125"/>
      <c r="C123" s="125"/>
      <c r="D123" s="145" t="s">
        <v>38</v>
      </c>
      <c r="E123" s="139" t="s">
        <v>13</v>
      </c>
      <c r="F123" s="145" t="s">
        <v>38</v>
      </c>
      <c r="G123" s="145" t="s">
        <v>38</v>
      </c>
      <c r="H123" s="145" t="s">
        <v>38</v>
      </c>
      <c r="I123" s="145" t="s">
        <v>38</v>
      </c>
    </row>
  </sheetData>
  <mergeCells count="1">
    <mergeCell ref="A4:C4"/>
  </mergeCells>
  <pageMargins left="0.65" right="0.72" top="1" bottom="1" header="0.5" footer="0.5"/>
  <pageSetup scale="60" orientation="portrait" r:id="rId1"/>
  <headerFooter alignWithMargins="0">
    <oddHeader>&amp;L&amp;"Arial,Regular"&amp;10WA UE-130043
Bench Request 9&amp;R&amp;"Arial,Bold"&amp;10Attachment Bench Request 9</oddHeader>
    <oddFooter>&amp;L&amp;"Arial,Regular"&amp;10&amp;F&amp;C&amp;A</oddFooter>
  </headerFooter>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6">
    <pageSetUpPr fitToPage="1"/>
  </sheetPr>
  <dimension ref="A1:K50"/>
  <sheetViews>
    <sheetView view="pageBreakPreview" zoomScale="85" zoomScaleNormal="100" zoomScaleSheetLayoutView="85" workbookViewId="0">
      <selection activeCell="T91" sqref="T91"/>
    </sheetView>
  </sheetViews>
  <sheetFormatPr defaultRowHeight="12.75"/>
  <cols>
    <col min="1" max="1" width="4.83203125" style="275" customWidth="1"/>
    <col min="2" max="2" width="8" style="275" customWidth="1"/>
    <col min="3" max="3" width="32.83203125" style="275" customWidth="1"/>
    <col min="4" max="4" width="12.33203125" style="275" customWidth="1"/>
    <col min="5" max="5" width="9.33203125" style="276"/>
    <col min="6" max="6" width="17" style="106" customWidth="1"/>
    <col min="7" max="7" width="9.33203125" style="276"/>
    <col min="8" max="8" width="12" style="276" bestFit="1" customWidth="1"/>
    <col min="9" max="9" width="15.33203125" style="276" bestFit="1" customWidth="1"/>
    <col min="10" max="16384" width="9.33203125" style="275"/>
  </cols>
  <sheetData>
    <row r="1" spans="1:10">
      <c r="A1" s="274" t="s">
        <v>118</v>
      </c>
      <c r="B1" s="274"/>
      <c r="I1" s="277" t="s">
        <v>272</v>
      </c>
      <c r="J1" s="296" t="s">
        <v>361</v>
      </c>
    </row>
    <row r="2" spans="1:10">
      <c r="A2" s="274" t="s">
        <v>255</v>
      </c>
      <c r="B2" s="274"/>
    </row>
    <row r="3" spans="1:10">
      <c r="A3" s="274" t="s">
        <v>327</v>
      </c>
      <c r="B3" s="274"/>
    </row>
    <row r="5" spans="1:10">
      <c r="F5" s="105" t="s">
        <v>274</v>
      </c>
      <c r="I5" s="276" t="s">
        <v>126</v>
      </c>
    </row>
    <row r="6" spans="1:10" ht="15">
      <c r="D6" s="279" t="s">
        <v>275</v>
      </c>
      <c r="E6" s="279" t="s">
        <v>276</v>
      </c>
      <c r="F6" s="280" t="s">
        <v>277</v>
      </c>
      <c r="G6" s="279" t="s">
        <v>278</v>
      </c>
      <c r="H6" s="279" t="s">
        <v>134</v>
      </c>
      <c r="I6" s="279" t="s">
        <v>279</v>
      </c>
      <c r="J6" s="279" t="s">
        <v>280</v>
      </c>
    </row>
    <row r="7" spans="1:10" ht="15">
      <c r="B7" s="274" t="s">
        <v>281</v>
      </c>
      <c r="C7" s="281"/>
      <c r="D7" s="279"/>
      <c r="E7" s="279"/>
      <c r="F7" s="280"/>
      <c r="G7" s="279"/>
      <c r="H7" s="279"/>
      <c r="I7" s="279"/>
      <c r="J7" s="279"/>
    </row>
    <row r="8" spans="1:10" ht="15">
      <c r="B8" s="274"/>
      <c r="C8" s="281"/>
      <c r="D8" s="279"/>
      <c r="E8" s="279"/>
      <c r="F8" s="280"/>
      <c r="G8" s="279"/>
      <c r="H8" s="279"/>
      <c r="I8" s="279"/>
      <c r="J8" s="279"/>
    </row>
    <row r="9" spans="1:10">
      <c r="B9" s="274" t="s">
        <v>137</v>
      </c>
      <c r="C9" s="281"/>
    </row>
    <row r="10" spans="1:10">
      <c r="B10" s="281" t="s">
        <v>138</v>
      </c>
      <c r="C10" s="281"/>
      <c r="D10" s="282" t="s">
        <v>139</v>
      </c>
      <c r="E10" s="283" t="s">
        <v>286</v>
      </c>
      <c r="F10" s="106">
        <f>'9.1 - Summary '!BP15</f>
        <v>0</v>
      </c>
      <c r="G10" s="276" t="s">
        <v>140</v>
      </c>
      <c r="H10" s="284">
        <v>0.2262649010137</v>
      </c>
      <c r="I10" s="276">
        <f>F10*H10</f>
        <v>0</v>
      </c>
      <c r="J10" s="276"/>
    </row>
    <row r="11" spans="1:10">
      <c r="B11" s="281" t="s">
        <v>141</v>
      </c>
      <c r="C11" s="281"/>
      <c r="D11" s="282" t="s">
        <v>139</v>
      </c>
      <c r="E11" s="283" t="s">
        <v>286</v>
      </c>
      <c r="F11" s="106">
        <f>'9.1 - Summary '!BP16</f>
        <v>-6104103.650000006</v>
      </c>
      <c r="G11" s="276" t="s">
        <v>140</v>
      </c>
      <c r="H11" s="284">
        <v>0.2262649010137</v>
      </c>
      <c r="I11" s="276">
        <f t="shared" ref="I11:I12" si="0">F11*H11</f>
        <v>-1381144.4081446163</v>
      </c>
      <c r="J11" s="276"/>
    </row>
    <row r="12" spans="1:10">
      <c r="B12" s="281" t="s">
        <v>142</v>
      </c>
      <c r="C12" s="281"/>
      <c r="D12" s="282" t="s">
        <v>139</v>
      </c>
      <c r="E12" s="283" t="s">
        <v>286</v>
      </c>
      <c r="F12" s="106">
        <f>'9.1 - Summary '!BP17</f>
        <v>0</v>
      </c>
      <c r="G12" s="276" t="s">
        <v>143</v>
      </c>
      <c r="H12" s="284">
        <v>0.22648067236840891</v>
      </c>
      <c r="I12" s="276">
        <f t="shared" si="0"/>
        <v>0</v>
      </c>
    </row>
    <row r="13" spans="1:10">
      <c r="B13" s="281" t="s">
        <v>144</v>
      </c>
      <c r="C13" s="281"/>
      <c r="D13" s="282"/>
      <c r="E13" s="283"/>
      <c r="F13" s="285">
        <f>SUM(F10:F12)</f>
        <v>-6104103.650000006</v>
      </c>
      <c r="H13" s="284"/>
      <c r="I13" s="285">
        <f>SUM(I10:I12)</f>
        <v>-1381144.4081446163</v>
      </c>
      <c r="J13" s="282" t="s">
        <v>341</v>
      </c>
    </row>
    <row r="14" spans="1:10">
      <c r="B14" s="281"/>
      <c r="C14" s="286"/>
      <c r="D14" s="282"/>
      <c r="E14" s="283"/>
      <c r="H14" s="284"/>
    </row>
    <row r="15" spans="1:10">
      <c r="B15" s="274" t="s">
        <v>145</v>
      </c>
      <c r="C15" s="286"/>
      <c r="D15" s="282"/>
      <c r="E15" s="283"/>
      <c r="H15" s="284"/>
    </row>
    <row r="16" spans="1:10">
      <c r="B16" s="281" t="s">
        <v>146</v>
      </c>
      <c r="C16" s="286"/>
      <c r="D16" s="282" t="s">
        <v>147</v>
      </c>
      <c r="E16" s="283" t="s">
        <v>286</v>
      </c>
      <c r="F16" s="106">
        <f>'9.1 - Summary '!BP21</f>
        <v>516964.61099958606</v>
      </c>
      <c r="G16" s="276" t="s">
        <v>140</v>
      </c>
      <c r="H16" s="284">
        <v>0.2262649010137</v>
      </c>
      <c r="I16" s="276">
        <f t="shared" ref="I16:I20" si="1">F16*H16</f>
        <v>116970.94653540727</v>
      </c>
      <c r="J16" s="276"/>
    </row>
    <row r="17" spans="2:10">
      <c r="B17" s="281" t="s">
        <v>148</v>
      </c>
      <c r="C17" s="286"/>
      <c r="D17" s="282" t="s">
        <v>147</v>
      </c>
      <c r="E17" s="283" t="s">
        <v>286</v>
      </c>
      <c r="F17" s="106">
        <f>'9.1 - Summary '!BP22</f>
        <v>1206250.7589979842</v>
      </c>
      <c r="G17" s="276" t="s">
        <v>143</v>
      </c>
      <c r="H17" s="284">
        <v>0.22648067236840891</v>
      </c>
      <c r="I17" s="276">
        <f t="shared" si="1"/>
        <v>273192.48294276703</v>
      </c>
      <c r="J17" s="276"/>
    </row>
    <row r="18" spans="2:10">
      <c r="B18" s="281" t="s">
        <v>149</v>
      </c>
      <c r="C18" s="286"/>
      <c r="D18" s="282" t="s">
        <v>147</v>
      </c>
      <c r="E18" s="283" t="s">
        <v>286</v>
      </c>
      <c r="F18" s="106">
        <f>'9.1 - Summary '!BP23</f>
        <v>-23135.869997560978</v>
      </c>
      <c r="G18" s="276" t="s">
        <v>140</v>
      </c>
      <c r="H18" s="284">
        <v>0.2262649010137</v>
      </c>
      <c r="I18" s="276">
        <f t="shared" si="1"/>
        <v>-5234.8353348639666</v>
      </c>
      <c r="J18" s="276"/>
    </row>
    <row r="19" spans="2:10">
      <c r="B19" s="281" t="s">
        <v>150</v>
      </c>
      <c r="C19" s="286"/>
      <c r="D19" s="282" t="s">
        <v>147</v>
      </c>
      <c r="E19" s="283" t="s">
        <v>286</v>
      </c>
      <c r="F19" s="106">
        <f>'9.1 - Summary '!BP24</f>
        <v>-5344283.6900000572</v>
      </c>
      <c r="G19" s="276" t="s">
        <v>140</v>
      </c>
      <c r="H19" s="284">
        <v>0.2262649010137</v>
      </c>
      <c r="I19" s="276">
        <f t="shared" si="1"/>
        <v>-1209223.8201069944</v>
      </c>
      <c r="J19" s="276"/>
    </row>
    <row r="20" spans="2:10">
      <c r="B20" s="281" t="s">
        <v>151</v>
      </c>
      <c r="C20" s="281"/>
      <c r="D20" s="282" t="s">
        <v>147</v>
      </c>
      <c r="E20" s="283" t="s">
        <v>286</v>
      </c>
      <c r="F20" s="106">
        <f>'9.1 - Summary '!BP25</f>
        <v>-2600.6500000000233</v>
      </c>
      <c r="G20" s="276" t="s">
        <v>140</v>
      </c>
      <c r="H20" s="284">
        <v>0.2262649010137</v>
      </c>
      <c r="I20" s="276">
        <f t="shared" si="1"/>
        <v>-588.43581482128423</v>
      </c>
    </row>
    <row r="21" spans="2:10">
      <c r="B21" s="281" t="s">
        <v>152</v>
      </c>
      <c r="C21" s="281"/>
      <c r="D21" s="282"/>
      <c r="E21" s="283"/>
      <c r="F21" s="285">
        <f>SUM(F16:F20)</f>
        <v>-3646804.8400000478</v>
      </c>
      <c r="H21" s="284"/>
      <c r="I21" s="285">
        <f>SUM(I16:I20)</f>
        <v>-824883.66177850531</v>
      </c>
      <c r="J21" s="282" t="s">
        <v>341</v>
      </c>
    </row>
    <row r="22" spans="2:10">
      <c r="B22" s="281"/>
      <c r="C22" s="281"/>
      <c r="D22" s="282"/>
      <c r="E22" s="283"/>
      <c r="H22" s="284"/>
    </row>
    <row r="23" spans="2:10">
      <c r="B23" s="274" t="s">
        <v>153</v>
      </c>
      <c r="C23" s="281"/>
      <c r="D23" s="282"/>
      <c r="E23" s="283"/>
      <c r="H23" s="284"/>
      <c r="J23" s="276"/>
    </row>
    <row r="24" spans="2:10">
      <c r="B24" s="281" t="s">
        <v>154</v>
      </c>
      <c r="C24" s="281"/>
      <c r="D24" s="282" t="s">
        <v>155</v>
      </c>
      <c r="E24" s="283" t="s">
        <v>286</v>
      </c>
      <c r="F24" s="106">
        <f>'9.1 - Summary '!BP29</f>
        <v>0</v>
      </c>
      <c r="G24" s="276" t="s">
        <v>140</v>
      </c>
      <c r="H24" s="284">
        <v>0.2262649010137</v>
      </c>
      <c r="I24" s="276">
        <f t="shared" ref="I24:I26" si="2">F24*H24</f>
        <v>0</v>
      </c>
      <c r="J24" s="276"/>
    </row>
    <row r="25" spans="2:10">
      <c r="B25" s="281" t="s">
        <v>156</v>
      </c>
      <c r="C25" s="286"/>
      <c r="D25" s="282" t="s">
        <v>155</v>
      </c>
      <c r="E25" s="283" t="s">
        <v>286</v>
      </c>
      <c r="F25" s="106">
        <f>'9.1 - Summary '!BP30</f>
        <v>0</v>
      </c>
      <c r="G25" s="276" t="s">
        <v>140</v>
      </c>
      <c r="H25" s="284">
        <v>0.2262649010137</v>
      </c>
      <c r="I25" s="276">
        <f t="shared" si="2"/>
        <v>0</v>
      </c>
      <c r="J25" s="276"/>
    </row>
    <row r="26" spans="2:10">
      <c r="B26" s="281" t="s">
        <v>157</v>
      </c>
      <c r="C26" s="286"/>
      <c r="D26" s="282" t="s">
        <v>155</v>
      </c>
      <c r="E26" s="283" t="s">
        <v>286</v>
      </c>
      <c r="F26" s="106">
        <f>'9.1 - Summary '!BP31</f>
        <v>0</v>
      </c>
      <c r="G26" s="276" t="s">
        <v>143</v>
      </c>
      <c r="H26" s="284">
        <v>0.22648067236840891</v>
      </c>
      <c r="I26" s="276">
        <f t="shared" si="2"/>
        <v>0</v>
      </c>
      <c r="J26" s="276"/>
    </row>
    <row r="27" spans="2:10">
      <c r="B27" s="281" t="s">
        <v>158</v>
      </c>
      <c r="C27" s="281"/>
      <c r="D27" s="282"/>
      <c r="E27" s="283"/>
      <c r="F27" s="285">
        <f>SUM(F24:F26)</f>
        <v>0</v>
      </c>
      <c r="H27" s="284"/>
      <c r="I27" s="285">
        <f>SUM(I24:I26)</f>
        <v>0</v>
      </c>
      <c r="J27" s="282" t="s">
        <v>341</v>
      </c>
    </row>
    <row r="28" spans="2:10">
      <c r="B28" s="281"/>
      <c r="C28" s="281"/>
      <c r="D28" s="282"/>
      <c r="E28" s="283"/>
      <c r="H28" s="284"/>
    </row>
    <row r="29" spans="2:10">
      <c r="B29" s="274" t="s">
        <v>159</v>
      </c>
      <c r="C29" s="274"/>
      <c r="D29" s="282"/>
      <c r="E29" s="283"/>
      <c r="H29" s="284"/>
      <c r="J29" s="276"/>
    </row>
    <row r="30" spans="2:10">
      <c r="B30" s="281" t="s">
        <v>160</v>
      </c>
      <c r="C30" s="274"/>
      <c r="D30" s="282" t="s">
        <v>161</v>
      </c>
      <c r="E30" s="283" t="s">
        <v>286</v>
      </c>
      <c r="F30" s="106">
        <f>'9.1 - Summary '!BP35</f>
        <v>-2353565.8400000036</v>
      </c>
      <c r="G30" s="276" t="s">
        <v>143</v>
      </c>
      <c r="H30" s="284">
        <v>0.22648067236840891</v>
      </c>
      <c r="I30" s="276">
        <f t="shared" ref="I30:I31" si="3">F30*H30</f>
        <v>-533037.17390651989</v>
      </c>
      <c r="J30" s="276"/>
    </row>
    <row r="31" spans="2:10">
      <c r="B31" s="281" t="s">
        <v>162</v>
      </c>
      <c r="C31" s="274"/>
      <c r="D31" s="282" t="s">
        <v>163</v>
      </c>
      <c r="E31" s="283" t="s">
        <v>286</v>
      </c>
      <c r="F31" s="106">
        <f>'9.1 - Summary '!BP36</f>
        <v>87594.640000015497</v>
      </c>
      <c r="G31" s="276" t="s">
        <v>143</v>
      </c>
      <c r="H31" s="284">
        <v>0.22648067236840891</v>
      </c>
      <c r="I31" s="276">
        <f t="shared" si="3"/>
        <v>19838.492963072236</v>
      </c>
    </row>
    <row r="32" spans="2:10">
      <c r="B32" s="281" t="s">
        <v>164</v>
      </c>
      <c r="C32" s="274"/>
      <c r="D32" s="282"/>
      <c r="E32" s="283"/>
      <c r="F32" s="285">
        <f>SUM(F30:F31)</f>
        <v>-2265971.1999999881</v>
      </c>
      <c r="H32" s="287"/>
      <c r="I32" s="285">
        <f>SUM(I30:I31)</f>
        <v>-513198.68094344763</v>
      </c>
      <c r="J32" s="282" t="s">
        <v>341</v>
      </c>
    </row>
    <row r="33" spans="1:11">
      <c r="B33" s="291"/>
      <c r="C33" s="274"/>
      <c r="D33" s="282"/>
      <c r="E33" s="283"/>
      <c r="H33" s="287"/>
      <c r="I33" s="106"/>
      <c r="J33" s="276"/>
    </row>
    <row r="34" spans="1:11">
      <c r="B34" s="288" t="s">
        <v>284</v>
      </c>
      <c r="C34" s="274"/>
      <c r="D34" s="282"/>
      <c r="E34" s="283"/>
      <c r="F34" s="285">
        <f>-F13+F21+F27+F32</f>
        <v>191327.60999997007</v>
      </c>
      <c r="H34" s="287"/>
      <c r="I34" s="285">
        <f>-I13+I21+I27+I32</f>
        <v>43062.065422663349</v>
      </c>
      <c r="J34" s="276"/>
    </row>
    <row r="35" spans="1:11">
      <c r="C35" s="274"/>
      <c r="F35" s="289"/>
      <c r="J35" s="276"/>
    </row>
    <row r="36" spans="1:11">
      <c r="C36" s="274"/>
      <c r="F36" s="289"/>
      <c r="J36" s="276"/>
    </row>
    <row r="37" spans="1:11">
      <c r="C37" s="274"/>
      <c r="F37" s="289"/>
      <c r="J37" s="276"/>
    </row>
    <row r="42" spans="1:11" ht="13.5" thickBot="1">
      <c r="B42" s="290" t="s">
        <v>283</v>
      </c>
    </row>
    <row r="43" spans="1:11" ht="12.75" customHeight="1">
      <c r="A43" s="359" t="s">
        <v>352</v>
      </c>
      <c r="B43" s="360"/>
      <c r="C43" s="360"/>
      <c r="D43" s="360"/>
      <c r="E43" s="360"/>
      <c r="F43" s="360"/>
      <c r="G43" s="360"/>
      <c r="H43" s="360"/>
      <c r="I43" s="360"/>
      <c r="J43" s="361"/>
      <c r="K43" s="292"/>
    </row>
    <row r="44" spans="1:11">
      <c r="A44" s="362"/>
      <c r="B44" s="363"/>
      <c r="C44" s="363"/>
      <c r="D44" s="363"/>
      <c r="E44" s="363"/>
      <c r="F44" s="363"/>
      <c r="G44" s="363"/>
      <c r="H44" s="363"/>
      <c r="I44" s="363"/>
      <c r="J44" s="364"/>
      <c r="K44" s="292"/>
    </row>
    <row r="45" spans="1:11">
      <c r="A45" s="362"/>
      <c r="B45" s="363"/>
      <c r="C45" s="363"/>
      <c r="D45" s="363"/>
      <c r="E45" s="363"/>
      <c r="F45" s="363"/>
      <c r="G45" s="363"/>
      <c r="H45" s="363"/>
      <c r="I45" s="363"/>
      <c r="J45" s="364"/>
      <c r="K45" s="292"/>
    </row>
    <row r="46" spans="1:11">
      <c r="A46" s="362"/>
      <c r="B46" s="363"/>
      <c r="C46" s="363"/>
      <c r="D46" s="363"/>
      <c r="E46" s="363"/>
      <c r="F46" s="363"/>
      <c r="G46" s="363"/>
      <c r="H46" s="363"/>
      <c r="I46" s="363"/>
      <c r="J46" s="364"/>
      <c r="K46" s="292"/>
    </row>
    <row r="47" spans="1:11">
      <c r="A47" s="362"/>
      <c r="B47" s="363"/>
      <c r="C47" s="363"/>
      <c r="D47" s="363"/>
      <c r="E47" s="363"/>
      <c r="F47" s="363"/>
      <c r="G47" s="363"/>
      <c r="H47" s="363"/>
      <c r="I47" s="363"/>
      <c r="J47" s="364"/>
      <c r="K47" s="292"/>
    </row>
    <row r="48" spans="1:11">
      <c r="A48" s="362"/>
      <c r="B48" s="363"/>
      <c r="C48" s="363"/>
      <c r="D48" s="363"/>
      <c r="E48" s="363"/>
      <c r="F48" s="363"/>
      <c r="G48" s="363"/>
      <c r="H48" s="363"/>
      <c r="I48" s="363"/>
      <c r="J48" s="364"/>
      <c r="K48" s="292"/>
    </row>
    <row r="49" spans="1:11">
      <c r="A49" s="362"/>
      <c r="B49" s="363"/>
      <c r="C49" s="363"/>
      <c r="D49" s="363"/>
      <c r="E49" s="363"/>
      <c r="F49" s="363"/>
      <c r="G49" s="363"/>
      <c r="H49" s="363"/>
      <c r="I49" s="363"/>
      <c r="J49" s="364"/>
      <c r="K49" s="292"/>
    </row>
    <row r="50" spans="1:11" ht="13.5" thickBot="1">
      <c r="A50" s="365"/>
      <c r="B50" s="366"/>
      <c r="C50" s="366"/>
      <c r="D50" s="366"/>
      <c r="E50" s="366"/>
      <c r="F50" s="366"/>
      <c r="G50" s="366"/>
      <c r="H50" s="366"/>
      <c r="I50" s="366"/>
      <c r="J50" s="367"/>
      <c r="K50" s="292"/>
    </row>
  </sheetData>
  <mergeCells count="1">
    <mergeCell ref="A43:J50"/>
  </mergeCells>
  <conditionalFormatting sqref="B9:B26">
    <cfRule type="cellIs" dxfId="17" priority="3" stopIfTrue="1" operator="equal">
      <formula>"Adjustment to Income/Expense/Rate Base:"</formula>
    </cfRule>
  </conditionalFormatting>
  <conditionalFormatting sqref="B20:B22">
    <cfRule type="cellIs" dxfId="16" priority="2" stopIfTrue="1" operator="equal">
      <formula>"Title"</formula>
    </cfRule>
  </conditionalFormatting>
  <conditionalFormatting sqref="B27:B34">
    <cfRule type="cellIs" dxfId="15" priority="1" stopIfTrue="1" operator="equal">
      <formula>"Adjustment to Income/Expense/Rate Base:"</formula>
    </cfRule>
  </conditionalFormatting>
  <pageMargins left="0.65" right="0.72" top="1" bottom="1" header="0.5" footer="0.5"/>
  <pageSetup scale="77" orientation="portrait" r:id="rId1"/>
  <headerFooter alignWithMargins="0">
    <oddHeader>&amp;L&amp;"Arial,Regular"&amp;10WA UE-130043
Bench Request 9&amp;R&amp;"Arial,Bold"&amp;10Attachment Bench Request 9</oddHeader>
    <oddFooter>&amp;L&amp;"Arial,Regular"&amp;10&amp;F&amp;C&amp;A</oddFooter>
  </headerFooter>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pageSetUpPr fitToPage="1"/>
  </sheetPr>
  <dimension ref="A1:S123"/>
  <sheetViews>
    <sheetView view="pageBreakPreview" zoomScale="85" zoomScaleNormal="85" zoomScaleSheetLayoutView="85" workbookViewId="0">
      <pane xSplit="3" ySplit="6" topLeftCell="D7" activePane="bottomRight" state="frozen"/>
      <selection activeCell="T91" sqref="T91"/>
      <selection pane="topRight" activeCell="T91" sqref="T91"/>
      <selection pane="bottomLeft" activeCell="T91" sqref="T91"/>
      <selection pane="bottomRight" activeCell="T91" sqref="T91"/>
    </sheetView>
  </sheetViews>
  <sheetFormatPr defaultColWidth="11" defaultRowHeight="10.5"/>
  <cols>
    <col min="1" max="1" width="3" style="3" customWidth="1"/>
    <col min="2" max="2" width="2.6640625" style="3" customWidth="1"/>
    <col min="3" max="3" width="33.1640625" style="3" customWidth="1"/>
    <col min="4" max="4" width="13.83203125" style="3" customWidth="1"/>
    <col min="5" max="5" width="2.33203125" style="3" customWidth="1"/>
    <col min="6" max="6" width="15.83203125" style="3" customWidth="1"/>
    <col min="7" max="8" width="13.33203125" style="3" bestFit="1" customWidth="1"/>
    <col min="9" max="9" width="13.83203125" style="3" bestFit="1" customWidth="1"/>
    <col min="10" max="10" width="11" style="3" customWidth="1"/>
    <col min="11" max="11" width="14.5" style="3" customWidth="1"/>
    <col min="12" max="12" width="11" style="3" customWidth="1"/>
    <col min="13" max="13" width="14.1640625" style="3" bestFit="1" customWidth="1"/>
    <col min="14" max="14" width="20.1640625" style="27" bestFit="1" customWidth="1"/>
    <col min="15" max="15" width="15" style="3" bestFit="1" customWidth="1"/>
    <col min="16" max="16" width="14.6640625" style="3" bestFit="1" customWidth="1"/>
    <col min="17" max="16384" width="11" style="3"/>
  </cols>
  <sheetData>
    <row r="1" spans="1:14">
      <c r="A1" s="4" t="s">
        <v>118</v>
      </c>
      <c r="D1"/>
      <c r="E1" s="9"/>
      <c r="F1" s="8" t="s">
        <v>42</v>
      </c>
    </row>
    <row r="2" spans="1:14">
      <c r="A2" s="20"/>
      <c r="D2"/>
      <c r="E2" s="9"/>
      <c r="F2" s="9" t="s">
        <v>0</v>
      </c>
      <c r="K2" s="50"/>
    </row>
    <row r="3" spans="1:14">
      <c r="A3" s="5" t="s">
        <v>52</v>
      </c>
      <c r="D3" s="10"/>
      <c r="E3" s="10"/>
      <c r="F3" s="8" t="s">
        <v>1</v>
      </c>
    </row>
    <row r="4" spans="1:14">
      <c r="A4" s="358">
        <v>41974</v>
      </c>
      <c r="B4" s="358"/>
      <c r="C4" s="358"/>
      <c r="D4" s="10"/>
      <c r="E4" s="10"/>
      <c r="F4" s="9"/>
    </row>
    <row r="5" spans="1:14">
      <c r="B5" s="5"/>
      <c r="D5" s="11" t="s">
        <v>2</v>
      </c>
      <c r="E5" s="11"/>
      <c r="F5" s="12" t="s">
        <v>3</v>
      </c>
      <c r="G5" s="12" t="s">
        <v>3</v>
      </c>
      <c r="H5" s="12"/>
      <c r="I5" s="12"/>
    </row>
    <row r="6" spans="1:14" s="11" customFormat="1">
      <c r="A6" s="3"/>
      <c r="B6" s="3"/>
      <c r="C6" s="3"/>
      <c r="D6" s="41" t="s">
        <v>117</v>
      </c>
      <c r="E6" s="15"/>
      <c r="F6" s="13" t="s">
        <v>4</v>
      </c>
      <c r="G6" s="13" t="s">
        <v>5</v>
      </c>
      <c r="H6" s="13" t="s">
        <v>6</v>
      </c>
      <c r="I6" s="13" t="s">
        <v>7</v>
      </c>
      <c r="N6" s="28"/>
    </row>
    <row r="7" spans="1:14">
      <c r="A7" s="3" t="s">
        <v>8</v>
      </c>
      <c r="F7" s="6"/>
      <c r="G7" s="6"/>
      <c r="H7" s="6"/>
      <c r="I7" s="6"/>
    </row>
    <row r="8" spans="1:14">
      <c r="B8" t="s">
        <v>9</v>
      </c>
      <c r="D8" s="26">
        <v>12964800</v>
      </c>
      <c r="E8" s="16"/>
      <c r="F8" s="26">
        <f>D8</f>
        <v>12964800</v>
      </c>
      <c r="G8"/>
      <c r="H8"/>
      <c r="I8"/>
    </row>
    <row r="9" spans="1:14" hidden="1">
      <c r="B9"/>
      <c r="D9" s="16"/>
      <c r="E9" s="16"/>
      <c r="F9" s="1"/>
      <c r="G9" s="6"/>
      <c r="H9" s="6"/>
      <c r="I9" s="6"/>
    </row>
    <row r="10" spans="1:14">
      <c r="B10" t="s">
        <v>10</v>
      </c>
      <c r="D10" s="26">
        <v>54759703.099999994</v>
      </c>
      <c r="E10" s="16"/>
      <c r="F10" s="1"/>
      <c r="G10" s="6"/>
      <c r="H10" s="6"/>
      <c r="I10" s="26">
        <f>D10</f>
        <v>54759703.099999994</v>
      </c>
    </row>
    <row r="11" spans="1:14" hidden="1">
      <c r="B11"/>
      <c r="D11" s="16"/>
      <c r="E11" s="16"/>
      <c r="F11" s="1"/>
      <c r="G11" s="6"/>
      <c r="H11" s="6"/>
      <c r="I11" s="6"/>
    </row>
    <row r="12" spans="1:14" hidden="1">
      <c r="B12" t="s">
        <v>11</v>
      </c>
      <c r="D12" s="26">
        <v>0</v>
      </c>
      <c r="E12" s="16"/>
      <c r="F12" s="26">
        <f>D12</f>
        <v>0</v>
      </c>
      <c r="G12" s="6"/>
      <c r="H12" s="6"/>
      <c r="I12" s="6"/>
    </row>
    <row r="13" spans="1:14" hidden="1">
      <c r="C13"/>
      <c r="D13" s="16"/>
      <c r="E13" s="16"/>
      <c r="F13" s="6"/>
      <c r="G13" s="6"/>
      <c r="H13" s="6"/>
      <c r="I13" s="6"/>
    </row>
    <row r="14" spans="1:14" hidden="1">
      <c r="B14" s="3" t="s">
        <v>12</v>
      </c>
      <c r="C14"/>
      <c r="D14" s="26">
        <v>0</v>
      </c>
      <c r="E14" s="16"/>
      <c r="F14" s="6"/>
      <c r="G14" s="6"/>
      <c r="H14" s="26">
        <f>D14</f>
        <v>0</v>
      </c>
      <c r="I14" s="6"/>
    </row>
    <row r="15" spans="1:14" ht="11.25" thickBot="1">
      <c r="D15" s="11" t="s">
        <v>14</v>
      </c>
      <c r="E15" s="14" t="s">
        <v>13</v>
      </c>
      <c r="F15" s="11" t="s">
        <v>14</v>
      </c>
      <c r="G15" s="11" t="s">
        <v>14</v>
      </c>
      <c r="H15" s="11" t="s">
        <v>14</v>
      </c>
      <c r="I15" s="11" t="s">
        <v>14</v>
      </c>
    </row>
    <row r="16" spans="1:14" ht="11.25" thickBot="1">
      <c r="A16" s="3" t="s">
        <v>15</v>
      </c>
      <c r="D16" s="26">
        <f>SUM(D8:D14)</f>
        <v>67724503.099999994</v>
      </c>
      <c r="E16" s="16"/>
      <c r="F16" s="26">
        <f>SUM(F8:F14)</f>
        <v>12964800</v>
      </c>
      <c r="G16" s="26">
        <f>SUM(G8:G14)</f>
        <v>0</v>
      </c>
      <c r="H16" s="26">
        <f>SUM(H8:H14)</f>
        <v>0</v>
      </c>
      <c r="I16" s="26">
        <f>SUM(I8:I14)</f>
        <v>54759703.099999994</v>
      </c>
      <c r="K16" s="36">
        <v>0</v>
      </c>
      <c r="L16" s="24" t="s">
        <v>40</v>
      </c>
      <c r="M16" s="37">
        <f>D16-SUM(F16:I16)</f>
        <v>0</v>
      </c>
    </row>
    <row r="17" spans="1:19">
      <c r="D17" s="16"/>
      <c r="E17" s="16"/>
      <c r="F17" s="16"/>
      <c r="G17" s="16"/>
      <c r="H17" s="16"/>
      <c r="I17" s="16"/>
      <c r="P17" s="8" t="s">
        <v>67</v>
      </c>
    </row>
    <row r="18" spans="1:19">
      <c r="D18"/>
      <c r="E18" s="6"/>
      <c r="F18" s="6"/>
      <c r="G18" s="6"/>
      <c r="H18" s="6"/>
      <c r="I18" s="6"/>
      <c r="N18" s="39"/>
      <c r="O18" s="35"/>
      <c r="P18" s="48">
        <f>+A4</f>
        <v>41974</v>
      </c>
    </row>
    <row r="19" spans="1:19" ht="11.25">
      <c r="A19" s="3" t="s">
        <v>16</v>
      </c>
      <c r="D19" s="16"/>
      <c r="E19" s="16"/>
      <c r="F19" s="45"/>
      <c r="G19" s="6"/>
      <c r="H19" s="6"/>
      <c r="I19" s="6"/>
      <c r="N19" s="29" t="s">
        <v>56</v>
      </c>
      <c r="O19" s="42">
        <v>0.42658348524998529</v>
      </c>
      <c r="P19" s="16">
        <v>14785516.07</v>
      </c>
      <c r="Q19" s="44"/>
      <c r="R19" s="30"/>
      <c r="S19" s="16"/>
    </row>
    <row r="20" spans="1:19" ht="11.25" hidden="1">
      <c r="B20"/>
      <c r="C20" s="3" t="s">
        <v>17</v>
      </c>
      <c r="D20" s="26">
        <v>0</v>
      </c>
      <c r="E20" s="16"/>
      <c r="F20" s="26">
        <f>D20</f>
        <v>0</v>
      </c>
      <c r="G20" s="6"/>
      <c r="H20" s="6"/>
      <c r="I20" s="6"/>
      <c r="N20" s="29" t="s">
        <v>58</v>
      </c>
      <c r="O20" s="42">
        <f>1-O19</f>
        <v>0.57341651475001476</v>
      </c>
      <c r="P20" s="16">
        <v>19874794.469999999</v>
      </c>
      <c r="Q20" s="44"/>
      <c r="R20" s="30"/>
      <c r="S20" s="16"/>
    </row>
    <row r="21" spans="1:19" ht="11.25" hidden="1">
      <c r="B21"/>
      <c r="C21" s="3" t="s">
        <v>18</v>
      </c>
      <c r="D21" s="26">
        <v>0</v>
      </c>
      <c r="E21" s="16"/>
      <c r="F21" s="26">
        <f>D21-G21</f>
        <v>0</v>
      </c>
      <c r="G21" s="26">
        <v>0</v>
      </c>
      <c r="H21" s="6"/>
      <c r="I21" s="6"/>
      <c r="N21" s="29" t="s">
        <v>57</v>
      </c>
      <c r="O21" s="42">
        <f>IFERROR(P21/(P21+P22),0)</f>
        <v>0</v>
      </c>
      <c r="P21" s="16">
        <v>0</v>
      </c>
      <c r="Q21" s="44"/>
      <c r="R21" s="30"/>
      <c r="S21" s="16"/>
    </row>
    <row r="22" spans="1:19" ht="11.25">
      <c r="B22"/>
      <c r="C22" s="3" t="s">
        <v>19</v>
      </c>
      <c r="D22" s="26">
        <v>1574968.5600000005</v>
      </c>
      <c r="E22" s="16"/>
      <c r="F22" s="26">
        <f>D22*0.3</f>
        <v>472490.56800000014</v>
      </c>
      <c r="G22" s="26">
        <f>D22*0.7</f>
        <v>1102477.9920000003</v>
      </c>
      <c r="H22" s="6"/>
      <c r="I22" s="6"/>
      <c r="N22" s="29" t="s">
        <v>59</v>
      </c>
      <c r="O22" s="42">
        <f>1-O21</f>
        <v>1</v>
      </c>
      <c r="P22" s="16">
        <v>0</v>
      </c>
      <c r="Q22" s="44"/>
      <c r="R22" s="30"/>
      <c r="S22" s="16"/>
    </row>
    <row r="23" spans="1:19">
      <c r="B23"/>
      <c r="C23" s="3" t="s">
        <v>20</v>
      </c>
      <c r="D23" s="26">
        <v>270000</v>
      </c>
      <c r="E23" s="16"/>
      <c r="F23" s="26">
        <f>D23*0.2073628</f>
        <v>55987.956000000006</v>
      </c>
      <c r="G23" s="26">
        <f>D23-F23</f>
        <v>214012.04399999999</v>
      </c>
      <c r="H23" s="6"/>
      <c r="I23" s="6"/>
    </row>
    <row r="24" spans="1:19">
      <c r="B24"/>
      <c r="C24" s="3" t="s">
        <v>21</v>
      </c>
      <c r="D24" s="26">
        <f>N27</f>
        <v>76874170.090000004</v>
      </c>
      <c r="E24" s="16"/>
      <c r="F24" s="31">
        <f>(N25+N24*O19)*K24</f>
        <v>2517906.8511722321</v>
      </c>
      <c r="G24" s="31">
        <f>(N25+N24*O19)*L24</f>
        <v>12267609.214561934</v>
      </c>
      <c r="H24" s="6"/>
      <c r="I24" s="31">
        <f>(N26+N24*O20)</f>
        <v>62088654.024265841</v>
      </c>
      <c r="K24" s="25">
        <v>0.17029549999999999</v>
      </c>
      <c r="L24" s="25">
        <f>1-K24</f>
        <v>0.82970450000000007</v>
      </c>
      <c r="N24" s="26">
        <v>34660310.530000001</v>
      </c>
      <c r="O24" t="s">
        <v>53</v>
      </c>
    </row>
    <row r="25" spans="1:19">
      <c r="B25"/>
      <c r="C25" s="49" t="s">
        <v>90</v>
      </c>
      <c r="D25" s="26">
        <v>0</v>
      </c>
      <c r="E25" s="16"/>
      <c r="F25" s="6"/>
      <c r="G25" s="26">
        <f>D25</f>
        <v>0</v>
      </c>
      <c r="H25" s="6"/>
      <c r="I25" s="26"/>
      <c r="N25" s="26">
        <v>0</v>
      </c>
      <c r="O25" t="s">
        <v>50</v>
      </c>
    </row>
    <row r="26" spans="1:19">
      <c r="B26" s="40" t="s">
        <v>65</v>
      </c>
      <c r="C26" s="14"/>
      <c r="D26" s="11" t="s">
        <v>14</v>
      </c>
      <c r="E26" s="14" t="s">
        <v>13</v>
      </c>
      <c r="F26" s="11" t="s">
        <v>14</v>
      </c>
      <c r="G26" s="11" t="s">
        <v>14</v>
      </c>
      <c r="H26" s="11" t="s">
        <v>14</v>
      </c>
      <c r="I26" s="11" t="s">
        <v>14</v>
      </c>
      <c r="K26" s="25"/>
      <c r="L26" s="25"/>
      <c r="N26" s="43">
        <v>42213859.560000002</v>
      </c>
      <c r="O26" t="s">
        <v>49</v>
      </c>
    </row>
    <row r="27" spans="1:19">
      <c r="B27" s="3" t="s">
        <v>22</v>
      </c>
      <c r="C27"/>
      <c r="D27" s="26">
        <f>SUM(D20:D26)</f>
        <v>78719138.650000006</v>
      </c>
      <c r="E27" s="16"/>
      <c r="F27" s="26">
        <f>SUM(F20:F26)</f>
        <v>3046385.3751722323</v>
      </c>
      <c r="G27" s="26">
        <f>SUM(G20:G26)</f>
        <v>13584099.250561934</v>
      </c>
      <c r="H27" s="26">
        <f>SUM(H20:H26)</f>
        <v>0</v>
      </c>
      <c r="I27" s="26">
        <f>SUM(I20:I26)</f>
        <v>62088654.024265841</v>
      </c>
      <c r="K27" s="25"/>
      <c r="L27" s="25"/>
      <c r="N27" s="26">
        <f>SUM(N24:N26)</f>
        <v>76874170.090000004</v>
      </c>
      <c r="O27"/>
    </row>
    <row r="28" spans="1:19" ht="12.75">
      <c r="D28" s="1"/>
      <c r="E28" s="16"/>
      <c r="F28" s="1"/>
      <c r="G28" s="1"/>
      <c r="H28" s="6"/>
      <c r="I28" s="6"/>
      <c r="K28" s="25"/>
      <c r="L28" s="25"/>
      <c r="N28" s="34"/>
      <c r="O28" s="32"/>
    </row>
    <row r="29" spans="1:19" hidden="1">
      <c r="B29"/>
      <c r="C29" s="3" t="s">
        <v>41</v>
      </c>
      <c r="D29" s="26">
        <v>0</v>
      </c>
      <c r="E29" s="16"/>
      <c r="F29" s="26"/>
      <c r="G29" s="26">
        <f>D29</f>
        <v>0</v>
      </c>
      <c r="H29" s="6"/>
      <c r="I29" s="6"/>
      <c r="K29" s="25"/>
      <c r="L29" s="25"/>
      <c r="N29" s="26">
        <v>0</v>
      </c>
      <c r="O29" t="s">
        <v>54</v>
      </c>
    </row>
    <row r="30" spans="1:19" hidden="1">
      <c r="B30"/>
      <c r="C30" s="3" t="s">
        <v>23</v>
      </c>
      <c r="D30" s="26">
        <v>0</v>
      </c>
      <c r="E30" s="16"/>
      <c r="F30" s="26"/>
      <c r="G30" s="26">
        <f>D30</f>
        <v>0</v>
      </c>
      <c r="H30" s="6"/>
      <c r="I30" s="6"/>
      <c r="K30" s="25"/>
      <c r="L30" s="25"/>
      <c r="M30" s="21"/>
      <c r="N30" s="26">
        <v>0</v>
      </c>
      <c r="O30" t="s">
        <v>51</v>
      </c>
    </row>
    <row r="31" spans="1:19" hidden="1">
      <c r="B31"/>
      <c r="C31" s="3" t="s">
        <v>24</v>
      </c>
      <c r="D31" s="26">
        <f>N32</f>
        <v>0</v>
      </c>
      <c r="E31" s="16"/>
      <c r="F31" s="31">
        <f>(N30+N29*O21)*K31</f>
        <v>0</v>
      </c>
      <c r="G31" s="31">
        <f>(N30+N29*O21)*L31</f>
        <v>0</v>
      </c>
      <c r="H31" s="6"/>
      <c r="I31" s="31">
        <f>(N31+N29*O22)</f>
        <v>0</v>
      </c>
      <c r="K31" s="25">
        <v>0.7</v>
      </c>
      <c r="L31" s="25">
        <f>1-K31</f>
        <v>0.30000000000000004</v>
      </c>
      <c r="N31" s="43">
        <v>0</v>
      </c>
      <c r="O31" t="s">
        <v>48</v>
      </c>
    </row>
    <row r="32" spans="1:19" hidden="1">
      <c r="B32"/>
      <c r="C32" s="3" t="s">
        <v>25</v>
      </c>
      <c r="D32" s="26">
        <v>0</v>
      </c>
      <c r="E32" s="16"/>
      <c r="F32" s="26">
        <f>D32</f>
        <v>0</v>
      </c>
      <c r="G32" s="26">
        <v>0</v>
      </c>
      <c r="H32" s="6"/>
      <c r="I32" s="6"/>
      <c r="N32" s="33">
        <f>SUM(N29:N31)</f>
        <v>0</v>
      </c>
      <c r="O32"/>
    </row>
    <row r="33" spans="2:18" hidden="1">
      <c r="B33"/>
      <c r="C33" s="3" t="s">
        <v>89</v>
      </c>
      <c r="D33" s="26">
        <v>0</v>
      </c>
      <c r="E33" s="16"/>
      <c r="F33" s="6"/>
      <c r="G33" s="26">
        <f>D33</f>
        <v>0</v>
      </c>
      <c r="H33" s="6"/>
      <c r="I33" s="6"/>
      <c r="N33" s="33"/>
      <c r="O33"/>
    </row>
    <row r="34" spans="2:18" hidden="1">
      <c r="B34"/>
      <c r="C34" s="3" t="s">
        <v>26</v>
      </c>
      <c r="D34" s="26">
        <v>0</v>
      </c>
      <c r="E34" s="16"/>
      <c r="F34" s="26">
        <v>0</v>
      </c>
      <c r="G34" s="26">
        <v>0</v>
      </c>
      <c r="H34" s="6"/>
      <c r="I34" s="6"/>
    </row>
    <row r="35" spans="2:18" hidden="1">
      <c r="B35" s="40" t="s">
        <v>65</v>
      </c>
      <c r="C35" s="14"/>
      <c r="D35" s="11" t="s">
        <v>14</v>
      </c>
      <c r="E35" s="14" t="s">
        <v>13</v>
      </c>
      <c r="F35" s="11" t="s">
        <v>14</v>
      </c>
      <c r="G35" s="11" t="s">
        <v>14</v>
      </c>
      <c r="H35" s="11" t="s">
        <v>14</v>
      </c>
      <c r="I35" s="11" t="s">
        <v>14</v>
      </c>
      <c r="R35" s="30"/>
    </row>
    <row r="36" spans="2:18" hidden="1">
      <c r="B36" s="3" t="s">
        <v>27</v>
      </c>
      <c r="C36"/>
      <c r="D36" s="26">
        <f>SUM(D29:D35)</f>
        <v>0</v>
      </c>
      <c r="E36" s="16"/>
      <c r="F36" s="26">
        <f>SUM(F29:F35)</f>
        <v>0</v>
      </c>
      <c r="G36" s="26">
        <f>SUM(G29:G35)</f>
        <v>0</v>
      </c>
      <c r="H36" s="26">
        <f>SUM(H29:H35)</f>
        <v>0</v>
      </c>
      <c r="I36" s="26">
        <f>SUM(I29:I35)</f>
        <v>0</v>
      </c>
    </row>
    <row r="37" spans="2:18">
      <c r="D37" s="16"/>
      <c r="E37" s="16"/>
      <c r="F37" s="6"/>
      <c r="G37" s="6"/>
      <c r="H37" s="6"/>
      <c r="I37" s="6"/>
      <c r="N37" s="3"/>
    </row>
    <row r="38" spans="2:18" hidden="1">
      <c r="B38"/>
      <c r="C38" s="3" t="s">
        <v>68</v>
      </c>
      <c r="D38" s="26">
        <v>0</v>
      </c>
      <c r="E38" s="16"/>
      <c r="F38" s="6"/>
      <c r="G38" s="6"/>
      <c r="H38" s="6"/>
      <c r="I38" s="26">
        <f t="shared" ref="I38:I65" si="0">IF(K38="Post Merger",D38,0)</f>
        <v>0</v>
      </c>
      <c r="K38" s="3" t="s">
        <v>10</v>
      </c>
    </row>
    <row r="39" spans="2:18" hidden="1">
      <c r="B39"/>
      <c r="C39" s="3" t="s">
        <v>55</v>
      </c>
      <c r="D39" s="26">
        <v>0</v>
      </c>
      <c r="E39" s="16"/>
      <c r="F39" s="6"/>
      <c r="G39" s="6"/>
      <c r="H39" s="6"/>
      <c r="I39" s="26">
        <f t="shared" si="0"/>
        <v>0</v>
      </c>
      <c r="K39" s="3" t="s">
        <v>10</v>
      </c>
    </row>
    <row r="40" spans="2:18" hidden="1">
      <c r="B40"/>
      <c r="C40" s="3" t="s">
        <v>69</v>
      </c>
      <c r="D40" s="26">
        <v>0</v>
      </c>
      <c r="E40" s="16"/>
      <c r="F40" s="6"/>
      <c r="G40" s="6"/>
      <c r="H40" s="6"/>
      <c r="I40" s="26">
        <f t="shared" si="0"/>
        <v>0</v>
      </c>
      <c r="K40" s="3" t="s">
        <v>10</v>
      </c>
    </row>
    <row r="41" spans="2:18" hidden="1">
      <c r="B41"/>
      <c r="C41" s="3" t="s">
        <v>88</v>
      </c>
      <c r="D41" s="26">
        <v>0</v>
      </c>
      <c r="E41" s="16"/>
      <c r="F41" s="6"/>
      <c r="G41" s="6"/>
      <c r="H41" s="6"/>
      <c r="I41" s="26">
        <f t="shared" si="0"/>
        <v>0</v>
      </c>
      <c r="K41" s="3" t="s">
        <v>10</v>
      </c>
    </row>
    <row r="42" spans="2:18" hidden="1">
      <c r="B42"/>
      <c r="C42" s="3" t="s">
        <v>70</v>
      </c>
      <c r="D42" s="26">
        <v>0</v>
      </c>
      <c r="E42" s="16"/>
      <c r="F42" s="6"/>
      <c r="G42" s="6"/>
      <c r="H42" s="6"/>
      <c r="I42" s="26">
        <f t="shared" si="0"/>
        <v>0</v>
      </c>
      <c r="K42" s="3" t="s">
        <v>10</v>
      </c>
    </row>
    <row r="43" spans="2:18">
      <c r="B43"/>
      <c r="C43" s="3" t="s">
        <v>71</v>
      </c>
      <c r="D43" s="26">
        <v>4575693.2</v>
      </c>
      <c r="E43" s="16"/>
      <c r="F43" s="6"/>
      <c r="G43" s="6"/>
      <c r="H43" s="6"/>
      <c r="I43" s="26">
        <f t="shared" si="0"/>
        <v>4575693.2</v>
      </c>
      <c r="K43" s="3" t="s">
        <v>10</v>
      </c>
    </row>
    <row r="44" spans="2:18" hidden="1">
      <c r="B44"/>
      <c r="C44" s="3" t="s">
        <v>72</v>
      </c>
      <c r="D44" s="26">
        <v>0</v>
      </c>
      <c r="E44" s="16"/>
      <c r="F44" s="6"/>
      <c r="G44" s="6"/>
      <c r="H44" s="6"/>
      <c r="I44" s="26">
        <f t="shared" si="0"/>
        <v>0</v>
      </c>
      <c r="K44" s="3" t="s">
        <v>10</v>
      </c>
    </row>
    <row r="45" spans="2:18">
      <c r="B45"/>
      <c r="C45" s="3" t="s">
        <v>46</v>
      </c>
      <c r="D45" s="26">
        <v>8005931.2199999997</v>
      </c>
      <c r="E45" s="16"/>
      <c r="F45" s="6"/>
      <c r="G45" s="6"/>
      <c r="H45" s="6"/>
      <c r="I45" s="26">
        <f t="shared" si="0"/>
        <v>8005931.2199999997</v>
      </c>
      <c r="K45" s="3" t="s">
        <v>10</v>
      </c>
    </row>
    <row r="46" spans="2:18">
      <c r="B46"/>
      <c r="C46" s="3" t="s">
        <v>73</v>
      </c>
      <c r="D46" s="26">
        <v>81737623.680000007</v>
      </c>
      <c r="E46" s="16"/>
      <c r="F46" s="6"/>
      <c r="G46" s="6"/>
      <c r="H46" s="6"/>
      <c r="I46" s="26">
        <f t="shared" si="0"/>
        <v>81737623.680000007</v>
      </c>
      <c r="K46" s="3" t="s">
        <v>10</v>
      </c>
    </row>
    <row r="47" spans="2:18" hidden="1">
      <c r="B47"/>
      <c r="C47" s="3" t="s">
        <v>74</v>
      </c>
      <c r="D47" s="26">
        <v>0</v>
      </c>
      <c r="E47" s="16"/>
      <c r="F47" s="6"/>
      <c r="G47" s="6"/>
      <c r="H47" s="6"/>
      <c r="I47" s="26">
        <f t="shared" si="0"/>
        <v>0</v>
      </c>
      <c r="K47" s="3" t="s">
        <v>10</v>
      </c>
    </row>
    <row r="48" spans="2:18" hidden="1">
      <c r="B48"/>
      <c r="C48" s="3" t="s">
        <v>75</v>
      </c>
      <c r="D48" s="26">
        <v>0</v>
      </c>
      <c r="E48" s="16"/>
      <c r="F48" s="6"/>
      <c r="G48" s="6"/>
      <c r="H48" s="6"/>
      <c r="I48" s="26">
        <f t="shared" si="0"/>
        <v>0</v>
      </c>
      <c r="K48" s="3" t="s">
        <v>10</v>
      </c>
    </row>
    <row r="49" spans="2:11" hidden="1">
      <c r="B49"/>
      <c r="C49" s="3" t="s">
        <v>45</v>
      </c>
      <c r="D49" s="26">
        <v>0</v>
      </c>
      <c r="E49" s="16"/>
      <c r="F49" s="6"/>
      <c r="G49" s="6"/>
      <c r="H49" s="6"/>
      <c r="I49" s="26">
        <f t="shared" si="0"/>
        <v>0</v>
      </c>
      <c r="K49" s="3" t="s">
        <v>10</v>
      </c>
    </row>
    <row r="50" spans="2:11" hidden="1">
      <c r="B50"/>
      <c r="C50" s="22" t="s">
        <v>76</v>
      </c>
      <c r="D50" s="26">
        <v>0</v>
      </c>
      <c r="E50" s="16"/>
      <c r="F50" s="6"/>
      <c r="G50" s="6"/>
      <c r="H50" s="6"/>
      <c r="I50" s="26">
        <f t="shared" si="0"/>
        <v>0</v>
      </c>
      <c r="K50" s="3" t="s">
        <v>10</v>
      </c>
    </row>
    <row r="51" spans="2:11" hidden="1">
      <c r="B51"/>
      <c r="C51" s="3" t="s">
        <v>77</v>
      </c>
      <c r="D51" s="26">
        <v>0</v>
      </c>
      <c r="E51" s="16"/>
      <c r="F51" s="6"/>
      <c r="G51" s="6"/>
      <c r="H51" s="6"/>
      <c r="I51" s="26">
        <f t="shared" si="0"/>
        <v>0</v>
      </c>
      <c r="K51" s="3" t="s">
        <v>10</v>
      </c>
    </row>
    <row r="52" spans="2:11" hidden="1">
      <c r="B52"/>
      <c r="C52" s="3" t="s">
        <v>78</v>
      </c>
      <c r="D52" s="26">
        <v>0</v>
      </c>
      <c r="E52" s="16"/>
      <c r="F52" s="6"/>
      <c r="G52" s="6"/>
      <c r="H52" s="6"/>
      <c r="I52" s="26">
        <f t="shared" si="0"/>
        <v>0</v>
      </c>
      <c r="K52" s="3" t="s">
        <v>10</v>
      </c>
    </row>
    <row r="53" spans="2:11" hidden="1">
      <c r="B53"/>
      <c r="C53" s="3" t="s">
        <v>79</v>
      </c>
      <c r="D53" s="26">
        <v>0</v>
      </c>
      <c r="E53" s="16"/>
      <c r="F53" s="6"/>
      <c r="G53" s="6"/>
      <c r="H53" s="6"/>
      <c r="I53" s="26">
        <f t="shared" si="0"/>
        <v>0</v>
      </c>
      <c r="K53" s="3" t="s">
        <v>10</v>
      </c>
    </row>
    <row r="54" spans="2:11" hidden="1">
      <c r="B54"/>
      <c r="C54" s="3" t="s">
        <v>80</v>
      </c>
      <c r="D54" s="26">
        <v>0</v>
      </c>
      <c r="E54" s="16"/>
      <c r="F54" s="6"/>
      <c r="G54" s="6"/>
      <c r="H54" s="6"/>
      <c r="I54" s="26">
        <f t="shared" si="0"/>
        <v>0</v>
      </c>
      <c r="K54" s="3" t="s">
        <v>10</v>
      </c>
    </row>
    <row r="55" spans="2:11" hidden="1">
      <c r="B55"/>
      <c r="C55" s="3" t="s">
        <v>81</v>
      </c>
      <c r="D55" s="26">
        <v>0</v>
      </c>
      <c r="E55" s="16"/>
      <c r="F55" s="6"/>
      <c r="G55" s="6"/>
      <c r="H55" s="6"/>
      <c r="I55" s="26">
        <f t="shared" si="0"/>
        <v>0</v>
      </c>
      <c r="K55" s="3" t="s">
        <v>10</v>
      </c>
    </row>
    <row r="56" spans="2:11" hidden="1">
      <c r="B56"/>
      <c r="C56" s="3" t="s">
        <v>82</v>
      </c>
      <c r="D56" s="26">
        <v>0</v>
      </c>
      <c r="E56" s="16"/>
      <c r="F56" s="6"/>
      <c r="G56" s="6"/>
      <c r="H56" s="6"/>
      <c r="I56" s="26">
        <f t="shared" si="0"/>
        <v>0</v>
      </c>
      <c r="K56" s="3" t="s">
        <v>10</v>
      </c>
    </row>
    <row r="57" spans="2:11" hidden="1">
      <c r="B57"/>
      <c r="C57" s="27" t="s">
        <v>83</v>
      </c>
      <c r="D57" s="26">
        <v>0</v>
      </c>
      <c r="E57" s="16"/>
      <c r="F57" s="6"/>
      <c r="G57" s="6"/>
      <c r="H57" s="6"/>
      <c r="I57" s="26">
        <f t="shared" si="0"/>
        <v>0</v>
      </c>
      <c r="K57" s="3" t="s">
        <v>10</v>
      </c>
    </row>
    <row r="58" spans="2:11" hidden="1">
      <c r="B58"/>
      <c r="C58" s="27" t="s">
        <v>92</v>
      </c>
      <c r="D58" s="26">
        <v>0</v>
      </c>
      <c r="E58" s="16"/>
      <c r="F58" s="6"/>
      <c r="G58" s="6"/>
      <c r="H58" s="6"/>
      <c r="I58" s="26">
        <f t="shared" si="0"/>
        <v>0</v>
      </c>
      <c r="K58" s="3" t="s">
        <v>10</v>
      </c>
    </row>
    <row r="59" spans="2:11" hidden="1">
      <c r="B59"/>
      <c r="C59" s="3" t="s">
        <v>84</v>
      </c>
      <c r="D59" s="26">
        <v>0</v>
      </c>
      <c r="E59" s="16"/>
      <c r="F59" s="6"/>
      <c r="G59" s="6"/>
      <c r="H59" s="6"/>
      <c r="I59" s="26">
        <f t="shared" si="0"/>
        <v>0</v>
      </c>
      <c r="K59" s="3" t="s">
        <v>10</v>
      </c>
    </row>
    <row r="60" spans="2:11" hidden="1">
      <c r="B60"/>
      <c r="C60" s="3" t="s">
        <v>95</v>
      </c>
      <c r="D60" s="26">
        <v>0</v>
      </c>
      <c r="E60" s="16"/>
      <c r="F60" s="6"/>
      <c r="G60" s="6"/>
      <c r="H60" s="6"/>
      <c r="I60" s="26">
        <f t="shared" si="0"/>
        <v>0</v>
      </c>
      <c r="K60" s="3" t="s">
        <v>10</v>
      </c>
    </row>
    <row r="61" spans="2:11" hidden="1">
      <c r="B61"/>
      <c r="C61" s="3" t="s">
        <v>85</v>
      </c>
      <c r="D61" s="26">
        <v>0</v>
      </c>
      <c r="E61" s="16"/>
      <c r="F61" s="6"/>
      <c r="G61" s="6"/>
      <c r="H61" s="6"/>
      <c r="I61" s="26">
        <f t="shared" si="0"/>
        <v>0</v>
      </c>
      <c r="K61" s="3" t="s">
        <v>10</v>
      </c>
    </row>
    <row r="62" spans="2:11" hidden="1">
      <c r="B62"/>
      <c r="C62" s="3" t="s">
        <v>86</v>
      </c>
      <c r="D62" s="26">
        <v>0</v>
      </c>
      <c r="E62" s="16"/>
      <c r="F62" s="6"/>
      <c r="G62" s="6"/>
      <c r="H62" s="6"/>
      <c r="I62" s="26">
        <f t="shared" si="0"/>
        <v>0</v>
      </c>
      <c r="K62" s="3" t="s">
        <v>10</v>
      </c>
    </row>
    <row r="63" spans="2:11" hidden="1">
      <c r="B63"/>
      <c r="C63" s="3" t="s">
        <v>94</v>
      </c>
      <c r="D63" s="26">
        <v>0</v>
      </c>
      <c r="E63" s="16"/>
      <c r="F63" s="6"/>
      <c r="G63" s="6"/>
      <c r="H63" s="6"/>
      <c r="I63" s="26">
        <f t="shared" si="0"/>
        <v>0</v>
      </c>
      <c r="K63" s="3" t="s">
        <v>10</v>
      </c>
    </row>
    <row r="64" spans="2:11" hidden="1">
      <c r="B64"/>
      <c r="C64" s="27" t="s">
        <v>87</v>
      </c>
      <c r="D64" s="26">
        <v>0</v>
      </c>
      <c r="E64" s="16"/>
      <c r="F64" s="6"/>
      <c r="G64" s="6"/>
      <c r="H64" s="6"/>
      <c r="I64" s="26">
        <f t="shared" si="0"/>
        <v>0</v>
      </c>
      <c r="K64" s="3" t="s">
        <v>10</v>
      </c>
    </row>
    <row r="65" spans="1:16" hidden="1">
      <c r="B65"/>
      <c r="C65" s="3" t="s">
        <v>93</v>
      </c>
      <c r="D65" s="26">
        <v>0</v>
      </c>
      <c r="E65" s="16"/>
      <c r="F65" s="6"/>
      <c r="G65" s="6"/>
      <c r="H65" s="6"/>
      <c r="I65" s="26">
        <f t="shared" si="0"/>
        <v>0</v>
      </c>
      <c r="K65" s="3" t="s">
        <v>10</v>
      </c>
    </row>
    <row r="66" spans="1:16" ht="11.25" thickBot="1">
      <c r="B66"/>
      <c r="C66" s="27"/>
      <c r="D66" s="26"/>
      <c r="E66" s="16"/>
      <c r="F66" s="6"/>
      <c r="G66" s="6"/>
      <c r="H66" s="6"/>
      <c r="I66" s="26"/>
    </row>
    <row r="67" spans="1:16" hidden="1">
      <c r="B67" s="22" t="s">
        <v>64</v>
      </c>
      <c r="C67" s="27"/>
      <c r="D67" s="26"/>
      <c r="E67" s="16"/>
      <c r="F67" s="6"/>
      <c r="G67" s="6"/>
      <c r="H67" s="6"/>
      <c r="I67" s="26"/>
    </row>
    <row r="68" spans="1:16" ht="11.25" hidden="1" thickBot="1">
      <c r="B68"/>
      <c r="C68" s="3" t="s">
        <v>96</v>
      </c>
      <c r="D68" s="26">
        <v>0</v>
      </c>
      <c r="E68" s="16"/>
      <c r="F68" s="6"/>
      <c r="G68" s="6"/>
      <c r="H68" s="6"/>
      <c r="I68" s="26">
        <f>IF(K68="Post Merger",D68,0)</f>
        <v>0</v>
      </c>
      <c r="K68" s="3" t="s">
        <v>10</v>
      </c>
    </row>
    <row r="69" spans="1:16" ht="11.25" thickBot="1">
      <c r="B69"/>
      <c r="D69" s="16"/>
      <c r="E69" s="16"/>
      <c r="F69" s="6"/>
      <c r="G69" s="6"/>
      <c r="H69" s="6"/>
      <c r="I69" s="6"/>
      <c r="K69" s="36">
        <v>0</v>
      </c>
      <c r="L69" s="24" t="s">
        <v>40</v>
      </c>
      <c r="M69" s="37">
        <v>0</v>
      </c>
    </row>
    <row r="70" spans="1:16">
      <c r="B70"/>
      <c r="C70" t="s">
        <v>115</v>
      </c>
      <c r="D70" s="26">
        <v>64563900.119999997</v>
      </c>
      <c r="E70" s="16"/>
      <c r="F70" s="6"/>
      <c r="G70" s="6"/>
      <c r="H70" s="6"/>
      <c r="I70" s="26">
        <f>D70</f>
        <v>64563900.119999997</v>
      </c>
    </row>
    <row r="71" spans="1:16" ht="11.25" thickBot="1">
      <c r="B71" s="40" t="s">
        <v>65</v>
      </c>
      <c r="C71" s="14"/>
      <c r="D71" s="11" t="s">
        <v>14</v>
      </c>
      <c r="E71" s="14" t="s">
        <v>13</v>
      </c>
      <c r="F71" s="11" t="s">
        <v>14</v>
      </c>
      <c r="G71" s="11" t="s">
        <v>14</v>
      </c>
      <c r="H71" s="11" t="s">
        <v>14</v>
      </c>
      <c r="I71" s="11" t="s">
        <v>14</v>
      </c>
    </row>
    <row r="72" spans="1:16" ht="11.25" thickBot="1">
      <c r="B72" s="3" t="s">
        <v>28</v>
      </c>
      <c r="C72"/>
      <c r="D72" s="26">
        <f>SUM(D38:D70)</f>
        <v>158883148.22</v>
      </c>
      <c r="E72" s="16"/>
      <c r="F72" s="26">
        <f>SUM(F38:F70)</f>
        <v>0</v>
      </c>
      <c r="G72" s="26">
        <f>SUM(G38:G70)</f>
        <v>0</v>
      </c>
      <c r="H72" s="26">
        <f>SUM(H38:H70)</f>
        <v>0</v>
      </c>
      <c r="I72" s="26">
        <f>SUM(I38:I70)</f>
        <v>158883148.22</v>
      </c>
      <c r="K72" s="36"/>
      <c r="L72" s="24" t="s">
        <v>40</v>
      </c>
      <c r="M72" s="37">
        <f>D72-SUM(F72:I72)</f>
        <v>0</v>
      </c>
    </row>
    <row r="73" spans="1:16">
      <c r="B73" s="3" t="s">
        <v>116</v>
      </c>
      <c r="D73" s="26">
        <v>660565.66</v>
      </c>
      <c r="E73" s="16"/>
      <c r="F73" s="14"/>
      <c r="H73" s="26"/>
      <c r="I73" s="26">
        <f>D73</f>
        <v>660565.66</v>
      </c>
      <c r="J73"/>
      <c r="K73"/>
      <c r="L73"/>
      <c r="M73"/>
    </row>
    <row r="74" spans="1:16">
      <c r="B74" s="3" t="s">
        <v>29</v>
      </c>
      <c r="C74"/>
      <c r="D74" s="26">
        <v>0</v>
      </c>
      <c r="E74" s="16"/>
      <c r="F74" s="26"/>
      <c r="G74" s="26"/>
      <c r="H74" s="26">
        <f>D74</f>
        <v>0</v>
      </c>
      <c r="I74" s="6"/>
    </row>
    <row r="75" spans="1:16" ht="11.25" thickBot="1">
      <c r="D75" s="11" t="s">
        <v>14</v>
      </c>
      <c r="E75" s="14" t="s">
        <v>13</v>
      </c>
      <c r="F75" s="11" t="s">
        <v>14</v>
      </c>
      <c r="G75" s="11" t="s">
        <v>14</v>
      </c>
      <c r="H75" s="11" t="s">
        <v>14</v>
      </c>
      <c r="I75" s="11" t="s">
        <v>14</v>
      </c>
    </row>
    <row r="76" spans="1:16" ht="11.25" thickBot="1">
      <c r="A76" s="3" t="s">
        <v>30</v>
      </c>
      <c r="D76" s="26">
        <f>D72+D73+D74+D36+D27</f>
        <v>238262852.53</v>
      </c>
      <c r="E76" s="16"/>
      <c r="F76" s="26">
        <f>F72+F73+F74+F36+F27</f>
        <v>3046385.3751722323</v>
      </c>
      <c r="G76" s="26">
        <f>G72+G73+G74+G36+G27</f>
        <v>13584099.250561934</v>
      </c>
      <c r="H76" s="26">
        <f>H72+H73+H74+H36+H27</f>
        <v>0</v>
      </c>
      <c r="I76" s="26">
        <f>I72+I73+I74+I36+I27</f>
        <v>221632367.90426582</v>
      </c>
      <c r="K76" s="36">
        <v>0</v>
      </c>
      <c r="L76" s="24" t="s">
        <v>40</v>
      </c>
      <c r="M76" s="37">
        <f>D76-SUM(F76:I76)</f>
        <v>0</v>
      </c>
    </row>
    <row r="77" spans="1:16">
      <c r="D77" s="16"/>
      <c r="E77" s="16"/>
      <c r="F77" s="16"/>
      <c r="G77" s="16"/>
      <c r="H77" s="16"/>
      <c r="I77" s="16"/>
    </row>
    <row r="78" spans="1:16">
      <c r="D78" s="16"/>
      <c r="E78" s="16"/>
      <c r="F78" s="16"/>
      <c r="G78" s="16"/>
      <c r="H78" s="16"/>
      <c r="I78" s="16"/>
    </row>
    <row r="79" spans="1:16" ht="11.25">
      <c r="A79" s="3" t="s">
        <v>31</v>
      </c>
      <c r="F79" s="6"/>
      <c r="G79" s="6"/>
      <c r="H79" s="6"/>
      <c r="I79" s="6"/>
      <c r="N79" s="29" t="s">
        <v>60</v>
      </c>
      <c r="O79" s="32">
        <v>24999835.973468848</v>
      </c>
      <c r="P79" s="26"/>
    </row>
    <row r="80" spans="1:16" ht="11.25">
      <c r="F80" s="6"/>
      <c r="G80" s="6"/>
      <c r="H80" s="6"/>
      <c r="I80" s="6"/>
      <c r="N80" s="29" t="s">
        <v>61</v>
      </c>
      <c r="O80" s="32">
        <v>0</v>
      </c>
      <c r="P80" s="26"/>
    </row>
    <row r="81" spans="1:16" customFormat="1" ht="11.25">
      <c r="A81" s="3"/>
      <c r="B81" s="3" t="s">
        <v>32</v>
      </c>
      <c r="D81" s="26">
        <f>SUM(F81:I81)</f>
        <v>24999835.973468848</v>
      </c>
      <c r="E81" s="16"/>
      <c r="F81" s="26">
        <f>O79</f>
        <v>24999835.973468848</v>
      </c>
      <c r="G81" s="6"/>
      <c r="H81" s="6"/>
      <c r="I81" s="6"/>
      <c r="J81" s="3"/>
      <c r="K81" s="18"/>
      <c r="L81" s="3"/>
      <c r="M81" s="3"/>
      <c r="N81" s="29" t="s">
        <v>62</v>
      </c>
      <c r="O81" s="32">
        <v>83304574.000558719</v>
      </c>
      <c r="P81" s="38"/>
    </row>
    <row r="82" spans="1:16" ht="11.25" hidden="1">
      <c r="A82"/>
      <c r="B82"/>
      <c r="C82"/>
      <c r="D82"/>
      <c r="E82"/>
      <c r="F82"/>
      <c r="G82"/>
      <c r="H82"/>
      <c r="I82"/>
      <c r="J82"/>
      <c r="K82" s="23"/>
      <c r="L82"/>
      <c r="M82"/>
      <c r="N82" s="29" t="s">
        <v>91</v>
      </c>
      <c r="O82" s="32">
        <v>0</v>
      </c>
      <c r="P82" s="26"/>
    </row>
    <row r="83" spans="1:16" ht="12" thickBot="1">
      <c r="B83" s="3" t="s">
        <v>33</v>
      </c>
      <c r="C83"/>
      <c r="D83" s="26">
        <f>SUM(F83:I83)</f>
        <v>0</v>
      </c>
      <c r="E83" s="16"/>
      <c r="F83" s="26">
        <f>O80</f>
        <v>0</v>
      </c>
      <c r="G83" s="6"/>
      <c r="H83" s="6"/>
      <c r="I83" s="6"/>
      <c r="N83" s="29" t="s">
        <v>63</v>
      </c>
      <c r="O83" s="32">
        <v>1038267.1499999999</v>
      </c>
      <c r="P83" s="26"/>
    </row>
    <row r="84" spans="1:16" ht="11.25" hidden="1" thickBot="1">
      <c r="C84"/>
      <c r="D84" s="16"/>
      <c r="E84" s="16"/>
      <c r="F84" s="6"/>
      <c r="G84" s="6"/>
      <c r="H84" s="6"/>
      <c r="I84" s="6"/>
      <c r="O84" s="32">
        <f>SUM(O79:O83)</f>
        <v>109342677.12402758</v>
      </c>
      <c r="P84" s="26"/>
    </row>
    <row r="85" spans="1:16" ht="11.25" thickBot="1">
      <c r="B85" s="3" t="s">
        <v>10</v>
      </c>
      <c r="C85"/>
      <c r="D85" s="26">
        <f>D90-(D81+D83+D87)</f>
        <v>84342841.02653116</v>
      </c>
      <c r="E85" s="16"/>
      <c r="F85" s="17"/>
      <c r="G85" s="6"/>
      <c r="H85" s="6"/>
      <c r="I85" s="26">
        <f>D85</f>
        <v>84342841.02653116</v>
      </c>
      <c r="N85" s="47" t="s">
        <v>40</v>
      </c>
      <c r="O85" s="37">
        <v>0</v>
      </c>
      <c r="P85" s="46"/>
    </row>
    <row r="86" spans="1:16" hidden="1">
      <c r="F86" s="6"/>
      <c r="G86" s="6"/>
      <c r="H86" s="6"/>
      <c r="I86" s="6"/>
    </row>
    <row r="87" spans="1:16" customFormat="1">
      <c r="A87" s="3"/>
      <c r="B87" t="s">
        <v>34</v>
      </c>
      <c r="C87" s="3"/>
      <c r="D87" s="26">
        <v>0</v>
      </c>
      <c r="E87" s="16"/>
      <c r="F87" s="6"/>
      <c r="H87" s="26">
        <f>D87</f>
        <v>0</v>
      </c>
      <c r="I87" s="6"/>
      <c r="J87" s="3"/>
      <c r="K87" s="3"/>
      <c r="L87" s="3"/>
      <c r="M87" s="3"/>
      <c r="N87" s="27"/>
    </row>
    <row r="88" spans="1:16">
      <c r="A88"/>
      <c r="B88"/>
      <c r="C88"/>
      <c r="D88"/>
      <c r="E88"/>
      <c r="F88"/>
      <c r="G88"/>
      <c r="H88"/>
      <c r="I88"/>
      <c r="J88"/>
      <c r="K88"/>
      <c r="L88"/>
      <c r="M88"/>
    </row>
    <row r="89" spans="1:16" ht="11.25" thickBot="1">
      <c r="D89" s="11" t="s">
        <v>14</v>
      </c>
      <c r="E89" s="14" t="s">
        <v>13</v>
      </c>
      <c r="F89" s="11" t="s">
        <v>14</v>
      </c>
      <c r="G89" s="11" t="s">
        <v>14</v>
      </c>
      <c r="H89" s="11" t="s">
        <v>14</v>
      </c>
      <c r="I89" s="11" t="s">
        <v>14</v>
      </c>
    </row>
    <row r="90" spans="1:16" customFormat="1" ht="11.25" thickBot="1">
      <c r="A90" s="3" t="s">
        <v>35</v>
      </c>
      <c r="B90" s="3"/>
      <c r="C90" s="3"/>
      <c r="D90" s="26">
        <v>109342677</v>
      </c>
      <c r="E90" s="16"/>
      <c r="F90" s="26">
        <f>SUM(F81:F87)</f>
        <v>24999835.973468848</v>
      </c>
      <c r="G90" s="26">
        <f>SUM(G81:G87)</f>
        <v>0</v>
      </c>
      <c r="H90" s="26">
        <f>SUM(H81:H87)</f>
        <v>0</v>
      </c>
      <c r="I90" s="26">
        <f>SUM(I81:I87)</f>
        <v>84342841.02653116</v>
      </c>
      <c r="J90" s="3"/>
      <c r="K90" s="36">
        <f>D90-(D81+D83+D85+D87)</f>
        <v>0</v>
      </c>
      <c r="L90" s="24" t="s">
        <v>40</v>
      </c>
      <c r="M90" s="37">
        <f>D90-SUM(F90:I90)</f>
        <v>0</v>
      </c>
      <c r="N90" s="27"/>
    </row>
    <row r="91" spans="1:16" customFormat="1">
      <c r="A91" s="3"/>
      <c r="B91" s="3"/>
      <c r="C91" s="3"/>
      <c r="D91" s="3"/>
      <c r="E91" s="3"/>
      <c r="G91" s="3"/>
      <c r="H91" s="3"/>
      <c r="I91" s="3"/>
      <c r="N91" s="27"/>
    </row>
    <row r="92" spans="1:16" customFormat="1">
      <c r="A92" s="3" t="s">
        <v>36</v>
      </c>
      <c r="B92" s="3"/>
      <c r="C92" s="3"/>
      <c r="D92" s="3"/>
      <c r="E92" s="3"/>
      <c r="G92" s="3"/>
      <c r="H92" s="3"/>
      <c r="I92" s="3"/>
      <c r="N92" s="27"/>
    </row>
    <row r="93" spans="1:16" customFormat="1" hidden="1">
      <c r="A93" s="3"/>
      <c r="B93" s="16" t="s">
        <v>98</v>
      </c>
      <c r="C93" s="3"/>
      <c r="D93" s="26">
        <v>0</v>
      </c>
      <c r="E93" s="16"/>
      <c r="G93" s="3"/>
      <c r="H93" s="26">
        <f t="shared" ref="H93:H107" si="1">D93</f>
        <v>0</v>
      </c>
      <c r="I93" s="2"/>
      <c r="N93" s="27"/>
    </row>
    <row r="94" spans="1:16" customFormat="1" hidden="1">
      <c r="A94" s="3"/>
      <c r="B94" s="16" t="s">
        <v>99</v>
      </c>
      <c r="C94" s="3"/>
      <c r="D94" s="26">
        <v>0</v>
      </c>
      <c r="E94" s="16"/>
      <c r="G94" s="3"/>
      <c r="H94" s="26">
        <f t="shared" si="1"/>
        <v>0</v>
      </c>
      <c r="I94" s="2"/>
      <c r="N94" s="27"/>
    </row>
    <row r="95" spans="1:16" customFormat="1">
      <c r="A95" s="3"/>
      <c r="B95" s="16" t="s">
        <v>100</v>
      </c>
      <c r="C95" s="3"/>
      <c r="D95" s="26">
        <v>7998996.7300000004</v>
      </c>
      <c r="E95" s="16"/>
      <c r="G95" s="3"/>
      <c r="H95" s="26">
        <f t="shared" si="1"/>
        <v>7998996.7300000004</v>
      </c>
      <c r="I95" s="2"/>
      <c r="N95" s="27"/>
    </row>
    <row r="96" spans="1:16" customFormat="1" hidden="1">
      <c r="A96" s="3"/>
      <c r="B96" s="16" t="s">
        <v>101</v>
      </c>
      <c r="C96" s="3"/>
      <c r="D96" s="26">
        <v>0</v>
      </c>
      <c r="E96" s="16"/>
      <c r="G96" s="3"/>
      <c r="H96" s="26">
        <f t="shared" si="1"/>
        <v>0</v>
      </c>
      <c r="I96" s="2"/>
      <c r="N96" s="27"/>
    </row>
    <row r="97" spans="1:14" customFormat="1">
      <c r="A97" s="3"/>
      <c r="B97" s="16" t="s">
        <v>66</v>
      </c>
      <c r="C97" s="3"/>
      <c r="D97" s="26">
        <v>53394140.890000001</v>
      </c>
      <c r="E97" s="16"/>
      <c r="G97" s="3"/>
      <c r="H97" s="26">
        <f t="shared" si="1"/>
        <v>53394140.890000001</v>
      </c>
      <c r="I97" s="2"/>
      <c r="N97" s="27"/>
    </row>
    <row r="98" spans="1:14" customFormat="1" hidden="1">
      <c r="A98" s="3"/>
      <c r="B98" s="16" t="s">
        <v>47</v>
      </c>
      <c r="C98" s="3"/>
      <c r="D98" s="26">
        <v>0</v>
      </c>
      <c r="E98" s="16"/>
      <c r="G98" s="3"/>
      <c r="H98" s="26">
        <f t="shared" si="1"/>
        <v>0</v>
      </c>
      <c r="I98" s="2"/>
      <c r="N98" s="27"/>
    </row>
    <row r="99" spans="1:14" customFormat="1" hidden="1">
      <c r="A99" s="3"/>
      <c r="B99" s="16" t="s">
        <v>102</v>
      </c>
      <c r="C99" s="3"/>
      <c r="D99" s="26">
        <v>0</v>
      </c>
      <c r="E99" s="16"/>
      <c r="G99" s="3"/>
      <c r="H99" s="26">
        <f t="shared" si="1"/>
        <v>0</v>
      </c>
      <c r="I99" s="2"/>
      <c r="N99" s="27"/>
    </row>
    <row r="100" spans="1:14" customFormat="1" hidden="1">
      <c r="A100" s="3"/>
      <c r="B100" s="16" t="s">
        <v>103</v>
      </c>
      <c r="C100" s="3"/>
      <c r="D100" s="26">
        <v>0</v>
      </c>
      <c r="E100" s="16"/>
      <c r="G100" s="3"/>
      <c r="H100" s="26">
        <f t="shared" si="1"/>
        <v>0</v>
      </c>
      <c r="I100" s="2"/>
      <c r="N100" s="27"/>
    </row>
    <row r="101" spans="1:14" customFormat="1" hidden="1">
      <c r="A101" s="3"/>
      <c r="B101" s="16" t="s">
        <v>104</v>
      </c>
      <c r="C101" s="3"/>
      <c r="D101" s="26">
        <v>0</v>
      </c>
      <c r="E101" s="16"/>
      <c r="G101" s="3"/>
      <c r="H101" s="26">
        <f t="shared" si="1"/>
        <v>0</v>
      </c>
      <c r="I101" s="2"/>
      <c r="N101" s="27"/>
    </row>
    <row r="102" spans="1:14" customFormat="1" hidden="1">
      <c r="A102" s="3"/>
      <c r="B102" s="16" t="s">
        <v>105</v>
      </c>
      <c r="C102" s="3"/>
      <c r="D102" s="26">
        <v>0</v>
      </c>
      <c r="E102" s="16"/>
      <c r="F102" s="14"/>
      <c r="G102" s="3"/>
      <c r="H102" s="26">
        <f t="shared" si="1"/>
        <v>0</v>
      </c>
      <c r="I102" s="2"/>
      <c r="N102" s="27"/>
    </row>
    <row r="103" spans="1:14" customFormat="1">
      <c r="A103" s="3"/>
      <c r="B103" s="16" t="s">
        <v>106</v>
      </c>
      <c r="C103" s="3"/>
      <c r="D103" s="26">
        <v>43615684.850000001</v>
      </c>
      <c r="E103" s="16"/>
      <c r="F103" s="14"/>
      <c r="G103" s="3"/>
      <c r="H103" s="26">
        <f t="shared" si="1"/>
        <v>43615684.850000001</v>
      </c>
      <c r="I103" s="2"/>
      <c r="N103" s="27"/>
    </row>
    <row r="104" spans="1:14" customFormat="1" hidden="1">
      <c r="A104" s="3"/>
      <c r="B104" s="16" t="s">
        <v>107</v>
      </c>
      <c r="C104" s="3"/>
      <c r="D104" s="26">
        <v>0</v>
      </c>
      <c r="E104" s="16"/>
      <c r="F104" s="14"/>
      <c r="G104" s="3"/>
      <c r="H104" s="26">
        <f t="shared" si="1"/>
        <v>0</v>
      </c>
      <c r="I104" s="2"/>
      <c r="N104" s="27"/>
    </row>
    <row r="105" spans="1:14" customFormat="1" hidden="1">
      <c r="A105" s="3"/>
      <c r="B105" s="16" t="s">
        <v>108</v>
      </c>
      <c r="C105" s="3"/>
      <c r="D105" s="26">
        <v>0</v>
      </c>
      <c r="E105" s="16"/>
      <c r="F105" s="14"/>
      <c r="G105" s="3"/>
      <c r="H105" s="26">
        <f t="shared" si="1"/>
        <v>0</v>
      </c>
      <c r="I105" s="2"/>
      <c r="N105" s="27"/>
    </row>
    <row r="106" spans="1:14" customFormat="1">
      <c r="A106" s="3"/>
      <c r="B106" s="16" t="s">
        <v>109</v>
      </c>
      <c r="C106" s="3"/>
      <c r="D106" s="26">
        <v>195944041.56</v>
      </c>
      <c r="E106" s="16"/>
      <c r="F106" s="14"/>
      <c r="G106" s="3"/>
      <c r="H106" s="26">
        <f t="shared" si="1"/>
        <v>195944041.56</v>
      </c>
      <c r="I106" s="2"/>
      <c r="N106" s="27"/>
    </row>
    <row r="107" spans="1:14" customFormat="1" hidden="1">
      <c r="A107" s="3"/>
      <c r="B107" s="16" t="s">
        <v>110</v>
      </c>
      <c r="C107" s="3"/>
      <c r="D107" s="26">
        <v>0</v>
      </c>
      <c r="E107" s="16"/>
      <c r="F107" s="14"/>
      <c r="G107" s="3"/>
      <c r="H107" s="26">
        <f t="shared" si="1"/>
        <v>0</v>
      </c>
      <c r="I107" s="2"/>
      <c r="N107" s="27"/>
    </row>
    <row r="108" spans="1:14" customFormat="1" hidden="1">
      <c r="A108" s="3"/>
      <c r="B108" s="16"/>
      <c r="C108" s="3"/>
      <c r="D108" s="26"/>
      <c r="E108" s="16"/>
      <c r="F108" s="14"/>
      <c r="G108" s="3"/>
      <c r="H108" s="26"/>
      <c r="I108" s="2"/>
      <c r="N108" s="27"/>
    </row>
    <row r="109" spans="1:14" customFormat="1" hidden="1">
      <c r="A109" s="3"/>
      <c r="B109" s="16" t="s">
        <v>111</v>
      </c>
      <c r="C109" s="3"/>
      <c r="D109" s="26">
        <v>0</v>
      </c>
      <c r="E109" s="16"/>
      <c r="F109" s="14"/>
      <c r="G109" s="3"/>
      <c r="H109" s="26">
        <f>D109</f>
        <v>0</v>
      </c>
      <c r="I109" s="2"/>
      <c r="N109" s="27"/>
    </row>
    <row r="110" spans="1:14" customFormat="1" hidden="1">
      <c r="A110" s="3"/>
      <c r="B110" s="16" t="s">
        <v>112</v>
      </c>
      <c r="C110" s="3"/>
      <c r="D110" s="26">
        <v>0</v>
      </c>
      <c r="E110" s="16"/>
      <c r="F110" s="14"/>
      <c r="G110" s="3"/>
      <c r="H110" s="26">
        <f>D110</f>
        <v>0</v>
      </c>
      <c r="I110" s="2"/>
      <c r="N110" s="27"/>
    </row>
    <row r="111" spans="1:14" customFormat="1" hidden="1">
      <c r="A111" s="3"/>
      <c r="B111" s="16" t="s">
        <v>113</v>
      </c>
      <c r="C111" s="3"/>
      <c r="D111" s="26">
        <v>0</v>
      </c>
      <c r="E111" s="16"/>
      <c r="F111" s="14"/>
      <c r="G111" s="3"/>
      <c r="H111" s="26">
        <f>D111</f>
        <v>0</v>
      </c>
      <c r="I111" s="2"/>
      <c r="N111" s="27"/>
    </row>
    <row r="112" spans="1:14" customFormat="1" hidden="1">
      <c r="A112" s="3"/>
      <c r="B112" s="16"/>
      <c r="C112" s="3"/>
      <c r="D112" s="26"/>
      <c r="E112" s="16"/>
      <c r="F112" s="14"/>
      <c r="G112" s="3"/>
      <c r="H112" s="26"/>
      <c r="I112" s="2"/>
      <c r="N112" s="27"/>
    </row>
    <row r="113" spans="1:14" customFormat="1" hidden="1">
      <c r="A113" s="3"/>
      <c r="B113" s="16" t="s">
        <v>114</v>
      </c>
      <c r="C113" s="3"/>
      <c r="D113" s="26">
        <v>0</v>
      </c>
      <c r="E113" s="16"/>
      <c r="F113" s="14"/>
      <c r="G113" s="3"/>
      <c r="H113" s="26">
        <f>D113</f>
        <v>0</v>
      </c>
      <c r="I113" s="2"/>
      <c r="N113" s="27"/>
    </row>
    <row r="114" spans="1:14" customFormat="1" ht="11.25" thickBot="1">
      <c r="A114" s="3"/>
      <c r="B114" s="3"/>
      <c r="C114" s="3"/>
      <c r="D114" s="11" t="s">
        <v>14</v>
      </c>
      <c r="E114" s="14" t="s">
        <v>13</v>
      </c>
      <c r="F114" s="11" t="s">
        <v>14</v>
      </c>
      <c r="G114" s="11" t="s">
        <v>14</v>
      </c>
      <c r="H114" s="11" t="s">
        <v>14</v>
      </c>
      <c r="I114" s="11" t="s">
        <v>14</v>
      </c>
      <c r="N114" s="27"/>
    </row>
    <row r="115" spans="1:14" customFormat="1" ht="11.25" thickBot="1">
      <c r="A115" s="3" t="s">
        <v>37</v>
      </c>
      <c r="B115" s="3"/>
      <c r="C115" s="3"/>
      <c r="D115" s="26">
        <f>SUM(D93:D113)</f>
        <v>300952864.02999997</v>
      </c>
      <c r="E115" s="16"/>
      <c r="F115" s="26">
        <f>SUM(F92:F113)</f>
        <v>0</v>
      </c>
      <c r="G115" s="26">
        <f>SUM(G92:G113)</f>
        <v>0</v>
      </c>
      <c r="H115" s="26">
        <f>SUM(H92:H113)</f>
        <v>300952864.02999997</v>
      </c>
      <c r="I115" s="26">
        <f>SUM(I92:I105)</f>
        <v>0</v>
      </c>
      <c r="K115" s="36">
        <v>0</v>
      </c>
      <c r="L115" s="24" t="s">
        <v>40</v>
      </c>
      <c r="M115" s="37">
        <f>D115-SUM(F115:I115)</f>
        <v>0</v>
      </c>
      <c r="N115" s="27"/>
    </row>
    <row r="116" spans="1:14" customFormat="1">
      <c r="A116" s="3"/>
      <c r="B116" s="3"/>
      <c r="C116" s="3"/>
      <c r="D116" s="7"/>
      <c r="E116" s="16"/>
      <c r="F116" s="16"/>
      <c r="G116" s="16"/>
      <c r="H116" s="16"/>
      <c r="I116" s="16"/>
      <c r="N116" s="27"/>
    </row>
    <row r="117" spans="1:14" customFormat="1">
      <c r="A117" s="3" t="s">
        <v>43</v>
      </c>
      <c r="B117" s="3"/>
      <c r="C117" s="3"/>
      <c r="D117" s="7"/>
      <c r="E117" s="16"/>
      <c r="F117" s="16"/>
      <c r="G117" s="16"/>
      <c r="H117" s="16"/>
      <c r="I117" s="16"/>
      <c r="N117" s="27"/>
    </row>
    <row r="118" spans="1:14" customFormat="1">
      <c r="A118" s="3"/>
      <c r="B118" s="16" t="s">
        <v>97</v>
      </c>
      <c r="C118" s="3"/>
      <c r="D118" s="26">
        <v>0</v>
      </c>
      <c r="E118" s="16"/>
      <c r="F118" s="14"/>
      <c r="G118" s="3"/>
      <c r="H118" s="26">
        <f>D118</f>
        <v>0</v>
      </c>
      <c r="I118" s="2"/>
      <c r="N118" s="27"/>
    </row>
    <row r="119" spans="1:14">
      <c r="D119" s="11" t="s">
        <v>14</v>
      </c>
      <c r="E119" s="14" t="s">
        <v>13</v>
      </c>
      <c r="F119" s="11" t="s">
        <v>14</v>
      </c>
      <c r="G119" s="11" t="s">
        <v>14</v>
      </c>
      <c r="H119" s="11" t="s">
        <v>14</v>
      </c>
      <c r="I119" s="11" t="s">
        <v>14</v>
      </c>
    </row>
    <row r="120" spans="1:14">
      <c r="A120" s="3" t="s">
        <v>44</v>
      </c>
      <c r="D120" s="26">
        <v>0</v>
      </c>
      <c r="E120" s="16"/>
      <c r="F120" s="26">
        <f>SUM(F118:F118)</f>
        <v>0</v>
      </c>
      <c r="G120" s="26">
        <f>SUM(G118:G118)</f>
        <v>0</v>
      </c>
      <c r="H120" s="26">
        <f>SUM(H118:H118)</f>
        <v>0</v>
      </c>
      <c r="I120" s="26">
        <f>SUM(I118:I118)</f>
        <v>0</v>
      </c>
    </row>
    <row r="121" spans="1:14" ht="11.25" thickBot="1">
      <c r="D121" s="19" t="s">
        <v>38</v>
      </c>
      <c r="E121" s="14" t="s">
        <v>13</v>
      </c>
      <c r="F121" s="19" t="s">
        <v>38</v>
      </c>
      <c r="G121" s="19" t="s">
        <v>38</v>
      </c>
      <c r="H121" s="19" t="s">
        <v>38</v>
      </c>
      <c r="I121" s="19" t="s">
        <v>38</v>
      </c>
    </row>
    <row r="122" spans="1:14" ht="11.25" thickBot="1">
      <c r="A122" s="3" t="s">
        <v>39</v>
      </c>
      <c r="D122" s="26">
        <f>D115+D90+D76+D120-D16</f>
        <v>580833890.45999992</v>
      </c>
      <c r="E122" s="16" t="s">
        <v>13</v>
      </c>
      <c r="F122" s="26">
        <f>F115+F90+F76+F120-F16</f>
        <v>15081421.348641079</v>
      </c>
      <c r="G122" s="26">
        <f>G115+G90+G76+G120-G16</f>
        <v>13584099.250561934</v>
      </c>
      <c r="H122" s="26">
        <f>H115+H90+H76+H120-H16</f>
        <v>300952864.02999997</v>
      </c>
      <c r="I122" s="26">
        <f>I115+I90+I76+I120-I16</f>
        <v>251215505.83079699</v>
      </c>
      <c r="K122" s="36">
        <v>0</v>
      </c>
      <c r="L122" s="24" t="s">
        <v>40</v>
      </c>
      <c r="M122" s="37">
        <f>D122-SUM(F122:I122)</f>
        <v>0</v>
      </c>
    </row>
    <row r="123" spans="1:14">
      <c r="D123" s="19" t="s">
        <v>38</v>
      </c>
      <c r="E123" s="14" t="s">
        <v>13</v>
      </c>
      <c r="F123" s="19" t="s">
        <v>38</v>
      </c>
      <c r="G123" s="19" t="s">
        <v>38</v>
      </c>
      <c r="H123" s="19" t="s">
        <v>38</v>
      </c>
      <c r="I123" s="19" t="s">
        <v>38</v>
      </c>
    </row>
  </sheetData>
  <mergeCells count="1">
    <mergeCell ref="A4:C4"/>
  </mergeCells>
  <pageMargins left="0.65" right="0.72" top="1" bottom="1" header="0.5" footer="0.5"/>
  <pageSetup scale="67" orientation="portrait" r:id="rId1"/>
  <headerFooter alignWithMargins="0">
    <oddHeader>&amp;L&amp;"Arial,Regular"&amp;10WA UE-130043
Bench Request 9&amp;R&amp;"Arial,Bold"&amp;10Attachment Bench Request 9</oddHeader>
    <oddFooter>&amp;L&amp;"Arial,Regular"&amp;10&amp;F&amp;C&amp;A</oddFooter>
  </headerFooter>
  <rowBreaks count="1" manualBreakCount="1">
    <brk id="69" max="8" man="1"/>
  </rowBreaks>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7">
    <pageSetUpPr fitToPage="1"/>
  </sheetPr>
  <dimension ref="A1:K50"/>
  <sheetViews>
    <sheetView view="pageBreakPreview" zoomScale="85" zoomScaleNormal="100" zoomScaleSheetLayoutView="85" workbookViewId="0">
      <selection activeCell="T91" sqref="T91"/>
    </sheetView>
  </sheetViews>
  <sheetFormatPr defaultRowHeight="12.75"/>
  <cols>
    <col min="1" max="1" width="4.83203125" style="275" customWidth="1"/>
    <col min="2" max="2" width="8" style="275" customWidth="1"/>
    <col min="3" max="3" width="32.83203125" style="275" customWidth="1"/>
    <col min="4" max="4" width="12.33203125" style="275" customWidth="1"/>
    <col min="5" max="5" width="9.33203125" style="276"/>
    <col min="6" max="6" width="17" style="106" customWidth="1"/>
    <col min="7" max="7" width="9.33203125" style="276"/>
    <col min="8" max="8" width="12" style="276" bestFit="1" customWidth="1"/>
    <col min="9" max="9" width="15.33203125" style="276" bestFit="1" customWidth="1"/>
    <col min="10" max="16384" width="9.33203125" style="275"/>
  </cols>
  <sheetData>
    <row r="1" spans="1:10">
      <c r="A1" s="274" t="s">
        <v>118</v>
      </c>
      <c r="B1" s="274"/>
      <c r="I1" s="277" t="s">
        <v>272</v>
      </c>
      <c r="J1" s="296" t="s">
        <v>372</v>
      </c>
    </row>
    <row r="2" spans="1:10">
      <c r="A2" s="274" t="s">
        <v>255</v>
      </c>
      <c r="B2" s="274"/>
    </row>
    <row r="3" spans="1:10">
      <c r="A3" s="274" t="s">
        <v>328</v>
      </c>
      <c r="B3" s="274"/>
    </row>
    <row r="5" spans="1:10">
      <c r="F5" s="105" t="s">
        <v>274</v>
      </c>
      <c r="I5" s="276" t="s">
        <v>126</v>
      </c>
    </row>
    <row r="6" spans="1:10" ht="15">
      <c r="D6" s="279" t="s">
        <v>275</v>
      </c>
      <c r="E6" s="279" t="s">
        <v>276</v>
      </c>
      <c r="F6" s="280" t="s">
        <v>277</v>
      </c>
      <c r="G6" s="279" t="s">
        <v>278</v>
      </c>
      <c r="H6" s="279" t="s">
        <v>134</v>
      </c>
      <c r="I6" s="279" t="s">
        <v>279</v>
      </c>
      <c r="J6" s="279" t="s">
        <v>280</v>
      </c>
    </row>
    <row r="7" spans="1:10" ht="15">
      <c r="B7" s="274" t="s">
        <v>281</v>
      </c>
      <c r="C7" s="281"/>
      <c r="D7" s="279"/>
      <c r="E7" s="279"/>
      <c r="F7" s="280"/>
      <c r="G7" s="279"/>
      <c r="H7" s="279"/>
      <c r="I7" s="279"/>
      <c r="J7" s="279"/>
    </row>
    <row r="8" spans="1:10" ht="15">
      <c r="B8" s="274"/>
      <c r="C8" s="281"/>
      <c r="D8" s="279"/>
      <c r="E8" s="279"/>
      <c r="F8" s="280"/>
      <c r="G8" s="279"/>
      <c r="H8" s="279"/>
      <c r="I8" s="279"/>
      <c r="J8" s="279"/>
    </row>
    <row r="9" spans="1:10">
      <c r="B9" s="274" t="s">
        <v>137</v>
      </c>
      <c r="C9" s="281"/>
    </row>
    <row r="10" spans="1:10">
      <c r="B10" s="281" t="s">
        <v>138</v>
      </c>
      <c r="C10" s="281"/>
      <c r="D10" s="282" t="s">
        <v>139</v>
      </c>
      <c r="E10" s="283" t="s">
        <v>286</v>
      </c>
      <c r="F10" s="106">
        <f>'9.1 - Summary '!BS15</f>
        <v>0</v>
      </c>
      <c r="G10" s="276" t="s">
        <v>140</v>
      </c>
      <c r="H10" s="284">
        <v>0.2262649010137</v>
      </c>
      <c r="I10" s="276">
        <f>F10*H10</f>
        <v>0</v>
      </c>
      <c r="J10" s="276"/>
    </row>
    <row r="11" spans="1:10">
      <c r="B11" s="281" t="s">
        <v>141</v>
      </c>
      <c r="C11" s="281"/>
      <c r="D11" s="282" t="s">
        <v>139</v>
      </c>
      <c r="E11" s="283" t="s">
        <v>286</v>
      </c>
      <c r="F11" s="106">
        <f>'9.1 - Summary '!BS16</f>
        <v>0</v>
      </c>
      <c r="G11" s="276" t="s">
        <v>140</v>
      </c>
      <c r="H11" s="284">
        <v>0.2262649010137</v>
      </c>
      <c r="I11" s="276">
        <f t="shared" ref="I11:I12" si="0">F11*H11</f>
        <v>0</v>
      </c>
      <c r="J11" s="276"/>
    </row>
    <row r="12" spans="1:10">
      <c r="B12" s="281" t="s">
        <v>142</v>
      </c>
      <c r="C12" s="281"/>
      <c r="D12" s="282" t="s">
        <v>139</v>
      </c>
      <c r="E12" s="283" t="s">
        <v>286</v>
      </c>
      <c r="F12" s="106">
        <f>'9.1 - Summary '!BS17</f>
        <v>0</v>
      </c>
      <c r="G12" s="276" t="s">
        <v>143</v>
      </c>
      <c r="H12" s="284">
        <v>0.22648067236840891</v>
      </c>
      <c r="I12" s="276">
        <f t="shared" si="0"/>
        <v>0</v>
      </c>
    </row>
    <row r="13" spans="1:10">
      <c r="B13" s="281" t="s">
        <v>144</v>
      </c>
      <c r="C13" s="281"/>
      <c r="D13" s="282"/>
      <c r="E13" s="283"/>
      <c r="F13" s="285">
        <f>SUM(F10:F12)</f>
        <v>0</v>
      </c>
      <c r="H13" s="284"/>
      <c r="I13" s="285">
        <f>SUM(I10:I12)</f>
        <v>0</v>
      </c>
      <c r="J13" s="282" t="s">
        <v>357</v>
      </c>
    </row>
    <row r="14" spans="1:10">
      <c r="B14" s="281"/>
      <c r="C14" s="286"/>
      <c r="D14" s="282"/>
      <c r="E14" s="283"/>
      <c r="H14" s="284"/>
    </row>
    <row r="15" spans="1:10">
      <c r="B15" s="274" t="s">
        <v>145</v>
      </c>
      <c r="C15" s="286"/>
      <c r="D15" s="282"/>
      <c r="E15" s="283"/>
      <c r="H15" s="284"/>
    </row>
    <row r="16" spans="1:10">
      <c r="B16" s="281" t="s">
        <v>146</v>
      </c>
      <c r="C16" s="286"/>
      <c r="D16" s="282" t="s">
        <v>147</v>
      </c>
      <c r="E16" s="283" t="s">
        <v>286</v>
      </c>
      <c r="F16" s="106">
        <f>'9.1 - Summary '!BS21</f>
        <v>0</v>
      </c>
      <c r="G16" s="276" t="s">
        <v>140</v>
      </c>
      <c r="H16" s="284">
        <v>0.2262649010137</v>
      </c>
      <c r="I16" s="276">
        <f t="shared" ref="I16:I20" si="1">F16*H16</f>
        <v>0</v>
      </c>
      <c r="J16" s="276"/>
    </row>
    <row r="17" spans="2:10">
      <c r="B17" s="281" t="s">
        <v>148</v>
      </c>
      <c r="C17" s="286"/>
      <c r="D17" s="282" t="s">
        <v>147</v>
      </c>
      <c r="E17" s="283" t="s">
        <v>286</v>
      </c>
      <c r="F17" s="106">
        <f>'9.1 - Summary '!BS22</f>
        <v>0</v>
      </c>
      <c r="G17" s="276" t="s">
        <v>143</v>
      </c>
      <c r="H17" s="284">
        <v>0.22648067236840891</v>
      </c>
      <c r="I17" s="276">
        <f t="shared" si="1"/>
        <v>0</v>
      </c>
      <c r="J17" s="276"/>
    </row>
    <row r="18" spans="2:10">
      <c r="B18" s="281" t="s">
        <v>149</v>
      </c>
      <c r="C18" s="286"/>
      <c r="D18" s="282" t="s">
        <v>147</v>
      </c>
      <c r="E18" s="283" t="s">
        <v>286</v>
      </c>
      <c r="F18" s="106">
        <f>'9.1 - Summary '!BS23</f>
        <v>0</v>
      </c>
      <c r="G18" s="276" t="s">
        <v>140</v>
      </c>
      <c r="H18" s="284">
        <v>0.2262649010137</v>
      </c>
      <c r="I18" s="276">
        <f t="shared" si="1"/>
        <v>0</v>
      </c>
      <c r="J18" s="276"/>
    </row>
    <row r="19" spans="2:10">
      <c r="B19" s="281" t="s">
        <v>150</v>
      </c>
      <c r="C19" s="286"/>
      <c r="D19" s="282" t="s">
        <v>147</v>
      </c>
      <c r="E19" s="283" t="s">
        <v>286</v>
      </c>
      <c r="F19" s="106">
        <f>'9.1 - Summary '!BS24</f>
        <v>0</v>
      </c>
      <c r="G19" s="276" t="s">
        <v>140</v>
      </c>
      <c r="H19" s="284">
        <v>0.2262649010137</v>
      </c>
      <c r="I19" s="276">
        <f t="shared" si="1"/>
        <v>0</v>
      </c>
      <c r="J19" s="276"/>
    </row>
    <row r="20" spans="2:10">
      <c r="B20" s="281" t="s">
        <v>151</v>
      </c>
      <c r="C20" s="281"/>
      <c r="D20" s="282" t="s">
        <v>147</v>
      </c>
      <c r="E20" s="283" t="s">
        <v>286</v>
      </c>
      <c r="F20" s="106">
        <f>'9.1 - Summary '!BS25</f>
        <v>0</v>
      </c>
      <c r="G20" s="276" t="s">
        <v>140</v>
      </c>
      <c r="H20" s="284">
        <v>0.2262649010137</v>
      </c>
      <c r="I20" s="276">
        <f t="shared" si="1"/>
        <v>0</v>
      </c>
    </row>
    <row r="21" spans="2:10">
      <c r="B21" s="281" t="s">
        <v>152</v>
      </c>
      <c r="C21" s="281"/>
      <c r="D21" s="282"/>
      <c r="E21" s="283"/>
      <c r="F21" s="285">
        <f>SUM(F16:F20)</f>
        <v>0</v>
      </c>
      <c r="H21" s="284"/>
      <c r="I21" s="285">
        <f>SUM(I16:I20)</f>
        <v>0</v>
      </c>
      <c r="J21" s="282" t="s">
        <v>357</v>
      </c>
    </row>
    <row r="22" spans="2:10">
      <c r="B22" s="281"/>
      <c r="C22" s="281"/>
      <c r="D22" s="282"/>
      <c r="E22" s="283"/>
      <c r="H22" s="284"/>
    </row>
    <row r="23" spans="2:10">
      <c r="B23" s="274" t="s">
        <v>153</v>
      </c>
      <c r="C23" s="281"/>
      <c r="D23" s="282"/>
      <c r="E23" s="283"/>
      <c r="H23" s="284"/>
      <c r="J23" s="276"/>
    </row>
    <row r="24" spans="2:10">
      <c r="B24" s="281" t="s">
        <v>154</v>
      </c>
      <c r="C24" s="281"/>
      <c r="D24" s="282" t="s">
        <v>155</v>
      </c>
      <c r="E24" s="283" t="s">
        <v>286</v>
      </c>
      <c r="F24" s="106">
        <f>'9.1 - Summary '!BS29</f>
        <v>-568119.56377066672</v>
      </c>
      <c r="G24" s="276" t="s">
        <v>140</v>
      </c>
      <c r="H24" s="284">
        <v>0.2262649010137</v>
      </c>
      <c r="I24" s="276">
        <f t="shared" ref="I24:I26" si="2">F24*H24</f>
        <v>-128545.51686051633</v>
      </c>
      <c r="J24" s="276"/>
    </row>
    <row r="25" spans="2:10">
      <c r="B25" s="281" t="s">
        <v>156</v>
      </c>
      <c r="C25" s="286"/>
      <c r="D25" s="282" t="s">
        <v>155</v>
      </c>
      <c r="E25" s="283" t="s">
        <v>286</v>
      </c>
      <c r="F25" s="106">
        <f>'9.1 - Summary '!BS30</f>
        <v>-1367489.4362293482</v>
      </c>
      <c r="G25" s="276" t="s">
        <v>140</v>
      </c>
      <c r="H25" s="284">
        <v>0.2262649010137</v>
      </c>
      <c r="I25" s="276">
        <f t="shared" si="2"/>
        <v>-309414.86192571389</v>
      </c>
      <c r="J25" s="276"/>
    </row>
    <row r="26" spans="2:10">
      <c r="B26" s="281" t="s">
        <v>157</v>
      </c>
      <c r="C26" s="286"/>
      <c r="D26" s="282" t="s">
        <v>155</v>
      </c>
      <c r="E26" s="283" t="s">
        <v>286</v>
      </c>
      <c r="F26" s="106">
        <f>'9.1 - Summary '!BS31</f>
        <v>0</v>
      </c>
      <c r="G26" s="276" t="s">
        <v>143</v>
      </c>
      <c r="H26" s="284">
        <v>0.22648067236840891</v>
      </c>
      <c r="I26" s="276">
        <f t="shared" si="2"/>
        <v>0</v>
      </c>
      <c r="J26" s="276"/>
    </row>
    <row r="27" spans="2:10">
      <c r="B27" s="281" t="s">
        <v>158</v>
      </c>
      <c r="C27" s="281"/>
      <c r="D27" s="282"/>
      <c r="E27" s="283"/>
      <c r="F27" s="285">
        <f>SUM(F24:F26)</f>
        <v>-1935609.0000000149</v>
      </c>
      <c r="H27" s="284"/>
      <c r="I27" s="285">
        <f>SUM(I24:I26)</f>
        <v>-437960.37878623023</v>
      </c>
      <c r="J27" s="282" t="s">
        <v>357</v>
      </c>
    </row>
    <row r="28" spans="2:10">
      <c r="B28" s="281"/>
      <c r="C28" s="281"/>
      <c r="D28" s="282"/>
      <c r="E28" s="283"/>
      <c r="H28" s="284"/>
    </row>
    <row r="29" spans="2:10">
      <c r="B29" s="274" t="s">
        <v>159</v>
      </c>
      <c r="C29" s="274"/>
      <c r="D29" s="282"/>
      <c r="E29" s="283"/>
      <c r="H29" s="284"/>
      <c r="J29" s="276"/>
    </row>
    <row r="30" spans="2:10">
      <c r="B30" s="281" t="s">
        <v>160</v>
      </c>
      <c r="C30" s="274"/>
      <c r="D30" s="282" t="s">
        <v>161</v>
      </c>
      <c r="E30" s="283" t="s">
        <v>286</v>
      </c>
      <c r="F30" s="106">
        <f>'9.1 - Summary '!BS35</f>
        <v>0</v>
      </c>
      <c r="G30" s="276" t="s">
        <v>143</v>
      </c>
      <c r="H30" s="284">
        <v>0.22648067236840891</v>
      </c>
      <c r="I30" s="276">
        <f t="shared" ref="I30:I31" si="3">F30*H30</f>
        <v>0</v>
      </c>
      <c r="J30" s="276"/>
    </row>
    <row r="31" spans="2:10">
      <c r="B31" s="281" t="s">
        <v>162</v>
      </c>
      <c r="C31" s="274"/>
      <c r="D31" s="282" t="s">
        <v>163</v>
      </c>
      <c r="E31" s="283" t="s">
        <v>286</v>
      </c>
      <c r="F31" s="106">
        <f>'9.1 - Summary '!BS36</f>
        <v>0</v>
      </c>
      <c r="G31" s="276" t="s">
        <v>143</v>
      </c>
      <c r="H31" s="284">
        <v>0.22648067236840891</v>
      </c>
      <c r="I31" s="276">
        <f t="shared" si="3"/>
        <v>0</v>
      </c>
    </row>
    <row r="32" spans="2:10">
      <c r="B32" s="281" t="s">
        <v>164</v>
      </c>
      <c r="C32" s="274"/>
      <c r="D32" s="282"/>
      <c r="E32" s="283"/>
      <c r="F32" s="285">
        <f>SUM(F30:F31)</f>
        <v>0</v>
      </c>
      <c r="H32" s="287"/>
      <c r="I32" s="285">
        <f>SUM(I30:I31)</f>
        <v>0</v>
      </c>
      <c r="J32" s="282" t="s">
        <v>357</v>
      </c>
    </row>
    <row r="33" spans="1:11">
      <c r="B33" s="291"/>
      <c r="C33" s="274"/>
      <c r="D33" s="282"/>
      <c r="E33" s="283"/>
      <c r="H33" s="287"/>
      <c r="I33" s="106"/>
      <c r="J33" s="276"/>
    </row>
    <row r="34" spans="1:11">
      <c r="B34" s="288" t="s">
        <v>284</v>
      </c>
      <c r="C34" s="274"/>
      <c r="D34" s="282"/>
      <c r="E34" s="283"/>
      <c r="F34" s="285">
        <f>-F13+F21+F27+F32</f>
        <v>-1935609.0000000149</v>
      </c>
      <c r="H34" s="287"/>
      <c r="I34" s="285">
        <f>-I13+I21+I27+I32</f>
        <v>-437960.37878623023</v>
      </c>
      <c r="J34" s="276"/>
    </row>
    <row r="35" spans="1:11">
      <c r="C35" s="274"/>
      <c r="F35" s="289"/>
      <c r="J35" s="276"/>
    </row>
    <row r="36" spans="1:11">
      <c r="C36" s="274"/>
      <c r="F36" s="289"/>
      <c r="J36" s="276"/>
    </row>
    <row r="37" spans="1:11">
      <c r="C37" s="274"/>
      <c r="F37" s="289"/>
      <c r="J37" s="276"/>
    </row>
    <row r="42" spans="1:11" ht="13.5" thickBot="1">
      <c r="B42" s="290" t="s">
        <v>283</v>
      </c>
    </row>
    <row r="43" spans="1:11" ht="12.75" customHeight="1">
      <c r="A43" s="359" t="s">
        <v>413</v>
      </c>
      <c r="B43" s="360"/>
      <c r="C43" s="360"/>
      <c r="D43" s="360"/>
      <c r="E43" s="360"/>
      <c r="F43" s="360"/>
      <c r="G43" s="360"/>
      <c r="H43" s="360"/>
      <c r="I43" s="360"/>
      <c r="J43" s="361"/>
      <c r="K43" s="292"/>
    </row>
    <row r="44" spans="1:11">
      <c r="A44" s="362"/>
      <c r="B44" s="363"/>
      <c r="C44" s="363"/>
      <c r="D44" s="363"/>
      <c r="E44" s="363"/>
      <c r="F44" s="363"/>
      <c r="G44" s="363"/>
      <c r="H44" s="363"/>
      <c r="I44" s="363"/>
      <c r="J44" s="364"/>
      <c r="K44" s="292"/>
    </row>
    <row r="45" spans="1:11">
      <c r="A45" s="362"/>
      <c r="B45" s="363"/>
      <c r="C45" s="363"/>
      <c r="D45" s="363"/>
      <c r="E45" s="363"/>
      <c r="F45" s="363"/>
      <c r="G45" s="363"/>
      <c r="H45" s="363"/>
      <c r="I45" s="363"/>
      <c r="J45" s="364"/>
      <c r="K45" s="292"/>
    </row>
    <row r="46" spans="1:11">
      <c r="A46" s="362"/>
      <c r="B46" s="363"/>
      <c r="C46" s="363"/>
      <c r="D46" s="363"/>
      <c r="E46" s="363"/>
      <c r="F46" s="363"/>
      <c r="G46" s="363"/>
      <c r="H46" s="363"/>
      <c r="I46" s="363"/>
      <c r="J46" s="364"/>
      <c r="K46" s="292"/>
    </row>
    <row r="47" spans="1:11">
      <c r="A47" s="362"/>
      <c r="B47" s="363"/>
      <c r="C47" s="363"/>
      <c r="D47" s="363"/>
      <c r="E47" s="363"/>
      <c r="F47" s="363"/>
      <c r="G47" s="363"/>
      <c r="H47" s="363"/>
      <c r="I47" s="363"/>
      <c r="J47" s="364"/>
      <c r="K47" s="292"/>
    </row>
    <row r="48" spans="1:11">
      <c r="A48" s="362"/>
      <c r="B48" s="363"/>
      <c r="C48" s="363"/>
      <c r="D48" s="363"/>
      <c r="E48" s="363"/>
      <c r="F48" s="363"/>
      <c r="G48" s="363"/>
      <c r="H48" s="363"/>
      <c r="I48" s="363"/>
      <c r="J48" s="364"/>
      <c r="K48" s="292"/>
    </row>
    <row r="49" spans="1:11">
      <c r="A49" s="362"/>
      <c r="B49" s="363"/>
      <c r="C49" s="363"/>
      <c r="D49" s="363"/>
      <c r="E49" s="363"/>
      <c r="F49" s="363"/>
      <c r="G49" s="363"/>
      <c r="H49" s="363"/>
      <c r="I49" s="363"/>
      <c r="J49" s="364"/>
      <c r="K49" s="292"/>
    </row>
    <row r="50" spans="1:11" ht="13.5" thickBot="1">
      <c r="A50" s="365"/>
      <c r="B50" s="366"/>
      <c r="C50" s="366"/>
      <c r="D50" s="366"/>
      <c r="E50" s="366"/>
      <c r="F50" s="366"/>
      <c r="G50" s="366"/>
      <c r="H50" s="366"/>
      <c r="I50" s="366"/>
      <c r="J50" s="367"/>
      <c r="K50" s="292"/>
    </row>
  </sheetData>
  <mergeCells count="1">
    <mergeCell ref="A43:J50"/>
  </mergeCells>
  <conditionalFormatting sqref="B9:B26">
    <cfRule type="cellIs" dxfId="14" priority="3" stopIfTrue="1" operator="equal">
      <formula>"Adjustment to Income/Expense/Rate Base:"</formula>
    </cfRule>
  </conditionalFormatting>
  <conditionalFormatting sqref="B20:B22">
    <cfRule type="cellIs" dxfId="13" priority="2" stopIfTrue="1" operator="equal">
      <formula>"Title"</formula>
    </cfRule>
  </conditionalFormatting>
  <conditionalFormatting sqref="B27:B34">
    <cfRule type="cellIs" dxfId="12" priority="1" stopIfTrue="1" operator="equal">
      <formula>"Adjustment to Income/Expense/Rate Base:"</formula>
    </cfRule>
  </conditionalFormatting>
  <pageMargins left="0.65" right="0.72" top="1" bottom="1" header="0.5" footer="0.5"/>
  <pageSetup scale="77" orientation="portrait" r:id="rId1"/>
  <headerFooter alignWithMargins="0">
    <oddHeader>&amp;L&amp;"Arial,Regular"&amp;10WA UE-130043
Bench Request 9&amp;R&amp;"Arial,Bold"&amp;10Attachment Bench Request 9</oddHeader>
    <oddFooter>&amp;L&amp;"Arial,Regular"&amp;10&amp;F&amp;C&amp;A</oddFooter>
  </headerFooter>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pageSetUpPr fitToPage="1"/>
  </sheetPr>
  <dimension ref="A1:S123"/>
  <sheetViews>
    <sheetView view="pageBreakPreview" zoomScale="85" zoomScaleNormal="85" zoomScaleSheetLayoutView="85" workbookViewId="0">
      <pane xSplit="3" ySplit="6" topLeftCell="D7" activePane="bottomRight" state="frozen"/>
      <selection activeCell="T91" sqref="T91"/>
      <selection pane="topRight" activeCell="T91" sqref="T91"/>
      <selection pane="bottomLeft" activeCell="T91" sqref="T91"/>
      <selection pane="bottomRight" activeCell="T91" sqref="T91"/>
    </sheetView>
  </sheetViews>
  <sheetFormatPr defaultColWidth="11" defaultRowHeight="10.5"/>
  <cols>
    <col min="1" max="1" width="3" style="3" customWidth="1"/>
    <col min="2" max="2" width="2.6640625" style="3" customWidth="1"/>
    <col min="3" max="3" width="33.1640625" style="3" customWidth="1"/>
    <col min="4" max="4" width="13.83203125" style="3" customWidth="1"/>
    <col min="5" max="5" width="2.33203125" style="3" customWidth="1"/>
    <col min="6" max="6" width="15.83203125" style="3" customWidth="1"/>
    <col min="7" max="8" width="13.33203125" style="3" bestFit="1" customWidth="1"/>
    <col min="9" max="9" width="13.83203125" style="3" bestFit="1" customWidth="1"/>
    <col min="10" max="10" width="11" style="3" customWidth="1"/>
    <col min="11" max="11" width="14.5" style="3" customWidth="1"/>
    <col min="12" max="12" width="11" style="3" customWidth="1"/>
    <col min="13" max="13" width="14.1640625" style="3" bestFit="1" customWidth="1"/>
    <col min="14" max="14" width="20.1640625" style="27" bestFit="1" customWidth="1"/>
    <col min="15" max="15" width="15" style="3" bestFit="1" customWidth="1"/>
    <col min="16" max="16" width="14.6640625" style="3" bestFit="1" customWidth="1"/>
    <col min="17" max="16384" width="11" style="3"/>
  </cols>
  <sheetData>
    <row r="1" spans="1:14">
      <c r="A1" s="4" t="s">
        <v>118</v>
      </c>
      <c r="D1"/>
      <c r="E1" s="9"/>
      <c r="F1" s="8" t="s">
        <v>42</v>
      </c>
    </row>
    <row r="2" spans="1:14">
      <c r="A2" s="20"/>
      <c r="D2"/>
      <c r="E2" s="9"/>
      <c r="F2" s="9" t="s">
        <v>0</v>
      </c>
      <c r="K2" s="50"/>
    </row>
    <row r="3" spans="1:14">
      <c r="A3" s="5" t="s">
        <v>52</v>
      </c>
      <c r="D3" s="10"/>
      <c r="E3" s="10"/>
      <c r="F3" s="8" t="s">
        <v>1</v>
      </c>
    </row>
    <row r="4" spans="1:14">
      <c r="A4" s="358">
        <v>41974</v>
      </c>
      <c r="B4" s="358"/>
      <c r="C4" s="358"/>
      <c r="D4" s="10"/>
      <c r="E4" s="10"/>
      <c r="F4" s="9"/>
    </row>
    <row r="5" spans="1:14">
      <c r="B5" s="5"/>
      <c r="D5" s="11" t="s">
        <v>2</v>
      </c>
      <c r="E5" s="11"/>
      <c r="F5" s="12" t="s">
        <v>3</v>
      </c>
      <c r="G5" s="12" t="s">
        <v>3</v>
      </c>
      <c r="H5" s="12"/>
      <c r="I5" s="12"/>
    </row>
    <row r="6" spans="1:14" s="11" customFormat="1">
      <c r="A6" s="3"/>
      <c r="B6" s="3"/>
      <c r="C6" s="3"/>
      <c r="D6" s="41" t="s">
        <v>117</v>
      </c>
      <c r="E6" s="15"/>
      <c r="F6" s="13" t="s">
        <v>4</v>
      </c>
      <c r="G6" s="13" t="s">
        <v>5</v>
      </c>
      <c r="H6" s="13" t="s">
        <v>6</v>
      </c>
      <c r="I6" s="13" t="s">
        <v>7</v>
      </c>
      <c r="N6" s="28"/>
    </row>
    <row r="7" spans="1:14">
      <c r="A7" s="3" t="s">
        <v>8</v>
      </c>
      <c r="F7" s="6"/>
      <c r="G7" s="6"/>
      <c r="H7" s="6"/>
      <c r="I7" s="6"/>
    </row>
    <row r="8" spans="1:14">
      <c r="B8" t="s">
        <v>9</v>
      </c>
      <c r="D8" s="26">
        <v>12964800</v>
      </c>
      <c r="E8" s="16"/>
      <c r="F8" s="26">
        <f>D8</f>
        <v>12964800</v>
      </c>
      <c r="G8"/>
      <c r="H8"/>
      <c r="I8"/>
    </row>
    <row r="9" spans="1:14" hidden="1">
      <c r="B9"/>
      <c r="D9" s="16"/>
      <c r="E9" s="16"/>
      <c r="F9" s="1"/>
      <c r="G9" s="6"/>
      <c r="H9" s="6"/>
      <c r="I9" s="6"/>
    </row>
    <row r="10" spans="1:14">
      <c r="B10" t="s">
        <v>10</v>
      </c>
      <c r="D10" s="26">
        <v>60863806.75</v>
      </c>
      <c r="E10" s="16"/>
      <c r="F10" s="1"/>
      <c r="G10" s="6"/>
      <c r="H10" s="6"/>
      <c r="I10" s="26">
        <f>D10</f>
        <v>60863806.75</v>
      </c>
    </row>
    <row r="11" spans="1:14" hidden="1">
      <c r="B11"/>
      <c r="D11" s="16"/>
      <c r="E11" s="16"/>
      <c r="F11" s="1"/>
      <c r="G11" s="6"/>
      <c r="H11" s="6"/>
      <c r="I11" s="6"/>
    </row>
    <row r="12" spans="1:14" hidden="1">
      <c r="B12" t="s">
        <v>11</v>
      </c>
      <c r="D12" s="26">
        <v>0</v>
      </c>
      <c r="E12" s="16"/>
      <c r="F12" s="26">
        <f>D12</f>
        <v>0</v>
      </c>
      <c r="G12" s="6"/>
      <c r="H12" s="6"/>
      <c r="I12" s="6"/>
    </row>
    <row r="13" spans="1:14" hidden="1">
      <c r="C13"/>
      <c r="D13" s="16"/>
      <c r="E13" s="16"/>
      <c r="F13" s="6"/>
      <c r="G13" s="6"/>
      <c r="H13" s="6"/>
      <c r="I13" s="6"/>
    </row>
    <row r="14" spans="1:14" hidden="1">
      <c r="B14" s="3" t="s">
        <v>12</v>
      </c>
      <c r="C14"/>
      <c r="D14" s="26">
        <v>0</v>
      </c>
      <c r="E14" s="16"/>
      <c r="F14" s="6"/>
      <c r="G14" s="6"/>
      <c r="H14" s="26">
        <f>D14</f>
        <v>0</v>
      </c>
      <c r="I14" s="6"/>
    </row>
    <row r="15" spans="1:14" ht="11.25" thickBot="1">
      <c r="D15" s="11" t="s">
        <v>14</v>
      </c>
      <c r="E15" s="14" t="s">
        <v>13</v>
      </c>
      <c r="F15" s="11" t="s">
        <v>14</v>
      </c>
      <c r="G15" s="11" t="s">
        <v>14</v>
      </c>
      <c r="H15" s="11" t="s">
        <v>14</v>
      </c>
      <c r="I15" s="11" t="s">
        <v>14</v>
      </c>
    </row>
    <row r="16" spans="1:14" ht="11.25" thickBot="1">
      <c r="A16" s="3" t="s">
        <v>15</v>
      </c>
      <c r="D16" s="26">
        <f>SUM(D8:D14)</f>
        <v>73828606.75</v>
      </c>
      <c r="E16" s="16"/>
      <c r="F16" s="26">
        <f>SUM(F8:F14)</f>
        <v>12964800</v>
      </c>
      <c r="G16" s="26">
        <f>SUM(G8:G14)</f>
        <v>0</v>
      </c>
      <c r="H16" s="26">
        <f>SUM(H8:H14)</f>
        <v>0</v>
      </c>
      <c r="I16" s="26">
        <f>SUM(I8:I14)</f>
        <v>60863806.75</v>
      </c>
      <c r="K16" s="36">
        <v>0</v>
      </c>
      <c r="L16" s="24" t="s">
        <v>40</v>
      </c>
      <c r="M16" s="37">
        <f>D16-SUM(F16:I16)</f>
        <v>0</v>
      </c>
    </row>
    <row r="17" spans="1:19">
      <c r="D17" s="16"/>
      <c r="E17" s="16"/>
      <c r="F17" s="16"/>
      <c r="G17" s="16"/>
      <c r="H17" s="16"/>
      <c r="I17" s="16"/>
      <c r="P17" s="8" t="s">
        <v>67</v>
      </c>
    </row>
    <row r="18" spans="1:19">
      <c r="D18"/>
      <c r="E18" s="6"/>
      <c r="F18" s="6"/>
      <c r="G18" s="6"/>
      <c r="H18" s="6"/>
      <c r="I18" s="6"/>
      <c r="N18" s="39"/>
      <c r="O18" s="35"/>
      <c r="P18" s="48">
        <f>+A4</f>
        <v>41974</v>
      </c>
    </row>
    <row r="19" spans="1:19" ht="11.25">
      <c r="A19" s="3" t="s">
        <v>16</v>
      </c>
      <c r="D19" s="16"/>
      <c r="E19" s="16"/>
      <c r="F19" s="45"/>
      <c r="G19" s="6"/>
      <c r="H19" s="6"/>
      <c r="I19" s="6"/>
      <c r="N19" s="29" t="s">
        <v>56</v>
      </c>
      <c r="O19" s="42">
        <v>0.42634034956164213</v>
      </c>
      <c r="P19" s="16">
        <v>14785516.07</v>
      </c>
      <c r="Q19" s="44"/>
      <c r="R19" s="30"/>
      <c r="S19" s="16"/>
    </row>
    <row r="20" spans="1:19" ht="11.25" hidden="1">
      <c r="B20"/>
      <c r="C20" s="3" t="s">
        <v>17</v>
      </c>
      <c r="D20" s="26">
        <v>0</v>
      </c>
      <c r="E20" s="16"/>
      <c r="F20" s="26">
        <f>D20</f>
        <v>0</v>
      </c>
      <c r="G20" s="6"/>
      <c r="H20" s="6"/>
      <c r="I20" s="6"/>
      <c r="N20" s="29" t="s">
        <v>58</v>
      </c>
      <c r="O20" s="42">
        <f>1-O19</f>
        <v>0.57365965043835787</v>
      </c>
      <c r="P20" s="16">
        <v>19894560.739999998</v>
      </c>
      <c r="Q20" s="44"/>
      <c r="R20" s="30"/>
      <c r="S20" s="16"/>
    </row>
    <row r="21" spans="1:19" ht="11.25" hidden="1">
      <c r="B21"/>
      <c r="C21" s="3" t="s">
        <v>18</v>
      </c>
      <c r="D21" s="26">
        <v>0</v>
      </c>
      <c r="E21" s="16"/>
      <c r="F21" s="26">
        <f>D21-G21</f>
        <v>0</v>
      </c>
      <c r="G21" s="26">
        <v>0</v>
      </c>
      <c r="H21" s="6"/>
      <c r="I21" s="6"/>
      <c r="N21" s="29" t="s">
        <v>57</v>
      </c>
      <c r="O21" s="42">
        <f>IFERROR(P21/(P21+P22),0)</f>
        <v>0</v>
      </c>
      <c r="P21" s="16">
        <v>0</v>
      </c>
      <c r="Q21" s="44"/>
      <c r="R21" s="30"/>
      <c r="S21" s="16"/>
    </row>
    <row r="22" spans="1:19" ht="11.25">
      <c r="B22"/>
      <c r="C22" s="3" t="s">
        <v>19</v>
      </c>
      <c r="D22" s="26">
        <v>-148246.80999999959</v>
      </c>
      <c r="E22" s="16"/>
      <c r="F22" s="26">
        <f>D22*0.3</f>
        <v>-44474.042999999874</v>
      </c>
      <c r="G22" s="26">
        <f>D22*0.7</f>
        <v>-103772.7669999997</v>
      </c>
      <c r="H22" s="6"/>
      <c r="I22" s="6"/>
      <c r="N22" s="29" t="s">
        <v>59</v>
      </c>
      <c r="O22" s="42">
        <f>1-O21</f>
        <v>1</v>
      </c>
      <c r="P22" s="16">
        <v>0</v>
      </c>
      <c r="Q22" s="44"/>
      <c r="R22" s="30"/>
      <c r="S22" s="16"/>
    </row>
    <row r="23" spans="1:19">
      <c r="B23"/>
      <c r="C23" s="3" t="s">
        <v>20</v>
      </c>
      <c r="D23" s="26">
        <v>270000</v>
      </c>
      <c r="E23" s="16"/>
      <c r="F23" s="26">
        <f>D23*0.2073628</f>
        <v>55987.956000000006</v>
      </c>
      <c r="G23" s="26">
        <f>D23-F23</f>
        <v>214012.04399999999</v>
      </c>
      <c r="H23" s="6"/>
      <c r="I23" s="6"/>
    </row>
    <row r="24" spans="1:19">
      <c r="B24"/>
      <c r="C24" s="3" t="s">
        <v>21</v>
      </c>
      <c r="D24" s="26">
        <f>N27</f>
        <v>76897305.959999993</v>
      </c>
      <c r="E24" s="16"/>
      <c r="F24" s="31">
        <f>(N25+N24*O19)*K24</f>
        <v>2517906.851172646</v>
      </c>
      <c r="G24" s="31">
        <f>(N25+N24*O19)*L24</f>
        <v>12267609.214563949</v>
      </c>
      <c r="H24" s="6"/>
      <c r="I24" s="31">
        <f>(N26+N24*O20)</f>
        <v>62111789.894263402</v>
      </c>
      <c r="K24" s="25">
        <v>0.17029549999999999</v>
      </c>
      <c r="L24" s="25">
        <f>1-K24</f>
        <v>0.82970450000000007</v>
      </c>
      <c r="N24" s="26">
        <v>34680076.799999997</v>
      </c>
      <c r="O24" t="s">
        <v>53</v>
      </c>
    </row>
    <row r="25" spans="1:19">
      <c r="B25"/>
      <c r="C25" s="49" t="s">
        <v>90</v>
      </c>
      <c r="D25" s="26">
        <v>0</v>
      </c>
      <c r="E25" s="16"/>
      <c r="F25" s="6"/>
      <c r="G25" s="26">
        <f>D25</f>
        <v>0</v>
      </c>
      <c r="H25" s="6"/>
      <c r="I25" s="26"/>
      <c r="N25" s="26">
        <v>0</v>
      </c>
      <c r="O25" t="s">
        <v>50</v>
      </c>
    </row>
    <row r="26" spans="1:19">
      <c r="B26" s="40" t="s">
        <v>65</v>
      </c>
      <c r="C26" s="14"/>
      <c r="D26" s="11" t="s">
        <v>14</v>
      </c>
      <c r="E26" s="14" t="s">
        <v>13</v>
      </c>
      <c r="F26" s="11" t="s">
        <v>14</v>
      </c>
      <c r="G26" s="11" t="s">
        <v>14</v>
      </c>
      <c r="H26" s="11" t="s">
        <v>14</v>
      </c>
      <c r="I26" s="11" t="s">
        <v>14</v>
      </c>
      <c r="K26" s="25"/>
      <c r="L26" s="25"/>
      <c r="N26" s="43">
        <v>42217229.159999996</v>
      </c>
      <c r="O26" t="s">
        <v>49</v>
      </c>
    </row>
    <row r="27" spans="1:19">
      <c r="B27" s="3" t="s">
        <v>22</v>
      </c>
      <c r="C27"/>
      <c r="D27" s="26">
        <f>SUM(D20:D26)</f>
        <v>77019059.149999991</v>
      </c>
      <c r="E27" s="16"/>
      <c r="F27" s="26">
        <f>SUM(F20:F26)</f>
        <v>2529420.7641726462</v>
      </c>
      <c r="G27" s="26">
        <f>SUM(G20:G26)</f>
        <v>12377848.49156395</v>
      </c>
      <c r="H27" s="26">
        <f>SUM(H20:H26)</f>
        <v>0</v>
      </c>
      <c r="I27" s="26">
        <f>SUM(I20:I26)</f>
        <v>62111789.894263402</v>
      </c>
      <c r="K27" s="25"/>
      <c r="L27" s="25"/>
      <c r="N27" s="26">
        <f>SUM(N24:N26)</f>
        <v>76897305.959999993</v>
      </c>
      <c r="O27"/>
    </row>
    <row r="28" spans="1:19" ht="12.75">
      <c r="D28" s="1"/>
      <c r="E28" s="16"/>
      <c r="F28" s="1"/>
      <c r="G28" s="1"/>
      <c r="H28" s="6"/>
      <c r="I28" s="6"/>
      <c r="K28" s="25"/>
      <c r="L28" s="25"/>
      <c r="N28" s="34"/>
      <c r="O28" s="32"/>
    </row>
    <row r="29" spans="1:19" hidden="1">
      <c r="B29"/>
      <c r="C29" s="3" t="s">
        <v>41</v>
      </c>
      <c r="D29" s="26">
        <v>0</v>
      </c>
      <c r="E29" s="16"/>
      <c r="F29" s="26"/>
      <c r="G29" s="26">
        <f>D29</f>
        <v>0</v>
      </c>
      <c r="H29" s="6"/>
      <c r="I29" s="6"/>
      <c r="K29" s="25"/>
      <c r="L29" s="25"/>
      <c r="N29" s="26">
        <v>0</v>
      </c>
      <c r="O29" t="s">
        <v>54</v>
      </c>
    </row>
    <row r="30" spans="1:19" hidden="1">
      <c r="B30"/>
      <c r="C30" s="3" t="s">
        <v>23</v>
      </c>
      <c r="D30" s="26">
        <v>0</v>
      </c>
      <c r="E30" s="16"/>
      <c r="F30" s="26"/>
      <c r="G30" s="26">
        <f>D30</f>
        <v>0</v>
      </c>
      <c r="H30" s="6"/>
      <c r="I30" s="6"/>
      <c r="K30" s="25"/>
      <c r="L30" s="25"/>
      <c r="M30" s="21"/>
      <c r="N30" s="26">
        <v>0</v>
      </c>
      <c r="O30" t="s">
        <v>51</v>
      </c>
    </row>
    <row r="31" spans="1:19" hidden="1">
      <c r="B31"/>
      <c r="C31" s="3" t="s">
        <v>24</v>
      </c>
      <c r="D31" s="26">
        <f>N32</f>
        <v>0</v>
      </c>
      <c r="E31" s="16"/>
      <c r="F31" s="31">
        <f>(N30+N29*O21)*K31</f>
        <v>0</v>
      </c>
      <c r="G31" s="31">
        <f>(N30+N29*O21)*L31</f>
        <v>0</v>
      </c>
      <c r="H31" s="6"/>
      <c r="I31" s="31">
        <f>(N31+N29*O22)</f>
        <v>0</v>
      </c>
      <c r="K31" s="25">
        <v>0.7</v>
      </c>
      <c r="L31" s="25">
        <f>1-K31</f>
        <v>0.30000000000000004</v>
      </c>
      <c r="N31" s="43">
        <v>0</v>
      </c>
      <c r="O31" t="s">
        <v>48</v>
      </c>
    </row>
    <row r="32" spans="1:19" hidden="1">
      <c r="B32"/>
      <c r="C32" s="3" t="s">
        <v>25</v>
      </c>
      <c r="D32" s="26">
        <v>0</v>
      </c>
      <c r="E32" s="16"/>
      <c r="F32" s="26">
        <f>D32</f>
        <v>0</v>
      </c>
      <c r="G32" s="26">
        <v>0</v>
      </c>
      <c r="H32" s="6"/>
      <c r="I32" s="6"/>
      <c r="N32" s="33">
        <f>SUM(N29:N31)</f>
        <v>0</v>
      </c>
      <c r="O32"/>
    </row>
    <row r="33" spans="2:18" hidden="1">
      <c r="B33"/>
      <c r="C33" s="3" t="s">
        <v>89</v>
      </c>
      <c r="D33" s="26">
        <v>0</v>
      </c>
      <c r="E33" s="16"/>
      <c r="F33" s="6"/>
      <c r="G33" s="26">
        <f>D33</f>
        <v>0</v>
      </c>
      <c r="H33" s="6"/>
      <c r="I33" s="6"/>
      <c r="N33" s="33"/>
      <c r="O33"/>
    </row>
    <row r="34" spans="2:18" hidden="1">
      <c r="B34"/>
      <c r="C34" s="3" t="s">
        <v>26</v>
      </c>
      <c r="D34" s="26">
        <v>0</v>
      </c>
      <c r="E34" s="16"/>
      <c r="F34" s="26">
        <v>0</v>
      </c>
      <c r="G34" s="26">
        <v>0</v>
      </c>
      <c r="H34" s="6"/>
      <c r="I34" s="6"/>
    </row>
    <row r="35" spans="2:18" hidden="1">
      <c r="B35" s="40" t="s">
        <v>65</v>
      </c>
      <c r="C35" s="14"/>
      <c r="D35" s="11" t="s">
        <v>14</v>
      </c>
      <c r="E35" s="14" t="s">
        <v>13</v>
      </c>
      <c r="F35" s="11" t="s">
        <v>14</v>
      </c>
      <c r="G35" s="11" t="s">
        <v>14</v>
      </c>
      <c r="H35" s="11" t="s">
        <v>14</v>
      </c>
      <c r="I35" s="11" t="s">
        <v>14</v>
      </c>
      <c r="R35" s="30"/>
    </row>
    <row r="36" spans="2:18" hidden="1">
      <c r="B36" s="3" t="s">
        <v>27</v>
      </c>
      <c r="C36"/>
      <c r="D36" s="26">
        <f>SUM(D29:D35)</f>
        <v>0</v>
      </c>
      <c r="E36" s="16"/>
      <c r="F36" s="26">
        <f>SUM(F29:F35)</f>
        <v>0</v>
      </c>
      <c r="G36" s="26">
        <f>SUM(G29:G35)</f>
        <v>0</v>
      </c>
      <c r="H36" s="26">
        <f>SUM(H29:H35)</f>
        <v>0</v>
      </c>
      <c r="I36" s="26">
        <f>SUM(I29:I35)</f>
        <v>0</v>
      </c>
    </row>
    <row r="37" spans="2:18">
      <c r="D37" s="16"/>
      <c r="E37" s="16"/>
      <c r="F37" s="6"/>
      <c r="G37" s="6"/>
      <c r="H37" s="6"/>
      <c r="I37" s="6"/>
      <c r="N37" s="3"/>
    </row>
    <row r="38" spans="2:18" hidden="1">
      <c r="B38"/>
      <c r="C38" s="3" t="s">
        <v>68</v>
      </c>
      <c r="D38" s="26">
        <v>0</v>
      </c>
      <c r="E38" s="16"/>
      <c r="F38" s="6"/>
      <c r="G38" s="6"/>
      <c r="H38" s="6"/>
      <c r="I38" s="26">
        <f t="shared" ref="I38:I65" si="0">IF(K38="Post Merger",D38,0)</f>
        <v>0</v>
      </c>
      <c r="K38" s="3" t="s">
        <v>10</v>
      </c>
    </row>
    <row r="39" spans="2:18" hidden="1">
      <c r="B39"/>
      <c r="C39" s="3" t="s">
        <v>55</v>
      </c>
      <c r="D39" s="26">
        <v>0</v>
      </c>
      <c r="E39" s="16"/>
      <c r="F39" s="6"/>
      <c r="G39" s="6"/>
      <c r="H39" s="6"/>
      <c r="I39" s="26">
        <f t="shared" si="0"/>
        <v>0</v>
      </c>
      <c r="K39" s="3" t="s">
        <v>10</v>
      </c>
    </row>
    <row r="40" spans="2:18" hidden="1">
      <c r="B40"/>
      <c r="C40" s="3" t="s">
        <v>69</v>
      </c>
      <c r="D40" s="26">
        <v>0</v>
      </c>
      <c r="E40" s="16"/>
      <c r="F40" s="6"/>
      <c r="G40" s="6"/>
      <c r="H40" s="6"/>
      <c r="I40" s="26">
        <f t="shared" si="0"/>
        <v>0</v>
      </c>
      <c r="K40" s="3" t="s">
        <v>10</v>
      </c>
    </row>
    <row r="41" spans="2:18" hidden="1">
      <c r="B41"/>
      <c r="C41" s="3" t="s">
        <v>88</v>
      </c>
      <c r="D41" s="26">
        <v>0</v>
      </c>
      <c r="E41" s="16"/>
      <c r="F41" s="6"/>
      <c r="G41" s="6"/>
      <c r="H41" s="6"/>
      <c r="I41" s="26">
        <f t="shared" si="0"/>
        <v>0</v>
      </c>
      <c r="K41" s="3" t="s">
        <v>10</v>
      </c>
    </row>
    <row r="42" spans="2:18" hidden="1">
      <c r="B42"/>
      <c r="C42" s="3" t="s">
        <v>70</v>
      </c>
      <c r="D42" s="26">
        <v>0</v>
      </c>
      <c r="E42" s="16"/>
      <c r="F42" s="6"/>
      <c r="G42" s="6"/>
      <c r="H42" s="6"/>
      <c r="I42" s="26">
        <f t="shared" si="0"/>
        <v>0</v>
      </c>
      <c r="K42" s="3" t="s">
        <v>10</v>
      </c>
    </row>
    <row r="43" spans="2:18">
      <c r="B43"/>
      <c r="C43" s="3" t="s">
        <v>71</v>
      </c>
      <c r="D43" s="26">
        <v>4575693.2</v>
      </c>
      <c r="E43" s="16"/>
      <c r="F43" s="6"/>
      <c r="G43" s="6"/>
      <c r="H43" s="6"/>
      <c r="I43" s="26">
        <f t="shared" si="0"/>
        <v>4575693.2</v>
      </c>
      <c r="K43" s="3" t="s">
        <v>10</v>
      </c>
    </row>
    <row r="44" spans="2:18" hidden="1">
      <c r="B44"/>
      <c r="C44" s="3" t="s">
        <v>72</v>
      </c>
      <c r="D44" s="26">
        <v>0</v>
      </c>
      <c r="E44" s="16"/>
      <c r="F44" s="6"/>
      <c r="G44" s="6"/>
      <c r="H44" s="6"/>
      <c r="I44" s="26">
        <f t="shared" si="0"/>
        <v>0</v>
      </c>
      <c r="K44" s="3" t="s">
        <v>10</v>
      </c>
    </row>
    <row r="45" spans="2:18">
      <c r="B45"/>
      <c r="C45" s="3" t="s">
        <v>46</v>
      </c>
      <c r="D45" s="26">
        <v>8005931.2199999997</v>
      </c>
      <c r="E45" s="16"/>
      <c r="F45" s="6"/>
      <c r="G45" s="6"/>
      <c r="H45" s="6"/>
      <c r="I45" s="26">
        <f t="shared" si="0"/>
        <v>8005931.2199999997</v>
      </c>
      <c r="K45" s="3" t="s">
        <v>10</v>
      </c>
    </row>
    <row r="46" spans="2:18">
      <c r="B46"/>
      <c r="C46" s="3" t="s">
        <v>73</v>
      </c>
      <c r="D46" s="26">
        <v>84152812.780000001</v>
      </c>
      <c r="E46" s="16"/>
      <c r="F46" s="6"/>
      <c r="G46" s="6"/>
      <c r="H46" s="6"/>
      <c r="I46" s="26">
        <f t="shared" si="0"/>
        <v>84152812.780000001</v>
      </c>
      <c r="K46" s="3" t="s">
        <v>10</v>
      </c>
    </row>
    <row r="47" spans="2:18" hidden="1">
      <c r="B47"/>
      <c r="C47" s="3" t="s">
        <v>74</v>
      </c>
      <c r="D47" s="26">
        <v>0</v>
      </c>
      <c r="E47" s="16"/>
      <c r="F47" s="6"/>
      <c r="G47" s="6"/>
      <c r="H47" s="6"/>
      <c r="I47" s="26">
        <f t="shared" si="0"/>
        <v>0</v>
      </c>
      <c r="K47" s="3" t="s">
        <v>10</v>
      </c>
    </row>
    <row r="48" spans="2:18" hidden="1">
      <c r="B48"/>
      <c r="C48" s="3" t="s">
        <v>75</v>
      </c>
      <c r="D48" s="26">
        <v>0</v>
      </c>
      <c r="E48" s="16"/>
      <c r="F48" s="6"/>
      <c r="G48" s="6"/>
      <c r="H48" s="6"/>
      <c r="I48" s="26">
        <f t="shared" si="0"/>
        <v>0</v>
      </c>
      <c r="K48" s="3" t="s">
        <v>10</v>
      </c>
    </row>
    <row r="49" spans="2:11" hidden="1">
      <c r="B49"/>
      <c r="C49" s="3" t="s">
        <v>45</v>
      </c>
      <c r="D49" s="26">
        <v>0</v>
      </c>
      <c r="E49" s="16"/>
      <c r="F49" s="6"/>
      <c r="G49" s="6"/>
      <c r="H49" s="6"/>
      <c r="I49" s="26">
        <f t="shared" si="0"/>
        <v>0</v>
      </c>
      <c r="K49" s="3" t="s">
        <v>10</v>
      </c>
    </row>
    <row r="50" spans="2:11" hidden="1">
      <c r="B50"/>
      <c r="C50" s="22" t="s">
        <v>76</v>
      </c>
      <c r="D50" s="26">
        <v>0</v>
      </c>
      <c r="E50" s="16"/>
      <c r="F50" s="6"/>
      <c r="G50" s="6"/>
      <c r="H50" s="6"/>
      <c r="I50" s="26">
        <f t="shared" si="0"/>
        <v>0</v>
      </c>
      <c r="K50" s="3" t="s">
        <v>10</v>
      </c>
    </row>
    <row r="51" spans="2:11" hidden="1">
      <c r="B51"/>
      <c r="C51" s="3" t="s">
        <v>77</v>
      </c>
      <c r="D51" s="26">
        <v>0</v>
      </c>
      <c r="E51" s="16"/>
      <c r="F51" s="6"/>
      <c r="G51" s="6"/>
      <c r="H51" s="6"/>
      <c r="I51" s="26">
        <f t="shared" si="0"/>
        <v>0</v>
      </c>
      <c r="K51" s="3" t="s">
        <v>10</v>
      </c>
    </row>
    <row r="52" spans="2:11" hidden="1">
      <c r="B52"/>
      <c r="C52" s="3" t="s">
        <v>78</v>
      </c>
      <c r="D52" s="26">
        <v>0</v>
      </c>
      <c r="E52" s="16"/>
      <c r="F52" s="6"/>
      <c r="G52" s="6"/>
      <c r="H52" s="6"/>
      <c r="I52" s="26">
        <f t="shared" si="0"/>
        <v>0</v>
      </c>
      <c r="K52" s="3" t="s">
        <v>10</v>
      </c>
    </row>
    <row r="53" spans="2:11" hidden="1">
      <c r="B53"/>
      <c r="C53" s="3" t="s">
        <v>79</v>
      </c>
      <c r="D53" s="26">
        <v>0</v>
      </c>
      <c r="E53" s="16"/>
      <c r="F53" s="6"/>
      <c r="G53" s="6"/>
      <c r="H53" s="6"/>
      <c r="I53" s="26">
        <f t="shared" si="0"/>
        <v>0</v>
      </c>
      <c r="K53" s="3" t="s">
        <v>10</v>
      </c>
    </row>
    <row r="54" spans="2:11" hidden="1">
      <c r="B54"/>
      <c r="C54" s="3" t="s">
        <v>80</v>
      </c>
      <c r="D54" s="26">
        <v>0</v>
      </c>
      <c r="E54" s="16"/>
      <c r="F54" s="6"/>
      <c r="G54" s="6"/>
      <c r="H54" s="6"/>
      <c r="I54" s="26">
        <f t="shared" si="0"/>
        <v>0</v>
      </c>
      <c r="K54" s="3" t="s">
        <v>10</v>
      </c>
    </row>
    <row r="55" spans="2:11" hidden="1">
      <c r="B55"/>
      <c r="C55" s="3" t="s">
        <v>81</v>
      </c>
      <c r="D55" s="26">
        <v>0</v>
      </c>
      <c r="E55" s="16"/>
      <c r="F55" s="6"/>
      <c r="G55" s="6"/>
      <c r="H55" s="6"/>
      <c r="I55" s="26">
        <f t="shared" si="0"/>
        <v>0</v>
      </c>
      <c r="K55" s="3" t="s">
        <v>10</v>
      </c>
    </row>
    <row r="56" spans="2:11" hidden="1">
      <c r="B56"/>
      <c r="C56" s="3" t="s">
        <v>82</v>
      </c>
      <c r="D56" s="26">
        <v>0</v>
      </c>
      <c r="E56" s="16"/>
      <c r="F56" s="6"/>
      <c r="G56" s="6"/>
      <c r="H56" s="6"/>
      <c r="I56" s="26">
        <f t="shared" si="0"/>
        <v>0</v>
      </c>
      <c r="K56" s="3" t="s">
        <v>10</v>
      </c>
    </row>
    <row r="57" spans="2:11" hidden="1">
      <c r="B57"/>
      <c r="C57" s="27" t="s">
        <v>83</v>
      </c>
      <c r="D57" s="26">
        <v>0</v>
      </c>
      <c r="E57" s="16"/>
      <c r="F57" s="6"/>
      <c r="G57" s="6"/>
      <c r="H57" s="6"/>
      <c r="I57" s="26">
        <f t="shared" si="0"/>
        <v>0</v>
      </c>
      <c r="K57" s="3" t="s">
        <v>10</v>
      </c>
    </row>
    <row r="58" spans="2:11" hidden="1">
      <c r="B58"/>
      <c r="C58" s="27" t="s">
        <v>92</v>
      </c>
      <c r="D58" s="26">
        <v>0</v>
      </c>
      <c r="E58" s="16"/>
      <c r="F58" s="6"/>
      <c r="G58" s="6"/>
      <c r="H58" s="6"/>
      <c r="I58" s="26">
        <f t="shared" si="0"/>
        <v>0</v>
      </c>
      <c r="K58" s="3" t="s">
        <v>10</v>
      </c>
    </row>
    <row r="59" spans="2:11" hidden="1">
      <c r="B59"/>
      <c r="C59" s="3" t="s">
        <v>84</v>
      </c>
      <c r="D59" s="26">
        <v>0</v>
      </c>
      <c r="E59" s="16"/>
      <c r="F59" s="6"/>
      <c r="G59" s="6"/>
      <c r="H59" s="6"/>
      <c r="I59" s="26">
        <f t="shared" si="0"/>
        <v>0</v>
      </c>
      <c r="K59" s="3" t="s">
        <v>10</v>
      </c>
    </row>
    <row r="60" spans="2:11" hidden="1">
      <c r="B60"/>
      <c r="C60" s="3" t="s">
        <v>95</v>
      </c>
      <c r="D60" s="26">
        <v>0</v>
      </c>
      <c r="E60" s="16"/>
      <c r="F60" s="6"/>
      <c r="G60" s="6"/>
      <c r="H60" s="6"/>
      <c r="I60" s="26">
        <f t="shared" si="0"/>
        <v>0</v>
      </c>
      <c r="K60" s="3" t="s">
        <v>10</v>
      </c>
    </row>
    <row r="61" spans="2:11" hidden="1">
      <c r="B61"/>
      <c r="C61" s="3" t="s">
        <v>85</v>
      </c>
      <c r="D61" s="26">
        <v>0</v>
      </c>
      <c r="E61" s="16"/>
      <c r="F61" s="6"/>
      <c r="G61" s="6"/>
      <c r="H61" s="6"/>
      <c r="I61" s="26">
        <f t="shared" si="0"/>
        <v>0</v>
      </c>
      <c r="K61" s="3" t="s">
        <v>10</v>
      </c>
    </row>
    <row r="62" spans="2:11" hidden="1">
      <c r="B62"/>
      <c r="C62" s="3" t="s">
        <v>86</v>
      </c>
      <c r="D62" s="26">
        <v>0</v>
      </c>
      <c r="E62" s="16"/>
      <c r="F62" s="6"/>
      <c r="G62" s="6"/>
      <c r="H62" s="6"/>
      <c r="I62" s="26">
        <f t="shared" si="0"/>
        <v>0</v>
      </c>
      <c r="K62" s="3" t="s">
        <v>10</v>
      </c>
    </row>
    <row r="63" spans="2:11" hidden="1">
      <c r="B63"/>
      <c r="C63" s="3" t="s">
        <v>94</v>
      </c>
      <c r="D63" s="26">
        <v>0</v>
      </c>
      <c r="E63" s="16"/>
      <c r="F63" s="6"/>
      <c r="G63" s="6"/>
      <c r="H63" s="6"/>
      <c r="I63" s="26">
        <f t="shared" si="0"/>
        <v>0</v>
      </c>
      <c r="K63" s="3" t="s">
        <v>10</v>
      </c>
    </row>
    <row r="64" spans="2:11" hidden="1">
      <c r="B64"/>
      <c r="C64" s="27" t="s">
        <v>87</v>
      </c>
      <c r="D64" s="26">
        <v>0</v>
      </c>
      <c r="E64" s="16"/>
      <c r="F64" s="6"/>
      <c r="G64" s="6"/>
      <c r="H64" s="6"/>
      <c r="I64" s="26">
        <f t="shared" si="0"/>
        <v>0</v>
      </c>
      <c r="K64" s="3" t="s">
        <v>10</v>
      </c>
    </row>
    <row r="65" spans="1:16" hidden="1">
      <c r="B65"/>
      <c r="C65" s="3" t="s">
        <v>93</v>
      </c>
      <c r="D65" s="26">
        <v>0</v>
      </c>
      <c r="E65" s="16"/>
      <c r="F65" s="6"/>
      <c r="G65" s="6"/>
      <c r="H65" s="6"/>
      <c r="I65" s="26">
        <f t="shared" si="0"/>
        <v>0</v>
      </c>
      <c r="K65" s="3" t="s">
        <v>10</v>
      </c>
    </row>
    <row r="66" spans="1:16" ht="11.25" thickBot="1">
      <c r="B66"/>
      <c r="C66" s="27"/>
      <c r="D66" s="26"/>
      <c r="E66" s="16"/>
      <c r="F66" s="6"/>
      <c r="G66" s="6"/>
      <c r="H66" s="6"/>
      <c r="I66" s="26"/>
    </row>
    <row r="67" spans="1:16" hidden="1">
      <c r="B67" s="22" t="s">
        <v>64</v>
      </c>
      <c r="C67" s="27"/>
      <c r="D67" s="26"/>
      <c r="E67" s="16"/>
      <c r="F67" s="6"/>
      <c r="G67" s="6"/>
      <c r="H67" s="6"/>
      <c r="I67" s="26"/>
    </row>
    <row r="68" spans="1:16" ht="11.25" hidden="1" thickBot="1">
      <c r="B68"/>
      <c r="C68" s="3" t="s">
        <v>96</v>
      </c>
      <c r="D68" s="26">
        <v>0</v>
      </c>
      <c r="E68" s="16"/>
      <c r="F68" s="6"/>
      <c r="G68" s="6"/>
      <c r="H68" s="6"/>
      <c r="I68" s="26">
        <f>IF(K68="Post Merger",D68,0)</f>
        <v>0</v>
      </c>
      <c r="K68" s="3" t="s">
        <v>10</v>
      </c>
    </row>
    <row r="69" spans="1:16" ht="11.25" thickBot="1">
      <c r="B69"/>
      <c r="D69" s="16"/>
      <c r="E69" s="16"/>
      <c r="F69" s="6"/>
      <c r="G69" s="6"/>
      <c r="H69" s="6"/>
      <c r="I69" s="6"/>
      <c r="K69" s="36">
        <v>0</v>
      </c>
      <c r="L69" s="24" t="s">
        <v>40</v>
      </c>
      <c r="M69" s="37">
        <v>0</v>
      </c>
    </row>
    <row r="70" spans="1:16">
      <c r="B70"/>
      <c r="C70" t="s">
        <v>115</v>
      </c>
      <c r="D70" s="26">
        <v>67492994.709999993</v>
      </c>
      <c r="E70" s="16"/>
      <c r="F70" s="6"/>
      <c r="G70" s="6"/>
      <c r="H70" s="6"/>
      <c r="I70" s="26">
        <f>D70</f>
        <v>67492994.709999993</v>
      </c>
    </row>
    <row r="71" spans="1:16" ht="11.25" thickBot="1">
      <c r="B71" s="40" t="s">
        <v>65</v>
      </c>
      <c r="C71" s="14"/>
      <c r="D71" s="11" t="s">
        <v>14</v>
      </c>
      <c r="E71" s="14" t="s">
        <v>13</v>
      </c>
      <c r="F71" s="11" t="s">
        <v>14</v>
      </c>
      <c r="G71" s="11" t="s">
        <v>14</v>
      </c>
      <c r="H71" s="11" t="s">
        <v>14</v>
      </c>
      <c r="I71" s="11" t="s">
        <v>14</v>
      </c>
    </row>
    <row r="72" spans="1:16" ht="11.25" thickBot="1">
      <c r="B72" s="3" t="s">
        <v>28</v>
      </c>
      <c r="C72"/>
      <c r="D72" s="26">
        <f>SUM(D38:D70)</f>
        <v>164227431.91</v>
      </c>
      <c r="E72" s="16"/>
      <c r="F72" s="26">
        <f>SUM(F38:F70)</f>
        <v>0</v>
      </c>
      <c r="G72" s="26">
        <f>SUM(G38:G70)</f>
        <v>0</v>
      </c>
      <c r="H72" s="26">
        <f>SUM(H38:H70)</f>
        <v>0</v>
      </c>
      <c r="I72" s="26">
        <f>SUM(I38:I70)</f>
        <v>164227431.91</v>
      </c>
      <c r="K72" s="36"/>
      <c r="L72" s="24" t="s">
        <v>40</v>
      </c>
      <c r="M72" s="37">
        <f>D72-SUM(F72:I72)</f>
        <v>0</v>
      </c>
    </row>
    <row r="73" spans="1:16">
      <c r="B73" s="3" t="s">
        <v>116</v>
      </c>
      <c r="D73" s="26">
        <v>663166.31000000006</v>
      </c>
      <c r="E73" s="16"/>
      <c r="F73" s="14"/>
      <c r="H73" s="26"/>
      <c r="I73" s="26">
        <f>D73</f>
        <v>663166.31000000006</v>
      </c>
      <c r="J73"/>
      <c r="K73"/>
      <c r="L73"/>
      <c r="M73"/>
    </row>
    <row r="74" spans="1:16">
      <c r="B74" s="3" t="s">
        <v>29</v>
      </c>
      <c r="C74"/>
      <c r="D74" s="26">
        <v>0</v>
      </c>
      <c r="E74" s="16"/>
      <c r="F74" s="26"/>
      <c r="G74" s="26"/>
      <c r="H74" s="26">
        <f>D74</f>
        <v>0</v>
      </c>
      <c r="I74" s="6"/>
    </row>
    <row r="75" spans="1:16" ht="11.25" thickBot="1">
      <c r="D75" s="11" t="s">
        <v>14</v>
      </c>
      <c r="E75" s="14" t="s">
        <v>13</v>
      </c>
      <c r="F75" s="11" t="s">
        <v>14</v>
      </c>
      <c r="G75" s="11" t="s">
        <v>14</v>
      </c>
      <c r="H75" s="11" t="s">
        <v>14</v>
      </c>
      <c r="I75" s="11" t="s">
        <v>14</v>
      </c>
    </row>
    <row r="76" spans="1:16" ht="11.25" thickBot="1">
      <c r="A76" s="3" t="s">
        <v>30</v>
      </c>
      <c r="D76" s="26">
        <f>D72+D73+D74+D36+D27</f>
        <v>241909657.37</v>
      </c>
      <c r="E76" s="16"/>
      <c r="F76" s="26">
        <f>F72+F73+F74+F36+F27</f>
        <v>2529420.7641726462</v>
      </c>
      <c r="G76" s="26">
        <f>G72+G73+G74+G36+G27</f>
        <v>12377848.49156395</v>
      </c>
      <c r="H76" s="26">
        <f>H72+H73+H74+H36+H27</f>
        <v>0</v>
      </c>
      <c r="I76" s="26">
        <f>I72+I73+I74+I36+I27</f>
        <v>227002388.11426342</v>
      </c>
      <c r="K76" s="36">
        <v>0</v>
      </c>
      <c r="L76" s="24" t="s">
        <v>40</v>
      </c>
      <c r="M76" s="37">
        <f>D76-SUM(F76:I76)</f>
        <v>0</v>
      </c>
    </row>
    <row r="77" spans="1:16">
      <c r="D77" s="16"/>
      <c r="E77" s="16"/>
      <c r="F77" s="16"/>
      <c r="G77" s="16"/>
      <c r="H77" s="16"/>
      <c r="I77" s="16"/>
    </row>
    <row r="78" spans="1:16">
      <c r="D78" s="16"/>
      <c r="E78" s="16"/>
      <c r="F78" s="16"/>
      <c r="G78" s="16"/>
      <c r="H78" s="16"/>
      <c r="I78" s="16"/>
    </row>
    <row r="79" spans="1:16" ht="11.25">
      <c r="A79" s="3" t="s">
        <v>31</v>
      </c>
      <c r="F79" s="6"/>
      <c r="G79" s="6"/>
      <c r="H79" s="6"/>
      <c r="I79" s="6"/>
      <c r="N79" s="29" t="s">
        <v>60</v>
      </c>
      <c r="O79" s="32">
        <v>24431716.409698181</v>
      </c>
      <c r="P79" s="26"/>
    </row>
    <row r="80" spans="1:16" ht="11.25">
      <c r="F80" s="6"/>
      <c r="G80" s="6"/>
      <c r="H80" s="6"/>
      <c r="I80" s="6"/>
      <c r="N80" s="29" t="s">
        <v>61</v>
      </c>
      <c r="O80" s="32">
        <v>0</v>
      </c>
      <c r="P80" s="26"/>
    </row>
    <row r="81" spans="1:16" customFormat="1" ht="11.25">
      <c r="A81" s="3"/>
      <c r="B81" s="3" t="s">
        <v>32</v>
      </c>
      <c r="D81" s="26">
        <f>SUM(F81:I81)</f>
        <v>24431716.409698181</v>
      </c>
      <c r="E81" s="16"/>
      <c r="F81" s="26">
        <f>O79</f>
        <v>24431716.409698181</v>
      </c>
      <c r="G81" s="6"/>
      <c r="H81" s="6"/>
      <c r="I81" s="6"/>
      <c r="J81" s="3"/>
      <c r="K81" s="18"/>
      <c r="L81" s="3"/>
      <c r="M81" s="3"/>
      <c r="N81" s="29" t="s">
        <v>62</v>
      </c>
      <c r="O81" s="32">
        <v>81972246.220499292</v>
      </c>
      <c r="P81" s="38"/>
    </row>
    <row r="82" spans="1:16" ht="11.25" hidden="1">
      <c r="A82"/>
      <c r="B82"/>
      <c r="C82"/>
      <c r="D82"/>
      <c r="E82"/>
      <c r="F82"/>
      <c r="G82"/>
      <c r="H82"/>
      <c r="I82"/>
      <c r="J82"/>
      <c r="K82" s="23"/>
      <c r="L82"/>
      <c r="M82"/>
      <c r="N82" s="29" t="s">
        <v>91</v>
      </c>
      <c r="O82" s="32">
        <v>0</v>
      </c>
      <c r="P82" s="26"/>
    </row>
    <row r="83" spans="1:16" ht="12" thickBot="1">
      <c r="B83" s="3" t="s">
        <v>33</v>
      </c>
      <c r="C83"/>
      <c r="D83" s="26">
        <f>SUM(F83:I83)</f>
        <v>0</v>
      </c>
      <c r="E83" s="16"/>
      <c r="F83" s="26">
        <f>O80</f>
        <v>0</v>
      </c>
      <c r="G83" s="6"/>
      <c r="H83" s="6"/>
      <c r="I83" s="6"/>
      <c r="N83" s="29" t="s">
        <v>63</v>
      </c>
      <c r="O83" s="32">
        <v>1003105.8</v>
      </c>
      <c r="P83" s="26"/>
    </row>
    <row r="84" spans="1:16" ht="11.25" hidden="1" thickBot="1">
      <c r="C84"/>
      <c r="D84" s="16"/>
      <c r="E84" s="16"/>
      <c r="F84" s="6"/>
      <c r="G84" s="6"/>
      <c r="H84" s="6"/>
      <c r="I84" s="6"/>
      <c r="O84" s="32">
        <f>SUM(O79:O83)</f>
        <v>107407068.43019746</v>
      </c>
      <c r="P84" s="26"/>
    </row>
    <row r="85" spans="1:16" ht="11.25" thickBot="1">
      <c r="B85" s="3" t="s">
        <v>10</v>
      </c>
      <c r="C85"/>
      <c r="D85" s="26">
        <f>D90-(D81+D83+D87)</f>
        <v>82975351.590301812</v>
      </c>
      <c r="E85" s="16"/>
      <c r="F85" s="17"/>
      <c r="G85" s="6"/>
      <c r="H85" s="6"/>
      <c r="I85" s="26">
        <f>D85</f>
        <v>82975351.590301812</v>
      </c>
      <c r="N85" s="47" t="s">
        <v>40</v>
      </c>
      <c r="O85" s="37">
        <v>0</v>
      </c>
      <c r="P85" s="46"/>
    </row>
    <row r="86" spans="1:16" hidden="1">
      <c r="F86" s="6"/>
      <c r="G86" s="6"/>
      <c r="H86" s="6"/>
      <c r="I86" s="6"/>
    </row>
    <row r="87" spans="1:16" customFormat="1">
      <c r="A87" s="3"/>
      <c r="B87" t="s">
        <v>34</v>
      </c>
      <c r="C87" s="3"/>
      <c r="D87" s="26">
        <v>0</v>
      </c>
      <c r="E87" s="16"/>
      <c r="F87" s="6"/>
      <c r="H87" s="26">
        <f>D87</f>
        <v>0</v>
      </c>
      <c r="I87" s="6"/>
      <c r="J87" s="3"/>
      <c r="K87" s="3"/>
      <c r="L87" s="3"/>
      <c r="M87" s="3"/>
      <c r="N87" s="27"/>
    </row>
    <row r="88" spans="1:16">
      <c r="A88"/>
      <c r="B88"/>
      <c r="C88"/>
      <c r="D88"/>
      <c r="E88"/>
      <c r="F88"/>
      <c r="G88"/>
      <c r="H88"/>
      <c r="I88"/>
      <c r="J88"/>
      <c r="K88"/>
      <c r="L88"/>
      <c r="M88"/>
    </row>
    <row r="89" spans="1:16" ht="11.25" thickBot="1">
      <c r="D89" s="11" t="s">
        <v>14</v>
      </c>
      <c r="E89" s="14" t="s">
        <v>13</v>
      </c>
      <c r="F89" s="11" t="s">
        <v>14</v>
      </c>
      <c r="G89" s="11" t="s">
        <v>14</v>
      </c>
      <c r="H89" s="11" t="s">
        <v>14</v>
      </c>
      <c r="I89" s="11" t="s">
        <v>14</v>
      </c>
    </row>
    <row r="90" spans="1:16" customFormat="1" ht="11.25" thickBot="1">
      <c r="A90" s="3" t="s">
        <v>35</v>
      </c>
      <c r="B90" s="3"/>
      <c r="C90" s="3"/>
      <c r="D90" s="26">
        <v>107407068</v>
      </c>
      <c r="E90" s="16"/>
      <c r="F90" s="26">
        <f>SUM(F81:F87)</f>
        <v>24431716.409698181</v>
      </c>
      <c r="G90" s="26">
        <f>SUM(G81:G87)</f>
        <v>0</v>
      </c>
      <c r="H90" s="26">
        <f>SUM(H81:H87)</f>
        <v>0</v>
      </c>
      <c r="I90" s="26">
        <f>SUM(I81:I87)</f>
        <v>82975351.590301812</v>
      </c>
      <c r="J90" s="3"/>
      <c r="K90" s="36">
        <f>D90-(D81+D83+D85+D87)</f>
        <v>0</v>
      </c>
      <c r="L90" s="24" t="s">
        <v>40</v>
      </c>
      <c r="M90" s="37">
        <f>D90-SUM(F90:I90)</f>
        <v>0</v>
      </c>
      <c r="N90" s="27"/>
    </row>
    <row r="91" spans="1:16" customFormat="1">
      <c r="A91" s="3"/>
      <c r="B91" s="3"/>
      <c r="C91" s="3"/>
      <c r="D91" s="3"/>
      <c r="E91" s="3"/>
      <c r="G91" s="3"/>
      <c r="H91" s="3"/>
      <c r="I91" s="3"/>
      <c r="N91" s="27"/>
    </row>
    <row r="92" spans="1:16" customFormat="1">
      <c r="A92" s="3" t="s">
        <v>36</v>
      </c>
      <c r="B92" s="3"/>
      <c r="C92" s="3"/>
      <c r="D92" s="3"/>
      <c r="E92" s="3"/>
      <c r="G92" s="3"/>
      <c r="H92" s="3"/>
      <c r="I92" s="3"/>
      <c r="N92" s="27"/>
    </row>
    <row r="93" spans="1:16" customFormat="1" hidden="1">
      <c r="A93" s="3"/>
      <c r="B93" s="16" t="s">
        <v>98</v>
      </c>
      <c r="C93" s="3"/>
      <c r="D93" s="26">
        <v>0</v>
      </c>
      <c r="E93" s="16"/>
      <c r="G93" s="3"/>
      <c r="H93" s="26">
        <f t="shared" ref="H93:H107" si="1">D93</f>
        <v>0</v>
      </c>
      <c r="I93" s="2"/>
      <c r="N93" s="27"/>
    </row>
    <row r="94" spans="1:16" customFormat="1" hidden="1">
      <c r="A94" s="3"/>
      <c r="B94" s="16" t="s">
        <v>99</v>
      </c>
      <c r="C94" s="3"/>
      <c r="D94" s="26">
        <v>0</v>
      </c>
      <c r="E94" s="16"/>
      <c r="G94" s="3"/>
      <c r="H94" s="26">
        <f t="shared" si="1"/>
        <v>0</v>
      </c>
      <c r="I94" s="2"/>
      <c r="N94" s="27"/>
    </row>
    <row r="95" spans="1:16" customFormat="1">
      <c r="A95" s="3"/>
      <c r="B95" s="16" t="s">
        <v>100</v>
      </c>
      <c r="C95" s="3"/>
      <c r="D95" s="26">
        <v>8051919.5899999999</v>
      </c>
      <c r="E95" s="16"/>
      <c r="G95" s="3"/>
      <c r="H95" s="26">
        <f t="shared" si="1"/>
        <v>8051919.5899999999</v>
      </c>
      <c r="I95" s="2"/>
      <c r="N95" s="27"/>
    </row>
    <row r="96" spans="1:16" customFormat="1" hidden="1">
      <c r="A96" s="3"/>
      <c r="B96" s="16" t="s">
        <v>101</v>
      </c>
      <c r="C96" s="3"/>
      <c r="D96" s="26">
        <v>0</v>
      </c>
      <c r="E96" s="16"/>
      <c r="G96" s="3"/>
      <c r="H96" s="26">
        <f t="shared" si="1"/>
        <v>0</v>
      </c>
      <c r="I96" s="2"/>
      <c r="N96" s="27"/>
    </row>
    <row r="97" spans="1:14" customFormat="1">
      <c r="A97" s="3"/>
      <c r="B97" s="16" t="s">
        <v>66</v>
      </c>
      <c r="C97" s="3"/>
      <c r="D97" s="26">
        <v>50918245.159999996</v>
      </c>
      <c r="E97" s="16"/>
      <c r="G97" s="3"/>
      <c r="H97" s="26">
        <f t="shared" si="1"/>
        <v>50918245.159999996</v>
      </c>
      <c r="I97" s="2"/>
      <c r="N97" s="27"/>
    </row>
    <row r="98" spans="1:14" customFormat="1" hidden="1">
      <c r="A98" s="3"/>
      <c r="B98" s="16" t="s">
        <v>47</v>
      </c>
      <c r="C98" s="3"/>
      <c r="D98" s="26">
        <v>0</v>
      </c>
      <c r="E98" s="16"/>
      <c r="G98" s="3"/>
      <c r="H98" s="26">
        <f t="shared" si="1"/>
        <v>0</v>
      </c>
      <c r="I98" s="2"/>
      <c r="N98" s="27"/>
    </row>
    <row r="99" spans="1:14" customFormat="1" hidden="1">
      <c r="A99" s="3"/>
      <c r="B99" s="16" t="s">
        <v>102</v>
      </c>
      <c r="C99" s="3"/>
      <c r="D99" s="26">
        <v>0</v>
      </c>
      <c r="E99" s="16"/>
      <c r="G99" s="3"/>
      <c r="H99" s="26">
        <f t="shared" si="1"/>
        <v>0</v>
      </c>
      <c r="I99" s="2"/>
      <c r="N99" s="27"/>
    </row>
    <row r="100" spans="1:14" customFormat="1" hidden="1">
      <c r="A100" s="3"/>
      <c r="B100" s="16" t="s">
        <v>103</v>
      </c>
      <c r="C100" s="3"/>
      <c r="D100" s="26">
        <v>0</v>
      </c>
      <c r="E100" s="16"/>
      <c r="G100" s="3"/>
      <c r="H100" s="26">
        <f t="shared" si="1"/>
        <v>0</v>
      </c>
      <c r="I100" s="2"/>
      <c r="N100" s="27"/>
    </row>
    <row r="101" spans="1:14" customFormat="1" hidden="1">
      <c r="A101" s="3"/>
      <c r="B101" s="16" t="s">
        <v>104</v>
      </c>
      <c r="C101" s="3"/>
      <c r="D101" s="26">
        <v>0</v>
      </c>
      <c r="E101" s="16"/>
      <c r="G101" s="3"/>
      <c r="H101" s="26">
        <f t="shared" si="1"/>
        <v>0</v>
      </c>
      <c r="I101" s="2"/>
      <c r="N101" s="27"/>
    </row>
    <row r="102" spans="1:14" customFormat="1" hidden="1">
      <c r="A102" s="3"/>
      <c r="B102" s="16" t="s">
        <v>105</v>
      </c>
      <c r="C102" s="3"/>
      <c r="D102" s="26">
        <v>0</v>
      </c>
      <c r="E102" s="16"/>
      <c r="F102" s="14"/>
      <c r="G102" s="3"/>
      <c r="H102" s="26">
        <f t="shared" si="1"/>
        <v>0</v>
      </c>
      <c r="I102" s="2"/>
      <c r="N102" s="27"/>
    </row>
    <row r="103" spans="1:14" customFormat="1">
      <c r="A103" s="3"/>
      <c r="B103" s="16" t="s">
        <v>106</v>
      </c>
      <c r="C103" s="3"/>
      <c r="D103" s="26">
        <v>46003985.939999998</v>
      </c>
      <c r="E103" s="16"/>
      <c r="F103" s="14"/>
      <c r="G103" s="3"/>
      <c r="H103" s="26">
        <f t="shared" si="1"/>
        <v>46003985.939999998</v>
      </c>
      <c r="I103" s="2"/>
      <c r="N103" s="27"/>
    </row>
    <row r="104" spans="1:14" customFormat="1" hidden="1">
      <c r="A104" s="3"/>
      <c r="B104" s="16" t="s">
        <v>107</v>
      </c>
      <c r="C104" s="3"/>
      <c r="D104" s="26">
        <v>0</v>
      </c>
      <c r="E104" s="16"/>
      <c r="F104" s="14"/>
      <c r="G104" s="3"/>
      <c r="H104" s="26">
        <f t="shared" si="1"/>
        <v>0</v>
      </c>
      <c r="I104" s="2"/>
      <c r="N104" s="27"/>
    </row>
    <row r="105" spans="1:14" customFormat="1" hidden="1">
      <c r="A105" s="3"/>
      <c r="B105" s="16" t="s">
        <v>108</v>
      </c>
      <c r="C105" s="3"/>
      <c r="D105" s="26">
        <v>0</v>
      </c>
      <c r="E105" s="16"/>
      <c r="F105" s="14"/>
      <c r="G105" s="3"/>
      <c r="H105" s="26">
        <f t="shared" si="1"/>
        <v>0</v>
      </c>
      <c r="I105" s="2"/>
      <c r="N105" s="27"/>
    </row>
    <row r="106" spans="1:14" customFormat="1">
      <c r="A106" s="3"/>
      <c r="B106" s="16" t="s">
        <v>109</v>
      </c>
      <c r="C106" s="3"/>
      <c r="D106" s="26">
        <v>198244684.53999999</v>
      </c>
      <c r="E106" s="16"/>
      <c r="F106" s="14"/>
      <c r="G106" s="3"/>
      <c r="H106" s="26">
        <f t="shared" si="1"/>
        <v>198244684.53999999</v>
      </c>
      <c r="I106" s="2"/>
      <c r="N106" s="27"/>
    </row>
    <row r="107" spans="1:14" customFormat="1" hidden="1">
      <c r="A107" s="3"/>
      <c r="B107" s="16" t="s">
        <v>110</v>
      </c>
      <c r="C107" s="3"/>
      <c r="D107" s="26">
        <v>0</v>
      </c>
      <c r="E107" s="16"/>
      <c r="F107" s="14"/>
      <c r="G107" s="3"/>
      <c r="H107" s="26">
        <f t="shared" si="1"/>
        <v>0</v>
      </c>
      <c r="I107" s="2"/>
      <c r="N107" s="27"/>
    </row>
    <row r="108" spans="1:14" customFormat="1" hidden="1">
      <c r="A108" s="3"/>
      <c r="B108" s="16"/>
      <c r="C108" s="3"/>
      <c r="D108" s="26"/>
      <c r="E108" s="16"/>
      <c r="F108" s="14"/>
      <c r="G108" s="3"/>
      <c r="H108" s="26"/>
      <c r="I108" s="2"/>
      <c r="N108" s="27"/>
    </row>
    <row r="109" spans="1:14" customFormat="1" hidden="1">
      <c r="A109" s="3"/>
      <c r="B109" s="16" t="s">
        <v>111</v>
      </c>
      <c r="C109" s="3"/>
      <c r="D109" s="26">
        <v>0</v>
      </c>
      <c r="E109" s="16"/>
      <c r="F109" s="14"/>
      <c r="G109" s="3"/>
      <c r="H109" s="26">
        <f>D109</f>
        <v>0</v>
      </c>
      <c r="I109" s="2"/>
      <c r="N109" s="27"/>
    </row>
    <row r="110" spans="1:14" customFormat="1" hidden="1">
      <c r="A110" s="3"/>
      <c r="B110" s="16" t="s">
        <v>112</v>
      </c>
      <c r="C110" s="3"/>
      <c r="D110" s="26">
        <v>0</v>
      </c>
      <c r="E110" s="16"/>
      <c r="F110" s="14"/>
      <c r="G110" s="3"/>
      <c r="H110" s="26">
        <f>D110</f>
        <v>0</v>
      </c>
      <c r="I110" s="2"/>
      <c r="N110" s="27"/>
    </row>
    <row r="111" spans="1:14" customFormat="1" hidden="1">
      <c r="A111" s="3"/>
      <c r="B111" s="16" t="s">
        <v>113</v>
      </c>
      <c r="C111" s="3"/>
      <c r="D111" s="26">
        <v>0</v>
      </c>
      <c r="E111" s="16"/>
      <c r="F111" s="14"/>
      <c r="G111" s="3"/>
      <c r="H111" s="26">
        <f>D111</f>
        <v>0</v>
      </c>
      <c r="I111" s="2"/>
      <c r="N111" s="27"/>
    </row>
    <row r="112" spans="1:14" customFormat="1" hidden="1">
      <c r="A112" s="3"/>
      <c r="B112" s="16"/>
      <c r="C112" s="3"/>
      <c r="D112" s="26"/>
      <c r="E112" s="16"/>
      <c r="F112" s="14"/>
      <c r="G112" s="3"/>
      <c r="H112" s="26"/>
      <c r="I112" s="2"/>
      <c r="N112" s="27"/>
    </row>
    <row r="113" spans="1:14" customFormat="1" hidden="1">
      <c r="A113" s="3"/>
      <c r="B113" s="16" t="s">
        <v>114</v>
      </c>
      <c r="C113" s="3"/>
      <c r="D113" s="26">
        <v>0</v>
      </c>
      <c r="E113" s="16"/>
      <c r="F113" s="14"/>
      <c r="G113" s="3"/>
      <c r="H113" s="26">
        <f>D113</f>
        <v>0</v>
      </c>
      <c r="I113" s="2"/>
      <c r="N113" s="27"/>
    </row>
    <row r="114" spans="1:14" customFormat="1" ht="11.25" thickBot="1">
      <c r="A114" s="3"/>
      <c r="B114" s="3"/>
      <c r="C114" s="3"/>
      <c r="D114" s="11" t="s">
        <v>14</v>
      </c>
      <c r="E114" s="14" t="s">
        <v>13</v>
      </c>
      <c r="F114" s="11" t="s">
        <v>14</v>
      </c>
      <c r="G114" s="11" t="s">
        <v>14</v>
      </c>
      <c r="H114" s="11" t="s">
        <v>14</v>
      </c>
      <c r="I114" s="11" t="s">
        <v>14</v>
      </c>
      <c r="N114" s="27"/>
    </row>
    <row r="115" spans="1:14" customFormat="1" ht="11.25" thickBot="1">
      <c r="A115" s="3" t="s">
        <v>37</v>
      </c>
      <c r="B115" s="3"/>
      <c r="C115" s="3"/>
      <c r="D115" s="26">
        <f>SUM(D93:D113)</f>
        <v>303218835.23000002</v>
      </c>
      <c r="E115" s="16"/>
      <c r="F115" s="26">
        <f>SUM(F92:F113)</f>
        <v>0</v>
      </c>
      <c r="G115" s="26">
        <f>SUM(G92:G113)</f>
        <v>0</v>
      </c>
      <c r="H115" s="26">
        <f>SUM(H92:H113)</f>
        <v>303218835.23000002</v>
      </c>
      <c r="I115" s="26">
        <f>SUM(I92:I105)</f>
        <v>0</v>
      </c>
      <c r="K115" s="36">
        <v>0</v>
      </c>
      <c r="L115" s="24" t="s">
        <v>40</v>
      </c>
      <c r="M115" s="37">
        <f>D115-SUM(F115:I115)</f>
        <v>0</v>
      </c>
      <c r="N115" s="27"/>
    </row>
    <row r="116" spans="1:14" customFormat="1">
      <c r="A116" s="3"/>
      <c r="B116" s="3"/>
      <c r="C116" s="3"/>
      <c r="D116" s="7"/>
      <c r="E116" s="16"/>
      <c r="F116" s="16"/>
      <c r="G116" s="16"/>
      <c r="H116" s="16"/>
      <c r="I116" s="16"/>
      <c r="N116" s="27"/>
    </row>
    <row r="117" spans="1:14" customFormat="1">
      <c r="A117" s="3" t="s">
        <v>43</v>
      </c>
      <c r="B117" s="3"/>
      <c r="C117" s="3"/>
      <c r="D117" s="7"/>
      <c r="E117" s="16"/>
      <c r="F117" s="16"/>
      <c r="G117" s="16"/>
      <c r="H117" s="16"/>
      <c r="I117" s="16"/>
      <c r="N117" s="27"/>
    </row>
    <row r="118" spans="1:14" customFormat="1">
      <c r="A118" s="3"/>
      <c r="B118" s="16" t="s">
        <v>97</v>
      </c>
      <c r="C118" s="3"/>
      <c r="D118" s="26">
        <v>0</v>
      </c>
      <c r="E118" s="16"/>
      <c r="F118" s="14"/>
      <c r="G118" s="3"/>
      <c r="H118" s="26">
        <f>D118</f>
        <v>0</v>
      </c>
      <c r="I118" s="2"/>
      <c r="N118" s="27"/>
    </row>
    <row r="119" spans="1:14">
      <c r="D119" s="11" t="s">
        <v>14</v>
      </c>
      <c r="E119" s="14" t="s">
        <v>13</v>
      </c>
      <c r="F119" s="11" t="s">
        <v>14</v>
      </c>
      <c r="G119" s="11" t="s">
        <v>14</v>
      </c>
      <c r="H119" s="11" t="s">
        <v>14</v>
      </c>
      <c r="I119" s="11" t="s">
        <v>14</v>
      </c>
    </row>
    <row r="120" spans="1:14">
      <c r="A120" s="3" t="s">
        <v>44</v>
      </c>
      <c r="D120" s="26">
        <v>0</v>
      </c>
      <c r="E120" s="16"/>
      <c r="F120" s="26">
        <f>SUM(F118:F118)</f>
        <v>0</v>
      </c>
      <c r="G120" s="26">
        <f>SUM(G118:G118)</f>
        <v>0</v>
      </c>
      <c r="H120" s="26">
        <f>SUM(H118:H118)</f>
        <v>0</v>
      </c>
      <c r="I120" s="26">
        <f>SUM(I118:I118)</f>
        <v>0</v>
      </c>
    </row>
    <row r="121" spans="1:14" ht="11.25" thickBot="1">
      <c r="D121" s="19" t="s">
        <v>38</v>
      </c>
      <c r="E121" s="14" t="s">
        <v>13</v>
      </c>
      <c r="F121" s="19" t="s">
        <v>38</v>
      </c>
      <c r="G121" s="19" t="s">
        <v>38</v>
      </c>
      <c r="H121" s="19" t="s">
        <v>38</v>
      </c>
      <c r="I121" s="19" t="s">
        <v>38</v>
      </c>
    </row>
    <row r="122" spans="1:14" ht="11.25" thickBot="1">
      <c r="A122" s="3" t="s">
        <v>39</v>
      </c>
      <c r="D122" s="26">
        <f>D115+D90+D76+D120-D16</f>
        <v>578706953.85000002</v>
      </c>
      <c r="E122" s="16" t="s">
        <v>13</v>
      </c>
      <c r="F122" s="26">
        <f>F115+F90+F76+F120-F16</f>
        <v>13996337.173870828</v>
      </c>
      <c r="G122" s="26">
        <f>G115+G90+G76+G120-G16</f>
        <v>12377848.49156395</v>
      </c>
      <c r="H122" s="26">
        <f>H115+H90+H76+H120-H16</f>
        <v>303218835.23000002</v>
      </c>
      <c r="I122" s="26">
        <f>I115+I90+I76+I120-I16</f>
        <v>249113932.95456523</v>
      </c>
      <c r="K122" s="36">
        <v>0</v>
      </c>
      <c r="L122" s="24" t="s">
        <v>40</v>
      </c>
      <c r="M122" s="37">
        <f>D122-SUM(F122:I122)</f>
        <v>0</v>
      </c>
    </row>
    <row r="123" spans="1:14">
      <c r="D123" s="19" t="s">
        <v>38</v>
      </c>
      <c r="E123" s="14" t="s">
        <v>13</v>
      </c>
      <c r="F123" s="19" t="s">
        <v>38</v>
      </c>
      <c r="G123" s="19" t="s">
        <v>38</v>
      </c>
      <c r="H123" s="19" t="s">
        <v>38</v>
      </c>
      <c r="I123" s="19" t="s">
        <v>38</v>
      </c>
    </row>
  </sheetData>
  <mergeCells count="1">
    <mergeCell ref="A4:C4"/>
  </mergeCells>
  <pageMargins left="0.65" right="0.72" top="1" bottom="1" header="0.5" footer="0.5"/>
  <pageSetup scale="67" orientation="portrait" r:id="rId1"/>
  <headerFooter alignWithMargins="0">
    <oddHeader>&amp;L&amp;"Arial,Regular"&amp;10WA UE-130043
Bench Request 9&amp;R&amp;"Arial,Bold"&amp;10Attachment Bench Request 9</oddHeader>
    <oddFooter>&amp;L&amp;"Arial,Regular"&amp;10&amp;F&amp;C&amp;A</oddFooter>
  </headerFooter>
  <rowBreaks count="1" manualBreakCount="1">
    <brk id="69" max="8" man="1"/>
  </rowBreaks>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8">
    <pageSetUpPr fitToPage="1"/>
  </sheetPr>
  <dimension ref="A1:K50"/>
  <sheetViews>
    <sheetView view="pageBreakPreview" zoomScale="85" zoomScaleNormal="100" zoomScaleSheetLayoutView="85" workbookViewId="0">
      <selection activeCell="T91" sqref="T91"/>
    </sheetView>
  </sheetViews>
  <sheetFormatPr defaultRowHeight="12.75"/>
  <cols>
    <col min="1" max="1" width="4.83203125" style="275" customWidth="1"/>
    <col min="2" max="2" width="8" style="275" customWidth="1"/>
    <col min="3" max="3" width="32.83203125" style="275" customWidth="1"/>
    <col min="4" max="4" width="12.33203125" style="275" customWidth="1"/>
    <col min="5" max="5" width="9.33203125" style="276"/>
    <col min="6" max="6" width="17" style="106" customWidth="1"/>
    <col min="7" max="7" width="9.33203125" style="276"/>
    <col min="8" max="8" width="12" style="276" bestFit="1" customWidth="1"/>
    <col min="9" max="9" width="15.33203125" style="276" bestFit="1" customWidth="1"/>
    <col min="10" max="16384" width="9.33203125" style="275"/>
  </cols>
  <sheetData>
    <row r="1" spans="1:10">
      <c r="A1" s="274" t="s">
        <v>118</v>
      </c>
      <c r="B1" s="274"/>
      <c r="I1" s="277" t="s">
        <v>272</v>
      </c>
      <c r="J1" s="296" t="s">
        <v>373</v>
      </c>
    </row>
    <row r="2" spans="1:10">
      <c r="A2" s="274" t="s">
        <v>255</v>
      </c>
      <c r="B2" s="274"/>
    </row>
    <row r="3" spans="1:10">
      <c r="A3" s="274" t="s">
        <v>329</v>
      </c>
      <c r="B3" s="274"/>
    </row>
    <row r="5" spans="1:10">
      <c r="F5" s="105" t="s">
        <v>274</v>
      </c>
      <c r="I5" s="276" t="s">
        <v>126</v>
      </c>
    </row>
    <row r="6" spans="1:10" ht="15">
      <c r="D6" s="279" t="s">
        <v>275</v>
      </c>
      <c r="E6" s="279" t="s">
        <v>276</v>
      </c>
      <c r="F6" s="280" t="s">
        <v>277</v>
      </c>
      <c r="G6" s="279" t="s">
        <v>278</v>
      </c>
      <c r="H6" s="279" t="s">
        <v>134</v>
      </c>
      <c r="I6" s="279" t="s">
        <v>279</v>
      </c>
      <c r="J6" s="279" t="s">
        <v>280</v>
      </c>
    </row>
    <row r="7" spans="1:10" ht="15">
      <c r="B7" s="274" t="s">
        <v>281</v>
      </c>
      <c r="C7" s="281"/>
      <c r="D7" s="279"/>
      <c r="E7" s="279"/>
      <c r="F7" s="280"/>
      <c r="G7" s="279"/>
      <c r="H7" s="279"/>
      <c r="I7" s="279"/>
      <c r="J7" s="279"/>
    </row>
    <row r="8" spans="1:10" ht="15">
      <c r="B8" s="274"/>
      <c r="C8" s="281"/>
      <c r="D8" s="279"/>
      <c r="E8" s="279"/>
      <c r="F8" s="280"/>
      <c r="G8" s="279"/>
      <c r="H8" s="279"/>
      <c r="I8" s="279"/>
      <c r="J8" s="279"/>
    </row>
    <row r="9" spans="1:10">
      <c r="B9" s="274" t="s">
        <v>137</v>
      </c>
      <c r="C9" s="281"/>
    </row>
    <row r="10" spans="1:10">
      <c r="B10" s="281" t="s">
        <v>138</v>
      </c>
      <c r="C10" s="281"/>
      <c r="D10" s="282" t="s">
        <v>139</v>
      </c>
      <c r="E10" s="283" t="s">
        <v>286</v>
      </c>
      <c r="F10" s="106">
        <f>'9.1 - Summary '!BV15</f>
        <v>0</v>
      </c>
      <c r="G10" s="276" t="s">
        <v>140</v>
      </c>
      <c r="H10" s="284">
        <v>0.2262649010137</v>
      </c>
      <c r="I10" s="276">
        <f>F10*H10</f>
        <v>0</v>
      </c>
      <c r="J10" s="276"/>
    </row>
    <row r="11" spans="1:10">
      <c r="B11" s="281" t="s">
        <v>141</v>
      </c>
      <c r="C11" s="281"/>
      <c r="D11" s="282" t="s">
        <v>139</v>
      </c>
      <c r="E11" s="283" t="s">
        <v>286</v>
      </c>
      <c r="F11" s="106">
        <f>'9.1 - Summary '!BV16</f>
        <v>0</v>
      </c>
      <c r="G11" s="276" t="s">
        <v>140</v>
      </c>
      <c r="H11" s="284">
        <v>0.2262649010137</v>
      </c>
      <c r="I11" s="276">
        <f t="shared" ref="I11:I12" si="0">F11*H11</f>
        <v>0</v>
      </c>
      <c r="J11" s="276"/>
    </row>
    <row r="12" spans="1:10">
      <c r="B12" s="281" t="s">
        <v>142</v>
      </c>
      <c r="C12" s="281"/>
      <c r="D12" s="282" t="s">
        <v>139</v>
      </c>
      <c r="E12" s="283" t="s">
        <v>286</v>
      </c>
      <c r="F12" s="106">
        <f>'9.1 - Summary '!BV17</f>
        <v>0</v>
      </c>
      <c r="G12" s="276" t="s">
        <v>143</v>
      </c>
      <c r="H12" s="284">
        <v>0.22648067236840891</v>
      </c>
      <c r="I12" s="276">
        <f t="shared" si="0"/>
        <v>0</v>
      </c>
    </row>
    <row r="13" spans="1:10">
      <c r="B13" s="281" t="s">
        <v>144</v>
      </c>
      <c r="C13" s="281"/>
      <c r="D13" s="282"/>
      <c r="E13" s="283"/>
      <c r="F13" s="285">
        <f>SUM(F10:F12)</f>
        <v>0</v>
      </c>
      <c r="H13" s="284"/>
      <c r="I13" s="285">
        <f>SUM(I10:I12)</f>
        <v>0</v>
      </c>
      <c r="J13" s="282" t="s">
        <v>357</v>
      </c>
    </row>
    <row r="14" spans="1:10">
      <c r="B14" s="281"/>
      <c r="C14" s="286"/>
      <c r="D14" s="282"/>
      <c r="E14" s="283"/>
      <c r="H14" s="284"/>
    </row>
    <row r="15" spans="1:10">
      <c r="B15" s="274" t="s">
        <v>145</v>
      </c>
      <c r="C15" s="286"/>
      <c r="D15" s="282"/>
      <c r="E15" s="283"/>
      <c r="H15" s="284"/>
    </row>
    <row r="16" spans="1:10">
      <c r="B16" s="281" t="s">
        <v>146</v>
      </c>
      <c r="C16" s="286"/>
      <c r="D16" s="282" t="s">
        <v>147</v>
      </c>
      <c r="E16" s="283" t="s">
        <v>286</v>
      </c>
      <c r="F16" s="106">
        <f>'9.1 - Summary '!BV21</f>
        <v>0</v>
      </c>
      <c r="G16" s="276" t="s">
        <v>140</v>
      </c>
      <c r="H16" s="284">
        <v>0.2262649010137</v>
      </c>
      <c r="I16" s="276">
        <f t="shared" ref="I16:I20" si="1">F16*H16</f>
        <v>0</v>
      </c>
      <c r="J16" s="276"/>
    </row>
    <row r="17" spans="2:10">
      <c r="B17" s="281" t="s">
        <v>148</v>
      </c>
      <c r="C17" s="286"/>
      <c r="D17" s="282" t="s">
        <v>147</v>
      </c>
      <c r="E17" s="283" t="s">
        <v>286</v>
      </c>
      <c r="F17" s="106">
        <f>'9.1 - Summary '!BV22</f>
        <v>0</v>
      </c>
      <c r="G17" s="276" t="s">
        <v>143</v>
      </c>
      <c r="H17" s="284">
        <v>0.22648067236840891</v>
      </c>
      <c r="I17" s="276">
        <f t="shared" si="1"/>
        <v>0</v>
      </c>
      <c r="J17" s="276"/>
    </row>
    <row r="18" spans="2:10">
      <c r="B18" s="281" t="s">
        <v>149</v>
      </c>
      <c r="C18" s="286"/>
      <c r="D18" s="282" t="s">
        <v>147</v>
      </c>
      <c r="E18" s="283" t="s">
        <v>286</v>
      </c>
      <c r="F18" s="106">
        <f>'9.1 - Summary '!BV23</f>
        <v>0</v>
      </c>
      <c r="G18" s="276" t="s">
        <v>140</v>
      </c>
      <c r="H18" s="284">
        <v>0.2262649010137</v>
      </c>
      <c r="I18" s="276">
        <f t="shared" si="1"/>
        <v>0</v>
      </c>
      <c r="J18" s="276"/>
    </row>
    <row r="19" spans="2:10">
      <c r="B19" s="281" t="s">
        <v>150</v>
      </c>
      <c r="C19" s="286"/>
      <c r="D19" s="282" t="s">
        <v>147</v>
      </c>
      <c r="E19" s="283" t="s">
        <v>286</v>
      </c>
      <c r="F19" s="106">
        <f>'9.1 - Summary '!BV24</f>
        <v>0</v>
      </c>
      <c r="G19" s="276" t="s">
        <v>140</v>
      </c>
      <c r="H19" s="284">
        <v>0.2262649010137</v>
      </c>
      <c r="I19" s="276">
        <f t="shared" si="1"/>
        <v>0</v>
      </c>
      <c r="J19" s="276"/>
    </row>
    <row r="20" spans="2:10">
      <c r="B20" s="281" t="s">
        <v>151</v>
      </c>
      <c r="C20" s="281"/>
      <c r="D20" s="282" t="s">
        <v>147</v>
      </c>
      <c r="E20" s="283" t="s">
        <v>286</v>
      </c>
      <c r="F20" s="106">
        <f>'9.1 - Summary '!BV25</f>
        <v>0</v>
      </c>
      <c r="G20" s="276" t="s">
        <v>140</v>
      </c>
      <c r="H20" s="284">
        <v>0.2262649010137</v>
      </c>
      <c r="I20" s="276">
        <f t="shared" si="1"/>
        <v>0</v>
      </c>
    </row>
    <row r="21" spans="2:10">
      <c r="B21" s="281" t="s">
        <v>152</v>
      </c>
      <c r="C21" s="281"/>
      <c r="D21" s="282"/>
      <c r="E21" s="283"/>
      <c r="F21" s="285">
        <f>SUM(F16:F20)</f>
        <v>0</v>
      </c>
      <c r="H21" s="284"/>
      <c r="I21" s="285">
        <f>SUM(I16:I20)</f>
        <v>0</v>
      </c>
      <c r="J21" s="282" t="s">
        <v>357</v>
      </c>
    </row>
    <row r="22" spans="2:10">
      <c r="B22" s="281"/>
      <c r="C22" s="281"/>
      <c r="D22" s="282"/>
      <c r="E22" s="283"/>
      <c r="H22" s="284"/>
    </row>
    <row r="23" spans="2:10">
      <c r="B23" s="274" t="s">
        <v>153</v>
      </c>
      <c r="C23" s="281"/>
      <c r="D23" s="282"/>
      <c r="E23" s="283"/>
      <c r="H23" s="284"/>
      <c r="J23" s="276"/>
    </row>
    <row r="24" spans="2:10">
      <c r="B24" s="281" t="s">
        <v>154</v>
      </c>
      <c r="C24" s="281"/>
      <c r="D24" s="282" t="s">
        <v>155</v>
      </c>
      <c r="E24" s="283" t="s">
        <v>286</v>
      </c>
      <c r="F24" s="106">
        <f>'9.1 - Summary '!BV29</f>
        <v>0</v>
      </c>
      <c r="G24" s="276" t="s">
        <v>140</v>
      </c>
      <c r="H24" s="284">
        <v>0.2262649010137</v>
      </c>
      <c r="I24" s="276">
        <f t="shared" ref="I24:I26" si="2">F24*H24</f>
        <v>0</v>
      </c>
      <c r="J24" s="276"/>
    </row>
    <row r="25" spans="2:10">
      <c r="B25" s="281" t="s">
        <v>156</v>
      </c>
      <c r="C25" s="286"/>
      <c r="D25" s="282" t="s">
        <v>155</v>
      </c>
      <c r="E25" s="283" t="s">
        <v>286</v>
      </c>
      <c r="F25" s="106">
        <f>'9.1 - Summary '!BV30</f>
        <v>0</v>
      </c>
      <c r="G25" s="276" t="s">
        <v>140</v>
      </c>
      <c r="H25" s="284">
        <v>0.2262649010137</v>
      </c>
      <c r="I25" s="276">
        <f t="shared" si="2"/>
        <v>0</v>
      </c>
      <c r="J25" s="276"/>
    </row>
    <row r="26" spans="2:10">
      <c r="B26" s="281" t="s">
        <v>157</v>
      </c>
      <c r="C26" s="286"/>
      <c r="D26" s="282" t="s">
        <v>155</v>
      </c>
      <c r="E26" s="283" t="s">
        <v>286</v>
      </c>
      <c r="F26" s="106">
        <f>'9.1 - Summary '!BV31</f>
        <v>0</v>
      </c>
      <c r="G26" s="276" t="s">
        <v>143</v>
      </c>
      <c r="H26" s="284">
        <v>0.22648067236840891</v>
      </c>
      <c r="I26" s="276">
        <f t="shared" si="2"/>
        <v>0</v>
      </c>
      <c r="J26" s="276"/>
    </row>
    <row r="27" spans="2:10">
      <c r="B27" s="281" t="s">
        <v>158</v>
      </c>
      <c r="C27" s="281"/>
      <c r="D27" s="282"/>
      <c r="E27" s="283"/>
      <c r="F27" s="285">
        <f>SUM(F24:F26)</f>
        <v>0</v>
      </c>
      <c r="H27" s="284"/>
      <c r="I27" s="285">
        <f>SUM(I24:I26)</f>
        <v>0</v>
      </c>
      <c r="J27" s="282" t="s">
        <v>357</v>
      </c>
    </row>
    <row r="28" spans="2:10">
      <c r="B28" s="281"/>
      <c r="C28" s="281"/>
      <c r="D28" s="282"/>
      <c r="E28" s="283"/>
      <c r="H28" s="284"/>
    </row>
    <row r="29" spans="2:10">
      <c r="B29" s="274" t="s">
        <v>159</v>
      </c>
      <c r="C29" s="274"/>
      <c r="D29" s="282"/>
      <c r="E29" s="283"/>
      <c r="H29" s="284"/>
      <c r="J29" s="276"/>
    </row>
    <row r="30" spans="2:10">
      <c r="B30" s="281" t="s">
        <v>160</v>
      </c>
      <c r="C30" s="274"/>
      <c r="D30" s="282" t="s">
        <v>161</v>
      </c>
      <c r="E30" s="283" t="s">
        <v>286</v>
      </c>
      <c r="F30" s="106">
        <f>'9.1 - Summary '!BV35</f>
        <v>186385.19999998808</v>
      </c>
      <c r="G30" s="276" t="s">
        <v>143</v>
      </c>
      <c r="H30" s="284">
        <v>0.22648067236840891</v>
      </c>
      <c r="I30" s="276">
        <f t="shared" ref="I30:I31" si="3">F30*H30</f>
        <v>42212.645415517669</v>
      </c>
      <c r="J30" s="276"/>
    </row>
    <row r="31" spans="2:10">
      <c r="B31" s="281" t="s">
        <v>162</v>
      </c>
      <c r="C31" s="274"/>
      <c r="D31" s="282" t="s">
        <v>163</v>
      </c>
      <c r="E31" s="283" t="s">
        <v>286</v>
      </c>
      <c r="F31" s="106">
        <f>'9.1 - Summary '!BV36</f>
        <v>0</v>
      </c>
      <c r="G31" s="276" t="s">
        <v>143</v>
      </c>
      <c r="H31" s="284">
        <v>0.22648067236840891</v>
      </c>
      <c r="I31" s="276">
        <f t="shared" si="3"/>
        <v>0</v>
      </c>
    </row>
    <row r="32" spans="2:10">
      <c r="B32" s="281" t="s">
        <v>164</v>
      </c>
      <c r="C32" s="274"/>
      <c r="D32" s="282"/>
      <c r="E32" s="283"/>
      <c r="F32" s="285">
        <f>SUM(F30:F31)</f>
        <v>186385.19999998808</v>
      </c>
      <c r="H32" s="287"/>
      <c r="I32" s="285">
        <f>SUM(I30:I31)</f>
        <v>42212.645415517669</v>
      </c>
      <c r="J32" s="282" t="s">
        <v>357</v>
      </c>
    </row>
    <row r="33" spans="1:11">
      <c r="B33" s="291"/>
      <c r="C33" s="274"/>
      <c r="D33" s="282"/>
      <c r="E33" s="283"/>
      <c r="H33" s="287"/>
      <c r="I33" s="106"/>
      <c r="J33" s="276"/>
    </row>
    <row r="34" spans="1:11">
      <c r="B34" s="288" t="s">
        <v>284</v>
      </c>
      <c r="C34" s="274"/>
      <c r="D34" s="282"/>
      <c r="E34" s="283"/>
      <c r="F34" s="285">
        <f>-F13+F21+F27+F32</f>
        <v>186385.19999998808</v>
      </c>
      <c r="H34" s="287"/>
      <c r="I34" s="285">
        <f>-I13+I21+I27+I32</f>
        <v>42212.645415517669</v>
      </c>
      <c r="J34" s="276"/>
    </row>
    <row r="35" spans="1:11">
      <c r="C35" s="274"/>
      <c r="F35" s="289"/>
      <c r="J35" s="276"/>
    </row>
    <row r="36" spans="1:11">
      <c r="C36" s="274"/>
      <c r="F36" s="289"/>
      <c r="J36" s="276"/>
    </row>
    <row r="37" spans="1:11">
      <c r="C37" s="274"/>
      <c r="F37" s="289"/>
      <c r="J37" s="276"/>
    </row>
    <row r="42" spans="1:11" ht="13.5" thickBot="1">
      <c r="B42" s="290" t="s">
        <v>283</v>
      </c>
    </row>
    <row r="43" spans="1:11" ht="12.75" customHeight="1">
      <c r="A43" s="359" t="s">
        <v>353</v>
      </c>
      <c r="B43" s="360"/>
      <c r="C43" s="360"/>
      <c r="D43" s="360"/>
      <c r="E43" s="360"/>
      <c r="F43" s="360"/>
      <c r="G43" s="360"/>
      <c r="H43" s="360"/>
      <c r="I43" s="360"/>
      <c r="J43" s="361"/>
      <c r="K43" s="292"/>
    </row>
    <row r="44" spans="1:11">
      <c r="A44" s="362"/>
      <c r="B44" s="363"/>
      <c r="C44" s="363"/>
      <c r="D44" s="363"/>
      <c r="E44" s="363"/>
      <c r="F44" s="363"/>
      <c r="G44" s="363"/>
      <c r="H44" s="363"/>
      <c r="I44" s="363"/>
      <c r="J44" s="364"/>
      <c r="K44" s="292"/>
    </row>
    <row r="45" spans="1:11">
      <c r="A45" s="362"/>
      <c r="B45" s="363"/>
      <c r="C45" s="363"/>
      <c r="D45" s="363"/>
      <c r="E45" s="363"/>
      <c r="F45" s="363"/>
      <c r="G45" s="363"/>
      <c r="H45" s="363"/>
      <c r="I45" s="363"/>
      <c r="J45" s="364"/>
      <c r="K45" s="292"/>
    </row>
    <row r="46" spans="1:11">
      <c r="A46" s="362"/>
      <c r="B46" s="363"/>
      <c r="C46" s="363"/>
      <c r="D46" s="363"/>
      <c r="E46" s="363"/>
      <c r="F46" s="363"/>
      <c r="G46" s="363"/>
      <c r="H46" s="363"/>
      <c r="I46" s="363"/>
      <c r="J46" s="364"/>
      <c r="K46" s="292"/>
    </row>
    <row r="47" spans="1:11">
      <c r="A47" s="362"/>
      <c r="B47" s="363"/>
      <c r="C47" s="363"/>
      <c r="D47" s="363"/>
      <c r="E47" s="363"/>
      <c r="F47" s="363"/>
      <c r="G47" s="363"/>
      <c r="H47" s="363"/>
      <c r="I47" s="363"/>
      <c r="J47" s="364"/>
      <c r="K47" s="292"/>
    </row>
    <row r="48" spans="1:11">
      <c r="A48" s="362"/>
      <c r="B48" s="363"/>
      <c r="C48" s="363"/>
      <c r="D48" s="363"/>
      <c r="E48" s="363"/>
      <c r="F48" s="363"/>
      <c r="G48" s="363"/>
      <c r="H48" s="363"/>
      <c r="I48" s="363"/>
      <c r="J48" s="364"/>
      <c r="K48" s="292"/>
    </row>
    <row r="49" spans="1:11">
      <c r="A49" s="362"/>
      <c r="B49" s="363"/>
      <c r="C49" s="363"/>
      <c r="D49" s="363"/>
      <c r="E49" s="363"/>
      <c r="F49" s="363"/>
      <c r="G49" s="363"/>
      <c r="H49" s="363"/>
      <c r="I49" s="363"/>
      <c r="J49" s="364"/>
      <c r="K49" s="292"/>
    </row>
    <row r="50" spans="1:11" ht="13.5" thickBot="1">
      <c r="A50" s="365"/>
      <c r="B50" s="366"/>
      <c r="C50" s="366"/>
      <c r="D50" s="366"/>
      <c r="E50" s="366"/>
      <c r="F50" s="366"/>
      <c r="G50" s="366"/>
      <c r="H50" s="366"/>
      <c r="I50" s="366"/>
      <c r="J50" s="367"/>
      <c r="K50" s="292"/>
    </row>
  </sheetData>
  <mergeCells count="1">
    <mergeCell ref="A43:J50"/>
  </mergeCells>
  <conditionalFormatting sqref="B9:B26">
    <cfRule type="cellIs" dxfId="11" priority="3" stopIfTrue="1" operator="equal">
      <formula>"Adjustment to Income/Expense/Rate Base:"</formula>
    </cfRule>
  </conditionalFormatting>
  <conditionalFormatting sqref="B20:B22">
    <cfRule type="cellIs" dxfId="10" priority="2" stopIfTrue="1" operator="equal">
      <formula>"Title"</formula>
    </cfRule>
  </conditionalFormatting>
  <conditionalFormatting sqref="B27:B34">
    <cfRule type="cellIs" dxfId="9" priority="1" stopIfTrue="1" operator="equal">
      <formula>"Adjustment to Income/Expense/Rate Base:"</formula>
    </cfRule>
  </conditionalFormatting>
  <pageMargins left="0.65" right="0.72" top="1" bottom="1" header="0.5" footer="0.5"/>
  <pageSetup scale="77" orientation="portrait" r:id="rId1"/>
  <headerFooter alignWithMargins="0">
    <oddHeader>&amp;L&amp;"Arial,Regular"&amp;10WA UE-130043
Bench Request 9&amp;R&amp;"Arial,Bold"&amp;10Attachment Bench Request 9</oddHeader>
    <oddFooter>&amp;L&amp;"Arial,Regular"&amp;10&amp;F&amp;C&amp;A</oddFooter>
  </headerFooter>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pageSetUpPr fitToPage="1"/>
  </sheetPr>
  <dimension ref="A1:S123"/>
  <sheetViews>
    <sheetView view="pageBreakPreview" zoomScale="85" zoomScaleNormal="85" zoomScaleSheetLayoutView="85" workbookViewId="0">
      <pane xSplit="3" ySplit="6" topLeftCell="D7" activePane="bottomRight" state="frozen"/>
      <selection activeCell="T91" sqref="T91"/>
      <selection pane="topRight" activeCell="T91" sqref="T91"/>
      <selection pane="bottomLeft" activeCell="T91" sqref="T91"/>
      <selection pane="bottomRight" activeCell="T91" sqref="T91"/>
    </sheetView>
  </sheetViews>
  <sheetFormatPr defaultColWidth="11" defaultRowHeight="10.5"/>
  <cols>
    <col min="1" max="1" width="3" style="3" customWidth="1"/>
    <col min="2" max="2" width="2.6640625" style="3" customWidth="1"/>
    <col min="3" max="3" width="33.1640625" style="3" customWidth="1"/>
    <col min="4" max="4" width="13.83203125" style="3" customWidth="1"/>
    <col min="5" max="5" width="2.33203125" style="3" customWidth="1"/>
    <col min="6" max="6" width="15.83203125" style="3" customWidth="1"/>
    <col min="7" max="8" width="13.33203125" style="3" bestFit="1" customWidth="1"/>
    <col min="9" max="9" width="13.83203125" style="3" bestFit="1" customWidth="1"/>
    <col min="10" max="10" width="11" style="3" customWidth="1"/>
    <col min="11" max="11" width="14.5" style="3" customWidth="1"/>
    <col min="12" max="12" width="11" style="3" customWidth="1"/>
    <col min="13" max="13" width="14.1640625" style="3" bestFit="1" customWidth="1"/>
    <col min="14" max="14" width="20.1640625" style="27" bestFit="1" customWidth="1"/>
    <col min="15" max="15" width="15" style="3" bestFit="1" customWidth="1"/>
    <col min="16" max="16" width="14.6640625" style="3" bestFit="1" customWidth="1"/>
    <col min="17" max="16384" width="11" style="3"/>
  </cols>
  <sheetData>
    <row r="1" spans="1:14">
      <c r="A1" s="4" t="s">
        <v>118</v>
      </c>
      <c r="D1"/>
      <c r="E1" s="9"/>
      <c r="F1" s="8" t="s">
        <v>42</v>
      </c>
    </row>
    <row r="2" spans="1:14">
      <c r="A2" s="20"/>
      <c r="D2"/>
      <c r="E2" s="9"/>
      <c r="F2" s="9" t="s">
        <v>0</v>
      </c>
      <c r="K2" s="50"/>
    </row>
    <row r="3" spans="1:14">
      <c r="A3" s="5" t="s">
        <v>52</v>
      </c>
      <c r="D3" s="10"/>
      <c r="E3" s="10"/>
      <c r="F3" s="8" t="s">
        <v>1</v>
      </c>
    </row>
    <row r="4" spans="1:14">
      <c r="A4" s="358">
        <v>41974</v>
      </c>
      <c r="B4" s="358"/>
      <c r="C4" s="358"/>
      <c r="D4" s="10"/>
      <c r="E4" s="10"/>
      <c r="F4" s="9"/>
    </row>
    <row r="5" spans="1:14">
      <c r="B5" s="5"/>
      <c r="D5" s="11" t="s">
        <v>2</v>
      </c>
      <c r="E5" s="11"/>
      <c r="F5" s="12" t="s">
        <v>3</v>
      </c>
      <c r="G5" s="12" t="s">
        <v>3</v>
      </c>
      <c r="H5" s="12"/>
      <c r="I5" s="12"/>
    </row>
    <row r="6" spans="1:14" s="11" customFormat="1">
      <c r="A6" s="3"/>
      <c r="B6" s="3"/>
      <c r="C6" s="3"/>
      <c r="D6" s="41" t="s">
        <v>117</v>
      </c>
      <c r="E6" s="15"/>
      <c r="F6" s="13" t="s">
        <v>4</v>
      </c>
      <c r="G6" s="13" t="s">
        <v>5</v>
      </c>
      <c r="H6" s="13" t="s">
        <v>6</v>
      </c>
      <c r="I6" s="13" t="s">
        <v>7</v>
      </c>
      <c r="N6" s="28"/>
    </row>
    <row r="7" spans="1:14">
      <c r="A7" s="3" t="s">
        <v>8</v>
      </c>
      <c r="D7" s="49" t="s">
        <v>119</v>
      </c>
      <c r="F7" s="6"/>
      <c r="G7" s="6"/>
      <c r="H7" s="6"/>
      <c r="I7" s="6"/>
    </row>
    <row r="8" spans="1:14">
      <c r="B8" t="s">
        <v>9</v>
      </c>
      <c r="D8" s="26">
        <v>12964800</v>
      </c>
      <c r="E8" s="16"/>
      <c r="F8" s="26">
        <f>D8</f>
        <v>12964800</v>
      </c>
      <c r="G8"/>
      <c r="H8"/>
      <c r="I8"/>
    </row>
    <row r="9" spans="1:14" hidden="1">
      <c r="B9"/>
      <c r="D9" s="16"/>
      <c r="E9" s="16"/>
      <c r="F9" s="1"/>
      <c r="G9" s="6"/>
      <c r="H9" s="6"/>
      <c r="I9" s="6"/>
    </row>
    <row r="10" spans="1:14">
      <c r="B10" t="s">
        <v>10</v>
      </c>
      <c r="D10" s="26">
        <v>60863806.75</v>
      </c>
      <c r="E10" s="16"/>
      <c r="F10" s="1"/>
      <c r="G10" s="6"/>
      <c r="H10" s="6"/>
      <c r="I10" s="26">
        <f>D10</f>
        <v>60863806.75</v>
      </c>
    </row>
    <row r="11" spans="1:14" hidden="1">
      <c r="B11"/>
      <c r="D11" s="16"/>
      <c r="E11" s="16"/>
      <c r="F11" s="1"/>
      <c r="G11" s="6"/>
      <c r="H11" s="6"/>
      <c r="I11" s="6"/>
    </row>
    <row r="12" spans="1:14" hidden="1">
      <c r="B12" t="s">
        <v>11</v>
      </c>
      <c r="D12" s="26">
        <v>0</v>
      </c>
      <c r="E12" s="16"/>
      <c r="F12" s="26">
        <f>D12</f>
        <v>0</v>
      </c>
      <c r="G12" s="6"/>
      <c r="H12" s="6"/>
      <c r="I12" s="6"/>
    </row>
    <row r="13" spans="1:14" hidden="1">
      <c r="C13"/>
      <c r="D13" s="16"/>
      <c r="E13" s="16"/>
      <c r="F13" s="6"/>
      <c r="G13" s="6"/>
      <c r="H13" s="6"/>
      <c r="I13" s="6"/>
    </row>
    <row r="14" spans="1:14" hidden="1">
      <c r="B14" s="3" t="s">
        <v>12</v>
      </c>
      <c r="C14"/>
      <c r="D14" s="26">
        <v>0</v>
      </c>
      <c r="E14" s="16"/>
      <c r="F14" s="6"/>
      <c r="G14" s="6"/>
      <c r="H14" s="26">
        <f>D14</f>
        <v>0</v>
      </c>
      <c r="I14" s="6"/>
    </row>
    <row r="15" spans="1:14" ht="11.25" thickBot="1">
      <c r="D15" s="11" t="s">
        <v>14</v>
      </c>
      <c r="E15" s="14" t="s">
        <v>13</v>
      </c>
      <c r="F15" s="11" t="s">
        <v>14</v>
      </c>
      <c r="G15" s="11" t="s">
        <v>14</v>
      </c>
      <c r="H15" s="11" t="s">
        <v>14</v>
      </c>
      <c r="I15" s="11" t="s">
        <v>14</v>
      </c>
    </row>
    <row r="16" spans="1:14" ht="11.25" thickBot="1">
      <c r="A16" s="3" t="s">
        <v>15</v>
      </c>
      <c r="D16" s="26">
        <f>SUM(D8:D14)</f>
        <v>73828606.75</v>
      </c>
      <c r="E16" s="16"/>
      <c r="F16" s="26">
        <f>SUM(F8:F14)</f>
        <v>12964800</v>
      </c>
      <c r="G16" s="26">
        <f>SUM(G8:G14)</f>
        <v>0</v>
      </c>
      <c r="H16" s="26">
        <f>SUM(H8:H14)</f>
        <v>0</v>
      </c>
      <c r="I16" s="26">
        <f>SUM(I8:I14)</f>
        <v>60863806.75</v>
      </c>
      <c r="K16" s="36">
        <v>0</v>
      </c>
      <c r="L16" s="24" t="s">
        <v>40</v>
      </c>
      <c r="M16" s="37">
        <f>D16-SUM(F16:I16)</f>
        <v>0</v>
      </c>
    </row>
    <row r="17" spans="1:19">
      <c r="D17" s="16"/>
      <c r="E17" s="16"/>
      <c r="F17" s="16"/>
      <c r="G17" s="16"/>
      <c r="H17" s="16"/>
      <c r="I17" s="16"/>
      <c r="P17" s="8" t="s">
        <v>67</v>
      </c>
    </row>
    <row r="18" spans="1:19">
      <c r="D18"/>
      <c r="E18" s="6"/>
      <c r="F18" s="6"/>
      <c r="G18" s="6"/>
      <c r="H18" s="6"/>
      <c r="I18" s="6"/>
      <c r="N18" s="39"/>
      <c r="O18" s="35"/>
      <c r="P18" s="48">
        <f>+A4</f>
        <v>41974</v>
      </c>
    </row>
    <row r="19" spans="1:19" ht="11.25">
      <c r="A19" s="3" t="s">
        <v>16</v>
      </c>
      <c r="D19" s="16"/>
      <c r="E19" s="16"/>
      <c r="F19" s="45"/>
      <c r="G19" s="6"/>
      <c r="H19" s="6"/>
      <c r="I19" s="6"/>
      <c r="N19" s="29" t="s">
        <v>56</v>
      </c>
      <c r="O19" s="42">
        <v>0.42634034956164213</v>
      </c>
      <c r="P19" s="16">
        <v>14785516.07</v>
      </c>
      <c r="Q19" s="44"/>
      <c r="R19" s="30"/>
      <c r="S19" s="16"/>
    </row>
    <row r="20" spans="1:19" ht="11.25" hidden="1">
      <c r="B20"/>
      <c r="C20" s="3" t="s">
        <v>17</v>
      </c>
      <c r="D20" s="26">
        <v>0</v>
      </c>
      <c r="E20" s="16"/>
      <c r="F20" s="26">
        <f>D20</f>
        <v>0</v>
      </c>
      <c r="G20" s="6"/>
      <c r="H20" s="6"/>
      <c r="I20" s="6"/>
      <c r="N20" s="29" t="s">
        <v>58</v>
      </c>
      <c r="O20" s="42">
        <f>1-O19</f>
        <v>0.57365965043835787</v>
      </c>
      <c r="P20" s="16">
        <v>19894560.739999998</v>
      </c>
      <c r="Q20" s="44"/>
      <c r="R20" s="30"/>
      <c r="S20" s="16"/>
    </row>
    <row r="21" spans="1:19" ht="11.25" hidden="1">
      <c r="B21"/>
      <c r="C21" s="3" t="s">
        <v>18</v>
      </c>
      <c r="D21" s="26">
        <v>0</v>
      </c>
      <c r="E21" s="16"/>
      <c r="F21" s="26">
        <f>D21-G21</f>
        <v>0</v>
      </c>
      <c r="G21" s="26">
        <v>0</v>
      </c>
      <c r="H21" s="6"/>
      <c r="I21" s="6"/>
      <c r="N21" s="29" t="s">
        <v>57</v>
      </c>
      <c r="O21" s="42">
        <f>IFERROR(P21/(P21+P22),0)</f>
        <v>0</v>
      </c>
      <c r="P21" s="16">
        <v>0</v>
      </c>
      <c r="Q21" s="44"/>
      <c r="R21" s="30"/>
      <c r="S21" s="16"/>
    </row>
    <row r="22" spans="1:19" ht="11.25">
      <c r="B22"/>
      <c r="C22" s="3" t="s">
        <v>19</v>
      </c>
      <c r="D22" s="26">
        <v>-148246.80999999959</v>
      </c>
      <c r="E22" s="16"/>
      <c r="F22" s="26">
        <f>D22*0.3</f>
        <v>-44474.042999999874</v>
      </c>
      <c r="G22" s="26">
        <f>D22*0.7</f>
        <v>-103772.7669999997</v>
      </c>
      <c r="H22" s="6"/>
      <c r="I22" s="6"/>
      <c r="N22" s="29" t="s">
        <v>59</v>
      </c>
      <c r="O22" s="42">
        <f>1-O21</f>
        <v>1</v>
      </c>
      <c r="P22" s="16">
        <v>0</v>
      </c>
      <c r="Q22" s="44"/>
      <c r="R22" s="30"/>
      <c r="S22" s="16"/>
    </row>
    <row r="23" spans="1:19">
      <c r="B23"/>
      <c r="C23" s="3" t="s">
        <v>20</v>
      </c>
      <c r="D23" s="26">
        <v>270000</v>
      </c>
      <c r="E23" s="16"/>
      <c r="F23" s="26">
        <f>D23*0.2073628</f>
        <v>55987.956000000006</v>
      </c>
      <c r="G23" s="26">
        <f>D23-F23</f>
        <v>214012.04399999999</v>
      </c>
      <c r="H23" s="6"/>
      <c r="I23" s="6"/>
    </row>
    <row r="24" spans="1:19">
      <c r="B24"/>
      <c r="C24" s="3" t="s">
        <v>21</v>
      </c>
      <c r="D24" s="26">
        <f>N27</f>
        <v>76897305.959999993</v>
      </c>
      <c r="E24" s="16"/>
      <c r="F24" s="31">
        <f>(N25+N24*O19)*K24</f>
        <v>2517906.851172646</v>
      </c>
      <c r="G24" s="31">
        <f>(N25+N24*O19)*L24</f>
        <v>12267609.214563949</v>
      </c>
      <c r="H24" s="6"/>
      <c r="I24" s="31">
        <f>(N26+N24*O20)</f>
        <v>62111789.894263402</v>
      </c>
      <c r="K24" s="25">
        <v>0.17029549999999999</v>
      </c>
      <c r="L24" s="25">
        <f>1-K24</f>
        <v>0.82970450000000007</v>
      </c>
      <c r="N24" s="26">
        <v>34680076.799999997</v>
      </c>
      <c r="O24" t="s">
        <v>53</v>
      </c>
    </row>
    <row r="25" spans="1:19">
      <c r="B25"/>
      <c r="C25" s="49" t="s">
        <v>90</v>
      </c>
      <c r="D25" s="26">
        <v>0</v>
      </c>
      <c r="E25" s="16"/>
      <c r="F25" s="6"/>
      <c r="G25" s="26">
        <f>D25</f>
        <v>0</v>
      </c>
      <c r="H25" s="6"/>
      <c r="I25" s="26"/>
      <c r="N25" s="26">
        <v>0</v>
      </c>
      <c r="O25" t="s">
        <v>50</v>
      </c>
    </row>
    <row r="26" spans="1:19">
      <c r="B26" s="40" t="s">
        <v>65</v>
      </c>
      <c r="C26" s="14"/>
      <c r="D26" s="11" t="s">
        <v>14</v>
      </c>
      <c r="E26" s="14" t="s">
        <v>13</v>
      </c>
      <c r="F26" s="11" t="s">
        <v>14</v>
      </c>
      <c r="G26" s="11" t="s">
        <v>14</v>
      </c>
      <c r="H26" s="11" t="s">
        <v>14</v>
      </c>
      <c r="I26" s="11" t="s">
        <v>14</v>
      </c>
      <c r="K26" s="25"/>
      <c r="L26" s="25"/>
      <c r="N26" s="43">
        <v>42217229.159999996</v>
      </c>
      <c r="O26" t="s">
        <v>49</v>
      </c>
    </row>
    <row r="27" spans="1:19">
      <c r="B27" s="3" t="s">
        <v>22</v>
      </c>
      <c r="C27"/>
      <c r="D27" s="26">
        <f>SUM(D20:D26)</f>
        <v>77019059.149999991</v>
      </c>
      <c r="E27" s="16"/>
      <c r="F27" s="26">
        <f>SUM(F20:F26)</f>
        <v>2529420.7641726462</v>
      </c>
      <c r="G27" s="26">
        <f>SUM(G20:G26)</f>
        <v>12377848.49156395</v>
      </c>
      <c r="H27" s="26">
        <f>SUM(H20:H26)</f>
        <v>0</v>
      </c>
      <c r="I27" s="26">
        <f>SUM(I20:I26)</f>
        <v>62111789.894263402</v>
      </c>
      <c r="K27" s="25"/>
      <c r="L27" s="25"/>
      <c r="N27" s="26">
        <f>SUM(N24:N26)</f>
        <v>76897305.959999993</v>
      </c>
      <c r="O27"/>
    </row>
    <row r="28" spans="1:19" ht="12.75">
      <c r="D28" s="1"/>
      <c r="E28" s="16"/>
      <c r="F28" s="1"/>
      <c r="G28" s="1"/>
      <c r="H28" s="6"/>
      <c r="I28" s="6"/>
      <c r="K28" s="25"/>
      <c r="L28" s="25"/>
      <c r="N28" s="34"/>
      <c r="O28" s="32"/>
    </row>
    <row r="29" spans="1:19" hidden="1">
      <c r="B29"/>
      <c r="C29" s="3" t="s">
        <v>41</v>
      </c>
      <c r="D29" s="26">
        <v>0</v>
      </c>
      <c r="E29" s="16"/>
      <c r="F29" s="26"/>
      <c r="G29" s="26">
        <f>D29</f>
        <v>0</v>
      </c>
      <c r="H29" s="6"/>
      <c r="I29" s="6"/>
      <c r="K29" s="25"/>
      <c r="L29" s="25"/>
      <c r="N29" s="26">
        <v>0</v>
      </c>
      <c r="O29" t="s">
        <v>54</v>
      </c>
    </row>
    <row r="30" spans="1:19" hidden="1">
      <c r="B30"/>
      <c r="C30" s="3" t="s">
        <v>23</v>
      </c>
      <c r="D30" s="26">
        <v>0</v>
      </c>
      <c r="E30" s="16"/>
      <c r="F30" s="26"/>
      <c r="G30" s="26">
        <f>D30</f>
        <v>0</v>
      </c>
      <c r="H30" s="6"/>
      <c r="I30" s="6"/>
      <c r="K30" s="25"/>
      <c r="L30" s="25"/>
      <c r="M30" s="21"/>
      <c r="N30" s="26">
        <v>0</v>
      </c>
      <c r="O30" t="s">
        <v>51</v>
      </c>
    </row>
    <row r="31" spans="1:19" hidden="1">
      <c r="B31"/>
      <c r="C31" s="3" t="s">
        <v>24</v>
      </c>
      <c r="D31" s="26">
        <f>N32</f>
        <v>0</v>
      </c>
      <c r="E31" s="16"/>
      <c r="F31" s="31">
        <f>(N30+N29*O21)*K31</f>
        <v>0</v>
      </c>
      <c r="G31" s="31">
        <f>(N30+N29*O21)*L31</f>
        <v>0</v>
      </c>
      <c r="H31" s="6"/>
      <c r="I31" s="31">
        <f>(N31+N29*O22)</f>
        <v>0</v>
      </c>
      <c r="K31" s="25">
        <v>0.7</v>
      </c>
      <c r="L31" s="25">
        <f>1-K31</f>
        <v>0.30000000000000004</v>
      </c>
      <c r="N31" s="43">
        <v>0</v>
      </c>
      <c r="O31" t="s">
        <v>48</v>
      </c>
    </row>
    <row r="32" spans="1:19" hidden="1">
      <c r="B32"/>
      <c r="C32" s="3" t="s">
        <v>25</v>
      </c>
      <c r="D32" s="26">
        <v>0</v>
      </c>
      <c r="E32" s="16"/>
      <c r="F32" s="26">
        <f>D32</f>
        <v>0</v>
      </c>
      <c r="G32" s="26">
        <v>0</v>
      </c>
      <c r="H32" s="6"/>
      <c r="I32" s="6"/>
      <c r="N32" s="33">
        <f>SUM(N29:N31)</f>
        <v>0</v>
      </c>
      <c r="O32"/>
    </row>
    <row r="33" spans="2:18" hidden="1">
      <c r="B33"/>
      <c r="C33" s="3" t="s">
        <v>89</v>
      </c>
      <c r="D33" s="26">
        <v>0</v>
      </c>
      <c r="E33" s="16"/>
      <c r="F33" s="6"/>
      <c r="G33" s="26">
        <f>D33</f>
        <v>0</v>
      </c>
      <c r="H33" s="6"/>
      <c r="I33" s="6"/>
      <c r="N33" s="33"/>
      <c r="O33"/>
    </row>
    <row r="34" spans="2:18" hidden="1">
      <c r="B34"/>
      <c r="C34" s="3" t="s">
        <v>26</v>
      </c>
      <c r="D34" s="26">
        <v>0</v>
      </c>
      <c r="E34" s="16"/>
      <c r="F34" s="26">
        <v>0</v>
      </c>
      <c r="G34" s="26">
        <v>0</v>
      </c>
      <c r="H34" s="6"/>
      <c r="I34" s="6"/>
    </row>
    <row r="35" spans="2:18" hidden="1">
      <c r="B35" s="40" t="s">
        <v>65</v>
      </c>
      <c r="C35" s="14"/>
      <c r="D35" s="11" t="s">
        <v>14</v>
      </c>
      <c r="E35" s="14" t="s">
        <v>13</v>
      </c>
      <c r="F35" s="11" t="s">
        <v>14</v>
      </c>
      <c r="G35" s="11" t="s">
        <v>14</v>
      </c>
      <c r="H35" s="11" t="s">
        <v>14</v>
      </c>
      <c r="I35" s="11" t="s">
        <v>14</v>
      </c>
      <c r="R35" s="30"/>
    </row>
    <row r="36" spans="2:18" hidden="1">
      <c r="B36" s="3" t="s">
        <v>27</v>
      </c>
      <c r="C36"/>
      <c r="D36" s="26">
        <f>SUM(D29:D35)</f>
        <v>0</v>
      </c>
      <c r="E36" s="16"/>
      <c r="F36" s="26">
        <f>SUM(F29:F35)</f>
        <v>0</v>
      </c>
      <c r="G36" s="26">
        <f>SUM(G29:G35)</f>
        <v>0</v>
      </c>
      <c r="H36" s="26">
        <f>SUM(H29:H35)</f>
        <v>0</v>
      </c>
      <c r="I36" s="26">
        <f>SUM(I29:I35)</f>
        <v>0</v>
      </c>
    </row>
    <row r="37" spans="2:18">
      <c r="D37" s="16"/>
      <c r="E37" s="16"/>
      <c r="F37" s="6"/>
      <c r="G37" s="6"/>
      <c r="H37" s="6"/>
      <c r="I37" s="6"/>
      <c r="N37" s="3"/>
    </row>
    <row r="38" spans="2:18" hidden="1">
      <c r="B38"/>
      <c r="C38" s="3" t="s">
        <v>68</v>
      </c>
      <c r="D38" s="26">
        <v>0</v>
      </c>
      <c r="E38" s="16"/>
      <c r="F38" s="6"/>
      <c r="G38" s="6"/>
      <c r="H38" s="6"/>
      <c r="I38" s="26">
        <f t="shared" ref="I38:I65" si="0">IF(K38="Post Merger",D38,0)</f>
        <v>0</v>
      </c>
      <c r="K38" s="3" t="s">
        <v>10</v>
      </c>
    </row>
    <row r="39" spans="2:18" hidden="1">
      <c r="B39"/>
      <c r="C39" s="3" t="s">
        <v>55</v>
      </c>
      <c r="D39" s="26">
        <v>0</v>
      </c>
      <c r="E39" s="16"/>
      <c r="F39" s="6"/>
      <c r="G39" s="6"/>
      <c r="H39" s="6"/>
      <c r="I39" s="26">
        <f t="shared" si="0"/>
        <v>0</v>
      </c>
      <c r="K39" s="3" t="s">
        <v>10</v>
      </c>
    </row>
    <row r="40" spans="2:18" hidden="1">
      <c r="B40"/>
      <c r="C40" s="3" t="s">
        <v>69</v>
      </c>
      <c r="D40" s="26">
        <v>0</v>
      </c>
      <c r="E40" s="16"/>
      <c r="F40" s="6"/>
      <c r="G40" s="6"/>
      <c r="H40" s="6"/>
      <c r="I40" s="26">
        <f t="shared" si="0"/>
        <v>0</v>
      </c>
      <c r="K40" s="3" t="s">
        <v>10</v>
      </c>
    </row>
    <row r="41" spans="2:18" hidden="1">
      <c r="B41"/>
      <c r="C41" s="3" t="s">
        <v>88</v>
      </c>
      <c r="D41" s="26">
        <v>0</v>
      </c>
      <c r="E41" s="16"/>
      <c r="F41" s="6"/>
      <c r="G41" s="6"/>
      <c r="H41" s="6"/>
      <c r="I41" s="26">
        <f t="shared" si="0"/>
        <v>0</v>
      </c>
      <c r="K41" s="3" t="s">
        <v>10</v>
      </c>
    </row>
    <row r="42" spans="2:18" hidden="1">
      <c r="B42"/>
      <c r="C42" s="3" t="s">
        <v>70</v>
      </c>
      <c r="D42" s="51" t="s">
        <v>119</v>
      </c>
      <c r="E42" s="16"/>
      <c r="F42" s="6"/>
      <c r="G42" s="6"/>
      <c r="H42" s="6"/>
      <c r="I42" s="26" t="str">
        <f t="shared" si="0"/>
        <v>.</v>
      </c>
      <c r="K42" s="3" t="s">
        <v>10</v>
      </c>
    </row>
    <row r="43" spans="2:18">
      <c r="B43"/>
      <c r="C43" s="3" t="s">
        <v>71</v>
      </c>
      <c r="D43" s="26">
        <v>4575693.2</v>
      </c>
      <c r="E43" s="16"/>
      <c r="F43" s="6"/>
      <c r="G43" s="6"/>
      <c r="H43" s="6"/>
      <c r="I43" s="26">
        <f t="shared" si="0"/>
        <v>4575693.2</v>
      </c>
      <c r="K43" s="3" t="s">
        <v>10</v>
      </c>
    </row>
    <row r="44" spans="2:18" hidden="1">
      <c r="B44"/>
      <c r="C44" s="3" t="s">
        <v>72</v>
      </c>
      <c r="D44" s="26">
        <v>0</v>
      </c>
      <c r="E44" s="16"/>
      <c r="F44" s="6"/>
      <c r="G44" s="6"/>
      <c r="H44" s="6"/>
      <c r="I44" s="26">
        <f t="shared" si="0"/>
        <v>0</v>
      </c>
      <c r="K44" s="3" t="s">
        <v>10</v>
      </c>
    </row>
    <row r="45" spans="2:18">
      <c r="B45"/>
      <c r="C45" s="3" t="s">
        <v>46</v>
      </c>
      <c r="D45" s="26">
        <v>8005931.2199999997</v>
      </c>
      <c r="E45" s="16"/>
      <c r="F45" s="6"/>
      <c r="G45" s="6"/>
      <c r="H45" s="6"/>
      <c r="I45" s="26">
        <f t="shared" si="0"/>
        <v>8005931.2199999997</v>
      </c>
      <c r="K45" s="3" t="s">
        <v>10</v>
      </c>
    </row>
    <row r="46" spans="2:18">
      <c r="B46"/>
      <c r="C46" s="3" t="s">
        <v>73</v>
      </c>
      <c r="D46" s="26">
        <v>84152812.780000001</v>
      </c>
      <c r="E46" s="16"/>
      <c r="F46" s="6"/>
      <c r="G46" s="6"/>
      <c r="H46" s="6"/>
      <c r="I46" s="26">
        <f t="shared" si="0"/>
        <v>84152812.780000001</v>
      </c>
      <c r="K46" s="3" t="s">
        <v>10</v>
      </c>
    </row>
    <row r="47" spans="2:18" hidden="1">
      <c r="B47"/>
      <c r="C47" s="3" t="s">
        <v>74</v>
      </c>
      <c r="D47" s="26">
        <v>0</v>
      </c>
      <c r="E47" s="16"/>
      <c r="F47" s="6"/>
      <c r="G47" s="6"/>
      <c r="H47" s="6"/>
      <c r="I47" s="26">
        <f t="shared" si="0"/>
        <v>0</v>
      </c>
      <c r="K47" s="3" t="s">
        <v>10</v>
      </c>
    </row>
    <row r="48" spans="2:18" hidden="1">
      <c r="B48"/>
      <c r="C48" s="3" t="s">
        <v>75</v>
      </c>
      <c r="D48" s="26">
        <v>0</v>
      </c>
      <c r="E48" s="16"/>
      <c r="F48" s="6"/>
      <c r="G48" s="6"/>
      <c r="H48" s="6"/>
      <c r="I48" s="26">
        <f t="shared" si="0"/>
        <v>0</v>
      </c>
      <c r="K48" s="3" t="s">
        <v>10</v>
      </c>
    </row>
    <row r="49" spans="2:11" hidden="1">
      <c r="B49"/>
      <c r="C49" s="3" t="s">
        <v>45</v>
      </c>
      <c r="D49" s="26">
        <v>0</v>
      </c>
      <c r="E49" s="16"/>
      <c r="F49" s="6"/>
      <c r="G49" s="6"/>
      <c r="H49" s="6"/>
      <c r="I49" s="26">
        <f t="shared" si="0"/>
        <v>0</v>
      </c>
      <c r="K49" s="3" t="s">
        <v>10</v>
      </c>
    </row>
    <row r="50" spans="2:11" hidden="1">
      <c r="B50"/>
      <c r="C50" s="22" t="s">
        <v>76</v>
      </c>
      <c r="D50" s="26">
        <v>0</v>
      </c>
      <c r="E50" s="16"/>
      <c r="F50" s="6"/>
      <c r="G50" s="6"/>
      <c r="H50" s="6"/>
      <c r="I50" s="26">
        <f t="shared" si="0"/>
        <v>0</v>
      </c>
      <c r="K50" s="3" t="s">
        <v>10</v>
      </c>
    </row>
    <row r="51" spans="2:11" hidden="1">
      <c r="B51"/>
      <c r="C51" s="3" t="s">
        <v>77</v>
      </c>
      <c r="D51" s="26">
        <v>0</v>
      </c>
      <c r="E51" s="16"/>
      <c r="F51" s="6"/>
      <c r="G51" s="6"/>
      <c r="H51" s="6"/>
      <c r="I51" s="26">
        <f t="shared" si="0"/>
        <v>0</v>
      </c>
      <c r="K51" s="3" t="s">
        <v>10</v>
      </c>
    </row>
    <row r="52" spans="2:11" hidden="1">
      <c r="B52"/>
      <c r="C52" s="3" t="s">
        <v>78</v>
      </c>
      <c r="D52" s="26">
        <v>0</v>
      </c>
      <c r="E52" s="16"/>
      <c r="F52" s="6"/>
      <c r="G52" s="6"/>
      <c r="H52" s="6"/>
      <c r="I52" s="26">
        <f t="shared" si="0"/>
        <v>0</v>
      </c>
      <c r="K52" s="3" t="s">
        <v>10</v>
      </c>
    </row>
    <row r="53" spans="2:11" hidden="1">
      <c r="B53"/>
      <c r="C53" s="3" t="s">
        <v>79</v>
      </c>
      <c r="D53" s="26">
        <v>0</v>
      </c>
      <c r="E53" s="16"/>
      <c r="F53" s="6"/>
      <c r="G53" s="6"/>
      <c r="H53" s="6"/>
      <c r="I53" s="26">
        <f t="shared" si="0"/>
        <v>0</v>
      </c>
      <c r="K53" s="3" t="s">
        <v>10</v>
      </c>
    </row>
    <row r="54" spans="2:11" hidden="1">
      <c r="B54"/>
      <c r="C54" s="3" t="s">
        <v>80</v>
      </c>
      <c r="D54" s="26">
        <v>0</v>
      </c>
      <c r="E54" s="16"/>
      <c r="F54" s="6"/>
      <c r="G54" s="6"/>
      <c r="H54" s="6"/>
      <c r="I54" s="26">
        <f t="shared" si="0"/>
        <v>0</v>
      </c>
      <c r="K54" s="3" t="s">
        <v>10</v>
      </c>
    </row>
    <row r="55" spans="2:11" hidden="1">
      <c r="B55"/>
      <c r="C55" s="3" t="s">
        <v>81</v>
      </c>
      <c r="D55" s="26">
        <v>0</v>
      </c>
      <c r="E55" s="16"/>
      <c r="F55" s="6"/>
      <c r="G55" s="6"/>
      <c r="H55" s="6"/>
      <c r="I55" s="26">
        <f t="shared" si="0"/>
        <v>0</v>
      </c>
      <c r="K55" s="3" t="s">
        <v>10</v>
      </c>
    </row>
    <row r="56" spans="2:11" hidden="1">
      <c r="B56"/>
      <c r="C56" s="3" t="s">
        <v>82</v>
      </c>
      <c r="D56" s="26">
        <v>0</v>
      </c>
      <c r="E56" s="16"/>
      <c r="F56" s="6"/>
      <c r="G56" s="6"/>
      <c r="H56" s="6"/>
      <c r="I56" s="26">
        <f t="shared" si="0"/>
        <v>0</v>
      </c>
      <c r="K56" s="3" t="s">
        <v>10</v>
      </c>
    </row>
    <row r="57" spans="2:11" hidden="1">
      <c r="B57"/>
      <c r="C57" s="27" t="s">
        <v>83</v>
      </c>
      <c r="D57" s="26">
        <v>0</v>
      </c>
      <c r="E57" s="16"/>
      <c r="F57" s="6"/>
      <c r="G57" s="6"/>
      <c r="H57" s="6"/>
      <c r="I57" s="26">
        <f t="shared" si="0"/>
        <v>0</v>
      </c>
      <c r="K57" s="3" t="s">
        <v>10</v>
      </c>
    </row>
    <row r="58" spans="2:11" hidden="1">
      <c r="B58"/>
      <c r="C58" s="27" t="s">
        <v>92</v>
      </c>
      <c r="D58" s="26">
        <v>0</v>
      </c>
      <c r="E58" s="16"/>
      <c r="F58" s="6"/>
      <c r="G58" s="6"/>
      <c r="H58" s="6"/>
      <c r="I58" s="26">
        <f t="shared" si="0"/>
        <v>0</v>
      </c>
      <c r="K58" s="3" t="s">
        <v>10</v>
      </c>
    </row>
    <row r="59" spans="2:11" hidden="1">
      <c r="B59"/>
      <c r="C59" s="3" t="s">
        <v>84</v>
      </c>
      <c r="D59" s="26">
        <v>0</v>
      </c>
      <c r="E59" s="16"/>
      <c r="F59" s="6"/>
      <c r="G59" s="6"/>
      <c r="H59" s="6"/>
      <c r="I59" s="26">
        <f t="shared" si="0"/>
        <v>0</v>
      </c>
      <c r="K59" s="3" t="s">
        <v>10</v>
      </c>
    </row>
    <row r="60" spans="2:11" hidden="1">
      <c r="B60"/>
      <c r="C60" s="3" t="s">
        <v>95</v>
      </c>
      <c r="D60" s="26">
        <v>0</v>
      </c>
      <c r="E60" s="16"/>
      <c r="F60" s="6"/>
      <c r="G60" s="6"/>
      <c r="H60" s="6"/>
      <c r="I60" s="26">
        <f t="shared" si="0"/>
        <v>0</v>
      </c>
      <c r="K60" s="3" t="s">
        <v>10</v>
      </c>
    </row>
    <row r="61" spans="2:11" hidden="1">
      <c r="B61"/>
      <c r="C61" s="3" t="s">
        <v>85</v>
      </c>
      <c r="D61" s="26">
        <v>0</v>
      </c>
      <c r="E61" s="16"/>
      <c r="F61" s="6"/>
      <c r="G61" s="6"/>
      <c r="H61" s="6"/>
      <c r="I61" s="26">
        <f t="shared" si="0"/>
        <v>0</v>
      </c>
      <c r="K61" s="3" t="s">
        <v>10</v>
      </c>
    </row>
    <row r="62" spans="2:11" hidden="1">
      <c r="B62"/>
      <c r="C62" s="3" t="s">
        <v>86</v>
      </c>
      <c r="D62" s="26">
        <v>0</v>
      </c>
      <c r="E62" s="16"/>
      <c r="F62" s="6"/>
      <c r="G62" s="6"/>
      <c r="H62" s="6"/>
      <c r="I62" s="26">
        <f t="shared" si="0"/>
        <v>0</v>
      </c>
      <c r="K62" s="3" t="s">
        <v>10</v>
      </c>
    </row>
    <row r="63" spans="2:11" hidden="1">
      <c r="B63"/>
      <c r="C63" s="3" t="s">
        <v>94</v>
      </c>
      <c r="D63" s="26">
        <v>0</v>
      </c>
      <c r="E63" s="16"/>
      <c r="F63" s="6"/>
      <c r="G63" s="6"/>
      <c r="H63" s="6"/>
      <c r="I63" s="26">
        <f t="shared" si="0"/>
        <v>0</v>
      </c>
      <c r="K63" s="3" t="s">
        <v>10</v>
      </c>
    </row>
    <row r="64" spans="2:11" hidden="1">
      <c r="B64"/>
      <c r="C64" s="27" t="s">
        <v>87</v>
      </c>
      <c r="D64" s="26">
        <v>0</v>
      </c>
      <c r="E64" s="16"/>
      <c r="F64" s="6"/>
      <c r="G64" s="6"/>
      <c r="H64" s="6"/>
      <c r="I64" s="26">
        <f t="shared" si="0"/>
        <v>0</v>
      </c>
      <c r="K64" s="3" t="s">
        <v>10</v>
      </c>
    </row>
    <row r="65" spans="1:16" hidden="1">
      <c r="B65"/>
      <c r="C65" s="3" t="s">
        <v>93</v>
      </c>
      <c r="D65" s="26">
        <v>0</v>
      </c>
      <c r="E65" s="16"/>
      <c r="F65" s="6"/>
      <c r="G65" s="6"/>
      <c r="H65" s="6"/>
      <c r="I65" s="26">
        <f t="shared" si="0"/>
        <v>0</v>
      </c>
      <c r="K65" s="3" t="s">
        <v>10</v>
      </c>
    </row>
    <row r="66" spans="1:16" ht="11.25" thickBot="1">
      <c r="B66"/>
      <c r="C66" s="27"/>
      <c r="D66" s="26"/>
      <c r="E66" s="16"/>
      <c r="F66" s="6"/>
      <c r="G66" s="6"/>
      <c r="H66" s="6"/>
      <c r="I66" s="26"/>
    </row>
    <row r="67" spans="1:16" hidden="1">
      <c r="B67" s="22" t="s">
        <v>64</v>
      </c>
      <c r="C67" s="27"/>
      <c r="D67" s="26"/>
      <c r="E67" s="16"/>
      <c r="F67" s="6"/>
      <c r="G67" s="6"/>
      <c r="H67" s="6"/>
      <c r="I67" s="26"/>
    </row>
    <row r="68" spans="1:16" ht="11.25" hidden="1" thickBot="1">
      <c r="B68"/>
      <c r="C68" s="3" t="s">
        <v>96</v>
      </c>
      <c r="D68" s="26">
        <v>0</v>
      </c>
      <c r="E68" s="16"/>
      <c r="F68" s="6"/>
      <c r="G68" s="6"/>
      <c r="H68" s="6"/>
      <c r="I68" s="26">
        <f>IF(K68="Post Merger",D68,0)</f>
        <v>0</v>
      </c>
      <c r="K68" s="3" t="s">
        <v>10</v>
      </c>
    </row>
    <row r="69" spans="1:16" ht="11.25" thickBot="1">
      <c r="B69"/>
      <c r="D69" s="16"/>
      <c r="E69" s="16"/>
      <c r="F69" s="6"/>
      <c r="G69" s="6"/>
      <c r="H69" s="6"/>
      <c r="I69" s="6"/>
      <c r="K69" s="36">
        <v>0</v>
      </c>
      <c r="L69" s="24" t="s">
        <v>40</v>
      </c>
      <c r="M69" s="37">
        <v>0</v>
      </c>
    </row>
    <row r="70" spans="1:16">
      <c r="B70"/>
      <c r="C70" t="s">
        <v>115</v>
      </c>
      <c r="D70" s="26">
        <v>67492994.709999993</v>
      </c>
      <c r="E70" s="16"/>
      <c r="F70" s="6"/>
      <c r="G70" s="6"/>
      <c r="H70" s="6"/>
      <c r="I70" s="26">
        <f>D70</f>
        <v>67492994.709999993</v>
      </c>
    </row>
    <row r="71" spans="1:16" ht="11.25" thickBot="1">
      <c r="B71" s="40" t="s">
        <v>65</v>
      </c>
      <c r="C71" s="14"/>
      <c r="D71" s="11" t="s">
        <v>14</v>
      </c>
      <c r="E71" s="14" t="s">
        <v>13</v>
      </c>
      <c r="F71" s="11" t="s">
        <v>14</v>
      </c>
      <c r="G71" s="11" t="s">
        <v>14</v>
      </c>
      <c r="H71" s="11" t="s">
        <v>14</v>
      </c>
      <c r="I71" s="11" t="s">
        <v>14</v>
      </c>
    </row>
    <row r="72" spans="1:16" ht="11.25" thickBot="1">
      <c r="B72" s="3" t="s">
        <v>28</v>
      </c>
      <c r="C72"/>
      <c r="D72" s="26">
        <f>SUM(D38:D70)</f>
        <v>164227431.91</v>
      </c>
      <c r="E72" s="16"/>
      <c r="F72" s="26">
        <f>SUM(F38:F70)</f>
        <v>0</v>
      </c>
      <c r="G72" s="26">
        <f>SUM(G38:G70)</f>
        <v>0</v>
      </c>
      <c r="H72" s="26">
        <f>SUM(H38:H70)</f>
        <v>0</v>
      </c>
      <c r="I72" s="26">
        <f>SUM(I38:I70)</f>
        <v>164227431.91</v>
      </c>
      <c r="K72" s="36"/>
      <c r="L72" s="24" t="s">
        <v>40</v>
      </c>
      <c r="M72" s="37">
        <f>D72-SUM(F72:I72)</f>
        <v>0</v>
      </c>
    </row>
    <row r="73" spans="1:16">
      <c r="B73" s="3" t="s">
        <v>116</v>
      </c>
      <c r="D73" s="26">
        <v>663166.31000000006</v>
      </c>
      <c r="E73" s="16"/>
      <c r="F73" s="14"/>
      <c r="H73" s="26"/>
      <c r="I73" s="26">
        <f>D73</f>
        <v>663166.31000000006</v>
      </c>
      <c r="J73"/>
      <c r="K73"/>
      <c r="L73"/>
      <c r="M73"/>
    </row>
    <row r="74" spans="1:16">
      <c r="B74" s="3" t="s">
        <v>29</v>
      </c>
      <c r="C74"/>
      <c r="D74" s="26">
        <v>0</v>
      </c>
      <c r="E74" s="16"/>
      <c r="F74" s="26"/>
      <c r="G74" s="26"/>
      <c r="H74" s="26">
        <f>D74</f>
        <v>0</v>
      </c>
      <c r="I74" s="6"/>
    </row>
    <row r="75" spans="1:16" ht="11.25" thickBot="1">
      <c r="D75" s="11" t="s">
        <v>14</v>
      </c>
      <c r="E75" s="14" t="s">
        <v>13</v>
      </c>
      <c r="F75" s="11" t="s">
        <v>14</v>
      </c>
      <c r="G75" s="11" t="s">
        <v>14</v>
      </c>
      <c r="H75" s="11" t="s">
        <v>14</v>
      </c>
      <c r="I75" s="11" t="s">
        <v>14</v>
      </c>
    </row>
    <row r="76" spans="1:16" ht="11.25" thickBot="1">
      <c r="A76" s="3" t="s">
        <v>30</v>
      </c>
      <c r="D76" s="26">
        <f>D72+D73+D74+D36+D27</f>
        <v>241909657.37</v>
      </c>
      <c r="E76" s="16"/>
      <c r="F76" s="26">
        <f>F72+F73+F74+F36+F27</f>
        <v>2529420.7641726462</v>
      </c>
      <c r="G76" s="26">
        <f>G72+G73+G74+G36+G27</f>
        <v>12377848.49156395</v>
      </c>
      <c r="H76" s="26">
        <f>H72+H73+H74+H36+H27</f>
        <v>0</v>
      </c>
      <c r="I76" s="26">
        <f>I72+I73+I74+I36+I27</f>
        <v>227002388.11426342</v>
      </c>
      <c r="K76" s="36">
        <v>0</v>
      </c>
      <c r="L76" s="24" t="s">
        <v>40</v>
      </c>
      <c r="M76" s="37">
        <f>D76-SUM(F76:I76)</f>
        <v>0</v>
      </c>
    </row>
    <row r="77" spans="1:16">
      <c r="D77" s="16"/>
      <c r="E77" s="16"/>
      <c r="F77" s="16"/>
      <c r="G77" s="16"/>
      <c r="H77" s="16"/>
      <c r="I77" s="16"/>
    </row>
    <row r="78" spans="1:16">
      <c r="D78" s="16"/>
      <c r="E78" s="16"/>
      <c r="F78" s="16"/>
      <c r="G78" s="16"/>
      <c r="H78" s="16"/>
      <c r="I78" s="16"/>
    </row>
    <row r="79" spans="1:16" ht="11.25">
      <c r="A79" s="3" t="s">
        <v>31</v>
      </c>
      <c r="F79" s="6"/>
      <c r="G79" s="6"/>
      <c r="H79" s="6"/>
      <c r="I79" s="6"/>
      <c r="N79" s="29" t="s">
        <v>60</v>
      </c>
      <c r="O79" s="32">
        <v>24999835.973468848</v>
      </c>
      <c r="P79" s="26"/>
    </row>
    <row r="80" spans="1:16" ht="11.25">
      <c r="F80" s="6"/>
      <c r="G80" s="6"/>
      <c r="H80" s="6"/>
      <c r="I80" s="6"/>
      <c r="N80" s="29" t="s">
        <v>61</v>
      </c>
      <c r="O80" s="32">
        <v>0</v>
      </c>
      <c r="P80" s="26"/>
    </row>
    <row r="81" spans="1:16" customFormat="1" ht="11.25">
      <c r="A81" s="3"/>
      <c r="B81" s="3" t="s">
        <v>32</v>
      </c>
      <c r="D81" s="26">
        <f>SUM(F81:I81)</f>
        <v>24999835.973468848</v>
      </c>
      <c r="E81" s="16"/>
      <c r="F81" s="26">
        <f>O79</f>
        <v>24999835.973468848</v>
      </c>
      <c r="G81" s="6"/>
      <c r="H81" s="6"/>
      <c r="I81" s="6"/>
      <c r="J81" s="3"/>
      <c r="K81" s="18"/>
      <c r="L81" s="3"/>
      <c r="M81" s="3"/>
      <c r="N81" s="29" t="s">
        <v>62</v>
      </c>
      <c r="O81" s="32">
        <v>83304574.000558719</v>
      </c>
      <c r="P81" s="38"/>
    </row>
    <row r="82" spans="1:16" ht="11.25" hidden="1">
      <c r="A82"/>
      <c r="B82"/>
      <c r="C82"/>
      <c r="D82"/>
      <c r="E82"/>
      <c r="F82"/>
      <c r="G82"/>
      <c r="H82"/>
      <c r="I82"/>
      <c r="J82"/>
      <c r="K82" s="23"/>
      <c r="L82"/>
      <c r="M82"/>
      <c r="N82" s="29" t="s">
        <v>91</v>
      </c>
      <c r="O82" s="32">
        <v>0</v>
      </c>
      <c r="P82" s="26"/>
    </row>
    <row r="83" spans="1:16" ht="12" thickBot="1">
      <c r="B83" s="3" t="s">
        <v>33</v>
      </c>
      <c r="C83"/>
      <c r="D83" s="26">
        <f>SUM(F83:I83)</f>
        <v>0</v>
      </c>
      <c r="E83" s="16"/>
      <c r="F83" s="26">
        <f>O80</f>
        <v>0</v>
      </c>
      <c r="G83" s="6"/>
      <c r="H83" s="6"/>
      <c r="I83" s="6"/>
      <c r="N83" s="29" t="s">
        <v>63</v>
      </c>
      <c r="O83" s="32">
        <v>1038267.1499999999</v>
      </c>
      <c r="P83" s="26"/>
    </row>
    <row r="84" spans="1:16" ht="11.25" hidden="1" thickBot="1">
      <c r="C84"/>
      <c r="D84" s="16"/>
      <c r="E84" s="16"/>
      <c r="F84" s="6"/>
      <c r="G84" s="6"/>
      <c r="H84" s="6"/>
      <c r="I84" s="6"/>
      <c r="O84" s="32">
        <f>SUM(O79:O83)</f>
        <v>109342677.12402758</v>
      </c>
      <c r="P84" s="26"/>
    </row>
    <row r="85" spans="1:16" ht="11.25" thickBot="1">
      <c r="B85" s="3" t="s">
        <v>10</v>
      </c>
      <c r="C85"/>
      <c r="D85" s="26">
        <f>D90-(D81+D83+D87)</f>
        <v>84342841.02653116</v>
      </c>
      <c r="E85" s="16"/>
      <c r="F85" s="17"/>
      <c r="G85" s="6"/>
      <c r="H85" s="6"/>
      <c r="I85" s="26">
        <f>D85</f>
        <v>84342841.02653116</v>
      </c>
      <c r="N85" s="47" t="s">
        <v>40</v>
      </c>
      <c r="O85" s="37">
        <v>0</v>
      </c>
      <c r="P85" s="46"/>
    </row>
    <row r="86" spans="1:16" hidden="1">
      <c r="F86" s="6"/>
      <c r="G86" s="6"/>
      <c r="H86" s="6"/>
      <c r="I86" s="6"/>
    </row>
    <row r="87" spans="1:16" customFormat="1">
      <c r="A87" s="3"/>
      <c r="B87" t="s">
        <v>34</v>
      </c>
      <c r="C87" s="3"/>
      <c r="D87" s="26">
        <v>0</v>
      </c>
      <c r="E87" s="16"/>
      <c r="F87" s="6"/>
      <c r="H87" s="26">
        <f>D87</f>
        <v>0</v>
      </c>
      <c r="I87" s="6"/>
      <c r="J87" s="3"/>
      <c r="K87" s="3"/>
      <c r="L87" s="3"/>
      <c r="M87" s="3"/>
      <c r="N87" s="27"/>
    </row>
    <row r="88" spans="1:16">
      <c r="A88"/>
      <c r="B88"/>
      <c r="C88"/>
      <c r="D88"/>
      <c r="E88"/>
      <c r="F88"/>
      <c r="G88"/>
      <c r="H88"/>
      <c r="I88"/>
      <c r="J88"/>
      <c r="K88"/>
      <c r="L88"/>
      <c r="M88"/>
    </row>
    <row r="89" spans="1:16" ht="11.25" thickBot="1">
      <c r="D89" s="11" t="s">
        <v>14</v>
      </c>
      <c r="E89" s="14" t="s">
        <v>13</v>
      </c>
      <c r="F89" s="11" t="s">
        <v>14</v>
      </c>
      <c r="G89" s="11" t="s">
        <v>14</v>
      </c>
      <c r="H89" s="11" t="s">
        <v>14</v>
      </c>
      <c r="I89" s="11" t="s">
        <v>14</v>
      </c>
    </row>
    <row r="90" spans="1:16" customFormat="1" ht="11.25" thickBot="1">
      <c r="A90" s="3" t="s">
        <v>35</v>
      </c>
      <c r="B90" s="3"/>
      <c r="C90" s="3"/>
      <c r="D90" s="26">
        <v>109342677</v>
      </c>
      <c r="E90" s="16"/>
      <c r="F90" s="26">
        <f>SUM(F81:F87)</f>
        <v>24999835.973468848</v>
      </c>
      <c r="G90" s="26">
        <f>SUM(G81:G87)</f>
        <v>0</v>
      </c>
      <c r="H90" s="26">
        <f>SUM(H81:H87)</f>
        <v>0</v>
      </c>
      <c r="I90" s="26">
        <f>SUM(I81:I87)</f>
        <v>84342841.02653116</v>
      </c>
      <c r="J90" s="3"/>
      <c r="K90" s="36">
        <f>D90-(D81+D83+D85+D87)</f>
        <v>0</v>
      </c>
      <c r="L90" s="24" t="s">
        <v>40</v>
      </c>
      <c r="M90" s="37">
        <f>D90-SUM(F90:I90)</f>
        <v>0</v>
      </c>
      <c r="N90" s="27"/>
    </row>
    <row r="91" spans="1:16" customFormat="1">
      <c r="A91" s="3"/>
      <c r="B91" s="3"/>
      <c r="C91" s="3"/>
      <c r="D91" s="3"/>
      <c r="E91" s="3"/>
      <c r="G91" s="3"/>
      <c r="H91" s="3"/>
      <c r="I91" s="3"/>
      <c r="N91" s="27"/>
    </row>
    <row r="92" spans="1:16" customFormat="1">
      <c r="A92" s="3" t="s">
        <v>36</v>
      </c>
      <c r="B92" s="3"/>
      <c r="C92" s="3"/>
      <c r="D92" s="3"/>
      <c r="E92" s="3"/>
      <c r="G92" s="3"/>
      <c r="H92" s="3"/>
      <c r="I92" s="3"/>
      <c r="N92" s="27"/>
    </row>
    <row r="93" spans="1:16" customFormat="1" hidden="1">
      <c r="A93" s="3"/>
      <c r="B93" s="16" t="s">
        <v>98</v>
      </c>
      <c r="C93" s="3"/>
      <c r="D93" s="26">
        <v>0</v>
      </c>
      <c r="E93" s="16"/>
      <c r="G93" s="3"/>
      <c r="H93" s="26">
        <f t="shared" ref="H93:H107" si="1">D93</f>
        <v>0</v>
      </c>
      <c r="I93" s="2"/>
      <c r="N93" s="27"/>
    </row>
    <row r="94" spans="1:16" customFormat="1" hidden="1">
      <c r="A94" s="3"/>
      <c r="B94" s="16" t="s">
        <v>99</v>
      </c>
      <c r="C94" s="3"/>
      <c r="D94" s="26">
        <v>0</v>
      </c>
      <c r="E94" s="16"/>
      <c r="G94" s="3"/>
      <c r="H94" s="26">
        <f t="shared" si="1"/>
        <v>0</v>
      </c>
      <c r="I94" s="2"/>
      <c r="N94" s="27"/>
    </row>
    <row r="95" spans="1:16" customFormat="1">
      <c r="A95" s="3"/>
      <c r="B95" s="16" t="s">
        <v>100</v>
      </c>
      <c r="C95" s="3"/>
      <c r="D95" s="26">
        <v>7897693.0099999998</v>
      </c>
      <c r="E95" s="16"/>
      <c r="G95" s="3"/>
      <c r="H95" s="26">
        <f t="shared" si="1"/>
        <v>7897693.0099999998</v>
      </c>
      <c r="I95" s="2"/>
      <c r="N95" s="27"/>
    </row>
    <row r="96" spans="1:16" customFormat="1" hidden="1">
      <c r="A96" s="3"/>
      <c r="B96" s="16" t="s">
        <v>101</v>
      </c>
      <c r="C96" s="3"/>
      <c r="D96" s="26">
        <v>0</v>
      </c>
      <c r="E96" s="16"/>
      <c r="G96" s="3"/>
      <c r="H96" s="26">
        <f t="shared" si="1"/>
        <v>0</v>
      </c>
      <c r="I96" s="2"/>
      <c r="N96" s="27"/>
    </row>
    <row r="97" spans="1:14" customFormat="1">
      <c r="A97" s="3"/>
      <c r="B97" s="16" t="s">
        <v>66</v>
      </c>
      <c r="C97" s="3"/>
      <c r="D97" s="26">
        <v>50918245.159999996</v>
      </c>
      <c r="E97" s="16"/>
      <c r="G97" s="3"/>
      <c r="H97" s="26">
        <f t="shared" si="1"/>
        <v>50918245.159999996</v>
      </c>
      <c r="I97" s="2"/>
      <c r="N97" s="27"/>
    </row>
    <row r="98" spans="1:14" customFormat="1" hidden="1">
      <c r="A98" s="3"/>
      <c r="B98" s="16" t="s">
        <v>47</v>
      </c>
      <c r="C98" s="3"/>
      <c r="D98" s="26">
        <v>0</v>
      </c>
      <c r="E98" s="16"/>
      <c r="G98" s="3"/>
      <c r="H98" s="26">
        <f t="shared" si="1"/>
        <v>0</v>
      </c>
      <c r="I98" s="2"/>
      <c r="N98" s="27"/>
    </row>
    <row r="99" spans="1:14" customFormat="1" hidden="1">
      <c r="A99" s="3"/>
      <c r="B99" s="16" t="s">
        <v>102</v>
      </c>
      <c r="C99" s="3"/>
      <c r="D99" s="26">
        <v>0</v>
      </c>
      <c r="E99" s="16"/>
      <c r="G99" s="3"/>
      <c r="H99" s="26">
        <f t="shared" si="1"/>
        <v>0</v>
      </c>
      <c r="I99" s="2"/>
      <c r="N99" s="27"/>
    </row>
    <row r="100" spans="1:14" customFormat="1" hidden="1">
      <c r="A100" s="3"/>
      <c r="B100" s="16" t="s">
        <v>103</v>
      </c>
      <c r="C100" s="3"/>
      <c r="D100" s="26">
        <v>0</v>
      </c>
      <c r="E100" s="16"/>
      <c r="G100" s="3"/>
      <c r="H100" s="26">
        <f t="shared" si="1"/>
        <v>0</v>
      </c>
      <c r="I100" s="2"/>
      <c r="N100" s="27"/>
    </row>
    <row r="101" spans="1:14" customFormat="1" hidden="1">
      <c r="A101" s="3"/>
      <c r="B101" s="16" t="s">
        <v>104</v>
      </c>
      <c r="C101" s="3"/>
      <c r="D101" s="26">
        <v>0</v>
      </c>
      <c r="E101" s="16"/>
      <c r="G101" s="3"/>
      <c r="H101" s="26">
        <f t="shared" si="1"/>
        <v>0</v>
      </c>
      <c r="I101" s="2"/>
      <c r="N101" s="27"/>
    </row>
    <row r="102" spans="1:14" customFormat="1" hidden="1">
      <c r="A102" s="3"/>
      <c r="B102" s="16" t="s">
        <v>105</v>
      </c>
      <c r="C102" s="3"/>
      <c r="D102" s="26">
        <v>0</v>
      </c>
      <c r="E102" s="16"/>
      <c r="F102" s="14"/>
      <c r="G102" s="3"/>
      <c r="H102" s="26">
        <f t="shared" si="1"/>
        <v>0</v>
      </c>
      <c r="I102" s="2"/>
      <c r="N102" s="27"/>
    </row>
    <row r="103" spans="1:14" customFormat="1">
      <c r="A103" s="3"/>
      <c r="B103" s="16" t="s">
        <v>106</v>
      </c>
      <c r="C103" s="3"/>
      <c r="D103" s="26">
        <v>46003985.939999998</v>
      </c>
      <c r="E103" s="16"/>
      <c r="F103" s="14"/>
      <c r="G103" s="3"/>
      <c r="H103" s="26">
        <f t="shared" si="1"/>
        <v>46003985.939999998</v>
      </c>
      <c r="I103" s="2"/>
      <c r="N103" s="27"/>
    </row>
    <row r="104" spans="1:14" customFormat="1" hidden="1">
      <c r="A104" s="3"/>
      <c r="B104" s="16" t="s">
        <v>107</v>
      </c>
      <c r="C104" s="3"/>
      <c r="D104" s="26">
        <v>0</v>
      </c>
      <c r="E104" s="16"/>
      <c r="F104" s="14"/>
      <c r="G104" s="3"/>
      <c r="H104" s="26">
        <f t="shared" si="1"/>
        <v>0</v>
      </c>
      <c r="I104" s="2"/>
      <c r="N104" s="27"/>
    </row>
    <row r="105" spans="1:14" customFormat="1" hidden="1">
      <c r="A105" s="3"/>
      <c r="B105" s="16" t="s">
        <v>108</v>
      </c>
      <c r="C105" s="3"/>
      <c r="D105" s="26">
        <v>0</v>
      </c>
      <c r="E105" s="16"/>
      <c r="F105" s="14"/>
      <c r="G105" s="3"/>
      <c r="H105" s="26">
        <f t="shared" si="1"/>
        <v>0</v>
      </c>
      <c r="I105" s="2"/>
      <c r="N105" s="27"/>
    </row>
    <row r="106" spans="1:14" customFormat="1">
      <c r="A106" s="3"/>
      <c r="B106" s="16" t="s">
        <v>109</v>
      </c>
      <c r="C106" s="3"/>
      <c r="D106" s="26">
        <v>198585296.31999999</v>
      </c>
      <c r="E106" s="16"/>
      <c r="F106" s="14"/>
      <c r="G106" s="3"/>
      <c r="H106" s="26">
        <f t="shared" si="1"/>
        <v>198585296.31999999</v>
      </c>
      <c r="I106" s="2"/>
      <c r="N106" s="27"/>
    </row>
    <row r="107" spans="1:14" customFormat="1" hidden="1">
      <c r="A107" s="3"/>
      <c r="B107" s="16" t="s">
        <v>110</v>
      </c>
      <c r="C107" s="3"/>
      <c r="D107" s="26">
        <v>0</v>
      </c>
      <c r="E107" s="16"/>
      <c r="F107" s="14"/>
      <c r="G107" s="3"/>
      <c r="H107" s="26">
        <f t="shared" si="1"/>
        <v>0</v>
      </c>
      <c r="I107" s="2"/>
      <c r="N107" s="27"/>
    </row>
    <row r="108" spans="1:14" customFormat="1" hidden="1">
      <c r="A108" s="3"/>
      <c r="B108" s="16"/>
      <c r="C108" s="3"/>
      <c r="D108" s="26"/>
      <c r="E108" s="16"/>
      <c r="F108" s="14"/>
      <c r="G108" s="3"/>
      <c r="H108" s="26"/>
      <c r="I108" s="2"/>
      <c r="N108" s="27"/>
    </row>
    <row r="109" spans="1:14" customFormat="1" hidden="1">
      <c r="A109" s="3"/>
      <c r="B109" s="16" t="s">
        <v>111</v>
      </c>
      <c r="C109" s="3"/>
      <c r="D109" s="26">
        <v>0</v>
      </c>
      <c r="E109" s="16"/>
      <c r="F109" s="14"/>
      <c r="G109" s="3"/>
      <c r="H109" s="26">
        <f>D109</f>
        <v>0</v>
      </c>
      <c r="I109" s="2"/>
      <c r="N109" s="27"/>
    </row>
    <row r="110" spans="1:14" customFormat="1" hidden="1">
      <c r="A110" s="3"/>
      <c r="B110" s="16" t="s">
        <v>112</v>
      </c>
      <c r="C110" s="3"/>
      <c r="D110" s="26">
        <v>0</v>
      </c>
      <c r="E110" s="16"/>
      <c r="F110" s="14"/>
      <c r="G110" s="3"/>
      <c r="H110" s="26">
        <f>D110</f>
        <v>0</v>
      </c>
      <c r="I110" s="2"/>
      <c r="N110" s="27"/>
    </row>
    <row r="111" spans="1:14" customFormat="1" hidden="1">
      <c r="A111" s="3"/>
      <c r="B111" s="16" t="s">
        <v>113</v>
      </c>
      <c r="C111" s="3"/>
      <c r="D111" s="26">
        <v>0</v>
      </c>
      <c r="E111" s="16"/>
      <c r="F111" s="14"/>
      <c r="G111" s="3"/>
      <c r="H111" s="26">
        <f>D111</f>
        <v>0</v>
      </c>
      <c r="I111" s="2"/>
      <c r="N111" s="27"/>
    </row>
    <row r="112" spans="1:14" customFormat="1" hidden="1">
      <c r="A112" s="3"/>
      <c r="B112" s="16"/>
      <c r="C112" s="3"/>
      <c r="D112" s="26"/>
      <c r="E112" s="16"/>
      <c r="F112" s="14"/>
      <c r="G112" s="3"/>
      <c r="H112" s="26"/>
      <c r="I112" s="2"/>
      <c r="N112" s="27"/>
    </row>
    <row r="113" spans="1:14" customFormat="1" hidden="1">
      <c r="A113" s="3"/>
      <c r="B113" s="16" t="s">
        <v>114</v>
      </c>
      <c r="C113" s="3"/>
      <c r="D113" s="26">
        <v>0</v>
      </c>
      <c r="E113" s="16"/>
      <c r="F113" s="14"/>
      <c r="G113" s="3"/>
      <c r="H113" s="26">
        <f>D113</f>
        <v>0</v>
      </c>
      <c r="I113" s="2"/>
      <c r="N113" s="27"/>
    </row>
    <row r="114" spans="1:14" customFormat="1" ht="11.25" thickBot="1">
      <c r="A114" s="3"/>
      <c r="B114" s="3"/>
      <c r="C114" s="3"/>
      <c r="D114" s="11" t="s">
        <v>14</v>
      </c>
      <c r="E114" s="14" t="s">
        <v>13</v>
      </c>
      <c r="F114" s="11" t="s">
        <v>14</v>
      </c>
      <c r="G114" s="11" t="s">
        <v>14</v>
      </c>
      <c r="H114" s="11" t="s">
        <v>14</v>
      </c>
      <c r="I114" s="11" t="s">
        <v>14</v>
      </c>
      <c r="N114" s="27"/>
    </row>
    <row r="115" spans="1:14" customFormat="1" ht="11.25" thickBot="1">
      <c r="A115" s="3" t="s">
        <v>37</v>
      </c>
      <c r="B115" s="3"/>
      <c r="C115" s="3"/>
      <c r="D115" s="26">
        <f>SUM(D93:D113)</f>
        <v>303405220.42999995</v>
      </c>
      <c r="E115" s="16"/>
      <c r="F115" s="26">
        <f>SUM(F92:F113)</f>
        <v>0</v>
      </c>
      <c r="G115" s="26">
        <f>SUM(G92:G113)</f>
        <v>0</v>
      </c>
      <c r="H115" s="26">
        <f>SUM(H92:H113)</f>
        <v>303405220.42999995</v>
      </c>
      <c r="I115" s="26">
        <f>SUM(I92:I105)</f>
        <v>0</v>
      </c>
      <c r="K115" s="36">
        <v>0</v>
      </c>
      <c r="L115" s="24" t="s">
        <v>40</v>
      </c>
      <c r="M115" s="37">
        <f>D115-SUM(F115:I115)</f>
        <v>0</v>
      </c>
      <c r="N115" s="27"/>
    </row>
    <row r="116" spans="1:14" customFormat="1">
      <c r="A116" s="3"/>
      <c r="B116" s="3"/>
      <c r="C116" s="3"/>
      <c r="D116" s="7"/>
      <c r="E116" s="16"/>
      <c r="F116" s="16"/>
      <c r="G116" s="16"/>
      <c r="H116" s="16"/>
      <c r="I116" s="16"/>
      <c r="N116" s="27"/>
    </row>
    <row r="117" spans="1:14" customFormat="1">
      <c r="A117" s="3" t="s">
        <v>43</v>
      </c>
      <c r="B117" s="3"/>
      <c r="C117" s="3"/>
      <c r="D117" s="7"/>
      <c r="E117" s="16"/>
      <c r="F117" s="16"/>
      <c r="G117" s="16"/>
      <c r="H117" s="16"/>
      <c r="I117" s="16"/>
      <c r="N117" s="27"/>
    </row>
    <row r="118" spans="1:14" customFormat="1">
      <c r="A118" s="3"/>
      <c r="B118" s="16" t="s">
        <v>97</v>
      </c>
      <c r="C118" s="3"/>
      <c r="D118" s="26">
        <v>0</v>
      </c>
      <c r="E118" s="16"/>
      <c r="F118" s="14"/>
      <c r="G118" s="3"/>
      <c r="H118" s="26">
        <f>D118</f>
        <v>0</v>
      </c>
      <c r="I118" s="2"/>
      <c r="N118" s="27"/>
    </row>
    <row r="119" spans="1:14">
      <c r="D119" s="11" t="s">
        <v>14</v>
      </c>
      <c r="E119" s="14" t="s">
        <v>13</v>
      </c>
      <c r="F119" s="11" t="s">
        <v>14</v>
      </c>
      <c r="G119" s="11" t="s">
        <v>14</v>
      </c>
      <c r="H119" s="11" t="s">
        <v>14</v>
      </c>
      <c r="I119" s="11" t="s">
        <v>14</v>
      </c>
    </row>
    <row r="120" spans="1:14">
      <c r="A120" s="3" t="s">
        <v>44</v>
      </c>
      <c r="D120" s="26">
        <v>0</v>
      </c>
      <c r="E120" s="16"/>
      <c r="F120" s="26">
        <f>SUM(F118:F118)</f>
        <v>0</v>
      </c>
      <c r="G120" s="26">
        <f>SUM(G118:G118)</f>
        <v>0</v>
      </c>
      <c r="H120" s="26">
        <f>SUM(H118:H118)</f>
        <v>0</v>
      </c>
      <c r="I120" s="26">
        <f>SUM(I118:I118)</f>
        <v>0</v>
      </c>
    </row>
    <row r="121" spans="1:14" ht="11.25" thickBot="1">
      <c r="D121" s="19" t="s">
        <v>38</v>
      </c>
      <c r="E121" s="14" t="s">
        <v>13</v>
      </c>
      <c r="F121" s="19" t="s">
        <v>38</v>
      </c>
      <c r="G121" s="19" t="s">
        <v>38</v>
      </c>
      <c r="H121" s="19" t="s">
        <v>38</v>
      </c>
      <c r="I121" s="19" t="s">
        <v>38</v>
      </c>
    </row>
    <row r="122" spans="1:14" ht="11.25" thickBot="1">
      <c r="A122" s="3" t="s">
        <v>39</v>
      </c>
      <c r="D122" s="26">
        <f>D115+D90+D76+D120-D16</f>
        <v>580828948.04999995</v>
      </c>
      <c r="E122" s="16" t="s">
        <v>13</v>
      </c>
      <c r="F122" s="26">
        <f>F115+F90+F76+F120-F16</f>
        <v>14564456.737641495</v>
      </c>
      <c r="G122" s="26">
        <f>G115+G90+G76+G120-G16</f>
        <v>12377848.49156395</v>
      </c>
      <c r="H122" s="26">
        <f>H115+H90+H76+H120-H16</f>
        <v>303405220.42999995</v>
      </c>
      <c r="I122" s="26">
        <f>I115+I90+I76+I120-I16</f>
        <v>250481422.39079458</v>
      </c>
      <c r="K122" s="36">
        <v>0</v>
      </c>
      <c r="L122" s="24" t="s">
        <v>40</v>
      </c>
      <c r="M122" s="37">
        <f>D122-SUM(F122:I122)</f>
        <v>0</v>
      </c>
    </row>
    <row r="123" spans="1:14">
      <c r="D123" s="19" t="s">
        <v>38</v>
      </c>
      <c r="E123" s="14" t="s">
        <v>13</v>
      </c>
      <c r="F123" s="19" t="s">
        <v>38</v>
      </c>
      <c r="G123" s="19" t="s">
        <v>38</v>
      </c>
      <c r="H123" s="19" t="s">
        <v>38</v>
      </c>
      <c r="I123" s="19" t="s">
        <v>38</v>
      </c>
    </row>
  </sheetData>
  <mergeCells count="1">
    <mergeCell ref="A4:C4"/>
  </mergeCells>
  <pageMargins left="0.65" right="0.72" top="1" bottom="1" header="0.5" footer="0.5"/>
  <pageSetup scale="67" orientation="portrait" r:id="rId1"/>
  <headerFooter alignWithMargins="0">
    <oddHeader>&amp;L&amp;"Arial,Regular"&amp;10WA UE-130043
Bench Request 9&amp;R&amp;"Arial,Bold"&amp;10Attachment Bench Request 9</oddHeader>
    <oddFooter>&amp;L&amp;"Arial,Regular"&amp;10&amp;F&amp;C&amp;A</oddFooter>
  </headerFooter>
  <rowBreaks count="1" manualBreakCount="1">
    <brk id="69" max="8" man="1"/>
  </rowBreaks>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0"/>
  <sheetViews>
    <sheetView view="pageBreakPreview" zoomScale="85" zoomScaleNormal="100" zoomScaleSheetLayoutView="85" workbookViewId="0">
      <selection activeCell="T91" sqref="T91"/>
    </sheetView>
  </sheetViews>
  <sheetFormatPr defaultRowHeight="12.75"/>
  <cols>
    <col min="1" max="1" width="4.83203125" style="275" customWidth="1"/>
    <col min="2" max="2" width="8" style="275" customWidth="1"/>
    <col min="3" max="3" width="32.83203125" style="275" customWidth="1"/>
    <col min="4" max="4" width="12.33203125" style="275" customWidth="1"/>
    <col min="5" max="5" width="9.33203125" style="276"/>
    <col min="6" max="6" width="17" style="106" customWidth="1"/>
    <col min="7" max="7" width="9.33203125" style="276"/>
    <col min="8" max="8" width="12" style="276" bestFit="1" customWidth="1"/>
    <col min="9" max="9" width="15.33203125" style="276" bestFit="1" customWidth="1"/>
    <col min="10" max="16384" width="9.33203125" style="275"/>
  </cols>
  <sheetData>
    <row r="1" spans="1:10">
      <c r="A1" s="274" t="s">
        <v>118</v>
      </c>
      <c r="B1" s="274"/>
      <c r="I1" s="277" t="s">
        <v>272</v>
      </c>
      <c r="J1" s="296" t="s">
        <v>374</v>
      </c>
    </row>
    <row r="2" spans="1:10">
      <c r="A2" s="274" t="s">
        <v>255</v>
      </c>
      <c r="B2" s="274"/>
    </row>
    <row r="3" spans="1:10">
      <c r="A3" s="274" t="s">
        <v>414</v>
      </c>
      <c r="B3" s="274"/>
    </row>
    <row r="5" spans="1:10">
      <c r="F5" s="105" t="s">
        <v>274</v>
      </c>
      <c r="I5" s="276" t="s">
        <v>126</v>
      </c>
    </row>
    <row r="6" spans="1:10" ht="15">
      <c r="D6" s="279" t="s">
        <v>275</v>
      </c>
      <c r="E6" s="279" t="s">
        <v>276</v>
      </c>
      <c r="F6" s="280" t="s">
        <v>277</v>
      </c>
      <c r="G6" s="279" t="s">
        <v>278</v>
      </c>
      <c r="H6" s="279" t="s">
        <v>134</v>
      </c>
      <c r="I6" s="279" t="s">
        <v>279</v>
      </c>
      <c r="J6" s="279" t="s">
        <v>280</v>
      </c>
    </row>
    <row r="7" spans="1:10" ht="15">
      <c r="B7" s="274" t="s">
        <v>281</v>
      </c>
      <c r="C7" s="281"/>
      <c r="D7" s="279"/>
      <c r="E7" s="279"/>
      <c r="F7" s="280"/>
      <c r="G7" s="279"/>
      <c r="H7" s="279"/>
      <c r="I7" s="279"/>
      <c r="J7" s="279"/>
    </row>
    <row r="8" spans="1:10" ht="15">
      <c r="B8" s="274"/>
      <c r="C8" s="281"/>
      <c r="D8" s="279"/>
      <c r="E8" s="279"/>
      <c r="F8" s="280"/>
      <c r="G8" s="279"/>
      <c r="H8" s="279"/>
      <c r="I8" s="279"/>
      <c r="J8" s="279"/>
    </row>
    <row r="9" spans="1:10">
      <c r="B9" s="274" t="s">
        <v>137</v>
      </c>
      <c r="C9" s="281"/>
    </row>
    <row r="10" spans="1:10">
      <c r="B10" s="281" t="s">
        <v>138</v>
      </c>
      <c r="C10" s="281"/>
      <c r="D10" s="282" t="s">
        <v>139</v>
      </c>
      <c r="E10" s="283" t="s">
        <v>286</v>
      </c>
      <c r="F10" s="106">
        <f>'9.1 - Summary '!BY15</f>
        <v>0</v>
      </c>
      <c r="G10" s="276" t="s">
        <v>140</v>
      </c>
      <c r="H10" s="284">
        <v>0.2262649010137</v>
      </c>
      <c r="I10" s="276">
        <f>F10*H10</f>
        <v>0</v>
      </c>
      <c r="J10" s="276"/>
    </row>
    <row r="11" spans="1:10">
      <c r="B11" s="281" t="s">
        <v>141</v>
      </c>
      <c r="C11" s="281"/>
      <c r="D11" s="282" t="s">
        <v>139</v>
      </c>
      <c r="E11" s="283" t="s">
        <v>286</v>
      </c>
      <c r="F11" s="106">
        <f>'9.1 - Summary '!BY16</f>
        <v>1350586.6200000048</v>
      </c>
      <c r="G11" s="276" t="s">
        <v>140</v>
      </c>
      <c r="H11" s="284">
        <v>0.2262649010137</v>
      </c>
      <c r="I11" s="276">
        <f t="shared" ref="I11:I12" si="0">F11*H11</f>
        <v>305590.34788472875</v>
      </c>
      <c r="J11" s="276"/>
    </row>
    <row r="12" spans="1:10">
      <c r="B12" s="281" t="s">
        <v>142</v>
      </c>
      <c r="C12" s="281"/>
      <c r="D12" s="282" t="s">
        <v>139</v>
      </c>
      <c r="E12" s="283" t="s">
        <v>286</v>
      </c>
      <c r="F12" s="106">
        <f>'9.1 - Summary '!BY17</f>
        <v>0</v>
      </c>
      <c r="G12" s="276" t="s">
        <v>143</v>
      </c>
      <c r="H12" s="284">
        <v>0.22648067236840891</v>
      </c>
      <c r="I12" s="276">
        <f t="shared" si="0"/>
        <v>0</v>
      </c>
    </row>
    <row r="13" spans="1:10">
      <c r="B13" s="281" t="s">
        <v>144</v>
      </c>
      <c r="C13" s="281"/>
      <c r="D13" s="282"/>
      <c r="E13" s="283"/>
      <c r="F13" s="285">
        <f>SUM(F10:F12)</f>
        <v>1350586.6200000048</v>
      </c>
      <c r="H13" s="284"/>
      <c r="I13" s="285">
        <f>SUM(I10:I12)</f>
        <v>305590.34788472875</v>
      </c>
      <c r="J13" s="282" t="s">
        <v>384</v>
      </c>
    </row>
    <row r="14" spans="1:10">
      <c r="B14" s="281"/>
      <c r="C14" s="286"/>
      <c r="D14" s="282"/>
      <c r="E14" s="283"/>
      <c r="H14" s="284"/>
    </row>
    <row r="15" spans="1:10">
      <c r="B15" s="274" t="s">
        <v>145</v>
      </c>
      <c r="C15" s="286"/>
      <c r="D15" s="282"/>
      <c r="E15" s="283"/>
      <c r="H15" s="284"/>
    </row>
    <row r="16" spans="1:10">
      <c r="B16" s="281" t="s">
        <v>146</v>
      </c>
      <c r="C16" s="286"/>
      <c r="D16" s="282" t="s">
        <v>147</v>
      </c>
      <c r="E16" s="283" t="s">
        <v>286</v>
      </c>
      <c r="F16" s="106">
        <f>'9.1 - Summary '!BY21</f>
        <v>0</v>
      </c>
      <c r="G16" s="276" t="s">
        <v>140</v>
      </c>
      <c r="H16" s="284">
        <v>0.2262649010137</v>
      </c>
      <c r="I16" s="276">
        <f t="shared" ref="I16:I20" si="1">F16*H16</f>
        <v>0</v>
      </c>
      <c r="J16" s="276"/>
    </row>
    <row r="17" spans="2:10">
      <c r="B17" s="281" t="s">
        <v>148</v>
      </c>
      <c r="C17" s="286"/>
      <c r="D17" s="282" t="s">
        <v>147</v>
      </c>
      <c r="E17" s="283" t="s">
        <v>286</v>
      </c>
      <c r="F17" s="106">
        <f>'9.1 - Summary '!BY22</f>
        <v>0</v>
      </c>
      <c r="G17" s="276" t="s">
        <v>143</v>
      </c>
      <c r="H17" s="284">
        <v>0.22648067236840891</v>
      </c>
      <c r="I17" s="276">
        <f t="shared" si="1"/>
        <v>0</v>
      </c>
      <c r="J17" s="276"/>
    </row>
    <row r="18" spans="2:10">
      <c r="B18" s="281" t="s">
        <v>149</v>
      </c>
      <c r="C18" s="286"/>
      <c r="D18" s="282" t="s">
        <v>147</v>
      </c>
      <c r="E18" s="283" t="s">
        <v>286</v>
      </c>
      <c r="F18" s="106">
        <f>'9.1 - Summary '!BY23</f>
        <v>692225.07999999821</v>
      </c>
      <c r="G18" s="276" t="s">
        <v>140</v>
      </c>
      <c r="H18" s="284">
        <v>0.2262649010137</v>
      </c>
      <c r="I18" s="276">
        <f t="shared" si="1"/>
        <v>156626.23920540017</v>
      </c>
      <c r="J18" s="276"/>
    </row>
    <row r="19" spans="2:10">
      <c r="B19" s="281" t="s">
        <v>150</v>
      </c>
      <c r="C19" s="286"/>
      <c r="D19" s="282" t="s">
        <v>147</v>
      </c>
      <c r="E19" s="283" t="s">
        <v>286</v>
      </c>
      <c r="F19" s="106">
        <f>'9.1 - Summary '!BY24</f>
        <v>-3226057.6600000262</v>
      </c>
      <c r="G19" s="276" t="s">
        <v>140</v>
      </c>
      <c r="H19" s="284">
        <v>0.2262649010137</v>
      </c>
      <c r="I19" s="276">
        <f t="shared" si="1"/>
        <v>-729943.61710439459</v>
      </c>
      <c r="J19" s="276"/>
    </row>
    <row r="20" spans="2:10">
      <c r="B20" s="281" t="s">
        <v>151</v>
      </c>
      <c r="C20" s="281"/>
      <c r="D20" s="282" t="s">
        <v>147</v>
      </c>
      <c r="E20" s="283" t="s">
        <v>286</v>
      </c>
      <c r="F20" s="106">
        <f>'9.1 - Summary '!BY25</f>
        <v>56296.269999999902</v>
      </c>
      <c r="G20" s="276" t="s">
        <v>140</v>
      </c>
      <c r="H20" s="284">
        <v>0.2262649010137</v>
      </c>
      <c r="I20" s="276">
        <f t="shared" si="1"/>
        <v>12737.869958990506</v>
      </c>
    </row>
    <row r="21" spans="2:10">
      <c r="B21" s="281" t="s">
        <v>152</v>
      </c>
      <c r="C21" s="281"/>
      <c r="D21" s="282"/>
      <c r="E21" s="283"/>
      <c r="F21" s="285">
        <f>SUM(F16:F20)</f>
        <v>-2477536.310000028</v>
      </c>
      <c r="H21" s="284"/>
      <c r="I21" s="285">
        <f>SUM(I16:I20)</f>
        <v>-560579.50794000388</v>
      </c>
      <c r="J21" s="282" t="s">
        <v>384</v>
      </c>
    </row>
    <row r="22" spans="2:10">
      <c r="B22" s="281"/>
      <c r="C22" s="281"/>
      <c r="D22" s="282"/>
      <c r="E22" s="283"/>
      <c r="H22" s="284"/>
    </row>
    <row r="23" spans="2:10">
      <c r="B23" s="274" t="s">
        <v>153</v>
      </c>
      <c r="C23" s="281"/>
      <c r="D23" s="282"/>
      <c r="E23" s="283"/>
      <c r="H23" s="284"/>
      <c r="J23" s="276"/>
    </row>
    <row r="24" spans="2:10">
      <c r="B24" s="281" t="s">
        <v>154</v>
      </c>
      <c r="C24" s="281"/>
      <c r="D24" s="282" t="s">
        <v>155</v>
      </c>
      <c r="E24" s="283" t="s">
        <v>286</v>
      </c>
      <c r="F24" s="106">
        <f>'9.1 - Summary '!BY29</f>
        <v>0</v>
      </c>
      <c r="G24" s="276" t="s">
        <v>140</v>
      </c>
      <c r="H24" s="284">
        <v>0.2262649010137</v>
      </c>
      <c r="I24" s="276">
        <f t="shared" ref="I24:I26" si="2">F24*H24</f>
        <v>0</v>
      </c>
      <c r="J24" s="276"/>
    </row>
    <row r="25" spans="2:10">
      <c r="B25" s="281" t="s">
        <v>156</v>
      </c>
      <c r="C25" s="286"/>
      <c r="D25" s="282" t="s">
        <v>155</v>
      </c>
      <c r="E25" s="283" t="s">
        <v>286</v>
      </c>
      <c r="F25" s="106">
        <f>'9.1 - Summary '!BY30</f>
        <v>0</v>
      </c>
      <c r="G25" s="276" t="s">
        <v>140</v>
      </c>
      <c r="H25" s="284">
        <v>0.2262649010137</v>
      </c>
      <c r="I25" s="276">
        <f t="shared" si="2"/>
        <v>0</v>
      </c>
      <c r="J25" s="276"/>
    </row>
    <row r="26" spans="2:10">
      <c r="B26" s="281" t="s">
        <v>157</v>
      </c>
      <c r="C26" s="286"/>
      <c r="D26" s="282" t="s">
        <v>155</v>
      </c>
      <c r="E26" s="283" t="s">
        <v>286</v>
      </c>
      <c r="F26" s="106">
        <f>'9.1 - Summary '!BY31</f>
        <v>0</v>
      </c>
      <c r="G26" s="276" t="s">
        <v>143</v>
      </c>
      <c r="H26" s="284">
        <v>0.22648067236840891</v>
      </c>
      <c r="I26" s="276">
        <f t="shared" si="2"/>
        <v>0</v>
      </c>
      <c r="J26" s="276"/>
    </row>
    <row r="27" spans="2:10">
      <c r="B27" s="281" t="s">
        <v>158</v>
      </c>
      <c r="C27" s="281"/>
      <c r="D27" s="282"/>
      <c r="E27" s="283"/>
      <c r="F27" s="285">
        <f>SUM(F24:F26)</f>
        <v>0</v>
      </c>
      <c r="H27" s="284"/>
      <c r="I27" s="285">
        <f>SUM(I24:I26)</f>
        <v>0</v>
      </c>
      <c r="J27" s="282" t="s">
        <v>384</v>
      </c>
    </row>
    <row r="28" spans="2:10">
      <c r="B28" s="281"/>
      <c r="C28" s="281"/>
      <c r="D28" s="282"/>
      <c r="E28" s="283"/>
      <c r="H28" s="284"/>
    </row>
    <row r="29" spans="2:10">
      <c r="B29" s="274" t="s">
        <v>159</v>
      </c>
      <c r="C29" s="274"/>
      <c r="D29" s="282"/>
      <c r="E29" s="283"/>
      <c r="H29" s="284"/>
      <c r="J29" s="276"/>
    </row>
    <row r="30" spans="2:10">
      <c r="B30" s="281" t="s">
        <v>160</v>
      </c>
      <c r="C30" s="274"/>
      <c r="D30" s="282" t="s">
        <v>161</v>
      </c>
      <c r="E30" s="283" t="s">
        <v>286</v>
      </c>
      <c r="F30" s="106">
        <f>'9.1 - Summary '!BY35</f>
        <v>-426969.69999998808</v>
      </c>
      <c r="G30" s="276" t="s">
        <v>143</v>
      </c>
      <c r="H30" s="284">
        <v>0.22648067236840891</v>
      </c>
      <c r="I30" s="276">
        <f t="shared" ref="I30:I31" si="3">F30*H30</f>
        <v>-96700.384736935142</v>
      </c>
      <c r="J30" s="276"/>
    </row>
    <row r="31" spans="2:10">
      <c r="B31" s="281" t="s">
        <v>162</v>
      </c>
      <c r="C31" s="274"/>
      <c r="D31" s="282" t="s">
        <v>163</v>
      </c>
      <c r="E31" s="283" t="s">
        <v>286</v>
      </c>
      <c r="F31" s="106">
        <f>'9.1 - Summary '!BY36</f>
        <v>-164153.26999999583</v>
      </c>
      <c r="G31" s="276" t="s">
        <v>143</v>
      </c>
      <c r="H31" s="284">
        <v>0.22648067236840891</v>
      </c>
      <c r="I31" s="276">
        <f t="shared" si="3"/>
        <v>-37177.542961072024</v>
      </c>
    </row>
    <row r="32" spans="2:10">
      <c r="B32" s="281" t="s">
        <v>164</v>
      </c>
      <c r="C32" s="274"/>
      <c r="D32" s="282"/>
      <c r="E32" s="283"/>
      <c r="F32" s="285">
        <f>SUM(F30:F31)</f>
        <v>-591122.96999998391</v>
      </c>
      <c r="H32" s="287"/>
      <c r="I32" s="285">
        <f>SUM(I30:I31)</f>
        <v>-133877.92769800717</v>
      </c>
      <c r="J32" s="282" t="s">
        <v>384</v>
      </c>
    </row>
    <row r="33" spans="1:11">
      <c r="B33" s="291"/>
      <c r="C33" s="274"/>
      <c r="D33" s="282"/>
      <c r="E33" s="283"/>
      <c r="H33" s="287"/>
      <c r="I33" s="106"/>
      <c r="J33" s="276"/>
    </row>
    <row r="34" spans="1:11">
      <c r="B34" s="288" t="s">
        <v>284</v>
      </c>
      <c r="C34" s="274"/>
      <c r="D34" s="282"/>
      <c r="E34" s="283"/>
      <c r="F34" s="285">
        <f>-F13+F21+F27+F32</f>
        <v>-4419245.9000000171</v>
      </c>
      <c r="H34" s="287"/>
      <c r="I34" s="285">
        <f>-I13+I21+I27+I32</f>
        <v>-1000047.7835227399</v>
      </c>
      <c r="J34" s="276"/>
    </row>
    <row r="35" spans="1:11">
      <c r="C35" s="274"/>
      <c r="F35" s="289"/>
      <c r="J35" s="276"/>
    </row>
    <row r="36" spans="1:11">
      <c r="C36" s="274"/>
      <c r="F36" s="289"/>
      <c r="J36" s="276"/>
    </row>
    <row r="37" spans="1:11">
      <c r="C37" s="274"/>
      <c r="F37" s="289"/>
      <c r="J37" s="276"/>
    </row>
    <row r="42" spans="1:11" ht="13.5" thickBot="1">
      <c r="B42" s="290" t="s">
        <v>283</v>
      </c>
    </row>
    <row r="43" spans="1:11" ht="12.75" customHeight="1">
      <c r="A43" s="359" t="s">
        <v>354</v>
      </c>
      <c r="B43" s="360"/>
      <c r="C43" s="360"/>
      <c r="D43" s="360"/>
      <c r="E43" s="360"/>
      <c r="F43" s="360"/>
      <c r="G43" s="360"/>
      <c r="H43" s="360"/>
      <c r="I43" s="360"/>
      <c r="J43" s="361"/>
      <c r="K43" s="292"/>
    </row>
    <row r="44" spans="1:11">
      <c r="A44" s="362"/>
      <c r="B44" s="363"/>
      <c r="C44" s="363"/>
      <c r="D44" s="363"/>
      <c r="E44" s="363"/>
      <c r="F44" s="363"/>
      <c r="G44" s="363"/>
      <c r="H44" s="363"/>
      <c r="I44" s="363"/>
      <c r="J44" s="364"/>
      <c r="K44" s="292"/>
    </row>
    <row r="45" spans="1:11">
      <c r="A45" s="362"/>
      <c r="B45" s="363"/>
      <c r="C45" s="363"/>
      <c r="D45" s="363"/>
      <c r="E45" s="363"/>
      <c r="F45" s="363"/>
      <c r="G45" s="363"/>
      <c r="H45" s="363"/>
      <c r="I45" s="363"/>
      <c r="J45" s="364"/>
      <c r="K45" s="292"/>
    </row>
    <row r="46" spans="1:11">
      <c r="A46" s="362"/>
      <c r="B46" s="363"/>
      <c r="C46" s="363"/>
      <c r="D46" s="363"/>
      <c r="E46" s="363"/>
      <c r="F46" s="363"/>
      <c r="G46" s="363"/>
      <c r="H46" s="363"/>
      <c r="I46" s="363"/>
      <c r="J46" s="364"/>
      <c r="K46" s="292"/>
    </row>
    <row r="47" spans="1:11">
      <c r="A47" s="362"/>
      <c r="B47" s="363"/>
      <c r="C47" s="363"/>
      <c r="D47" s="363"/>
      <c r="E47" s="363"/>
      <c r="F47" s="363"/>
      <c r="G47" s="363"/>
      <c r="H47" s="363"/>
      <c r="I47" s="363"/>
      <c r="J47" s="364"/>
      <c r="K47" s="292"/>
    </row>
    <row r="48" spans="1:11">
      <c r="A48" s="362"/>
      <c r="B48" s="363"/>
      <c r="C48" s="363"/>
      <c r="D48" s="363"/>
      <c r="E48" s="363"/>
      <c r="F48" s="363"/>
      <c r="G48" s="363"/>
      <c r="H48" s="363"/>
      <c r="I48" s="363"/>
      <c r="J48" s="364"/>
      <c r="K48" s="292"/>
    </row>
    <row r="49" spans="1:11">
      <c r="A49" s="362"/>
      <c r="B49" s="363"/>
      <c r="C49" s="363"/>
      <c r="D49" s="363"/>
      <c r="E49" s="363"/>
      <c r="F49" s="363"/>
      <c r="G49" s="363"/>
      <c r="H49" s="363"/>
      <c r="I49" s="363"/>
      <c r="J49" s="364"/>
      <c r="K49" s="292"/>
    </row>
    <row r="50" spans="1:11" ht="13.5" thickBot="1">
      <c r="A50" s="365"/>
      <c r="B50" s="366"/>
      <c r="C50" s="366"/>
      <c r="D50" s="366"/>
      <c r="E50" s="366"/>
      <c r="F50" s="366"/>
      <c r="G50" s="366"/>
      <c r="H50" s="366"/>
      <c r="I50" s="366"/>
      <c r="J50" s="367"/>
      <c r="K50" s="292"/>
    </row>
  </sheetData>
  <mergeCells count="1">
    <mergeCell ref="A43:J50"/>
  </mergeCells>
  <conditionalFormatting sqref="B9:B26">
    <cfRule type="cellIs" dxfId="8" priority="3" stopIfTrue="1" operator="equal">
      <formula>"Adjustment to Income/Expense/Rate Base:"</formula>
    </cfRule>
  </conditionalFormatting>
  <conditionalFormatting sqref="B20:B22">
    <cfRule type="cellIs" dxfId="7" priority="2" stopIfTrue="1" operator="equal">
      <formula>"Title"</formula>
    </cfRule>
  </conditionalFormatting>
  <conditionalFormatting sqref="B27:B34">
    <cfRule type="cellIs" dxfId="6" priority="1" stopIfTrue="1" operator="equal">
      <formula>"Adjustment to Income/Expense/Rate Base:"</formula>
    </cfRule>
  </conditionalFormatting>
  <pageMargins left="0.65" right="0.72" top="1" bottom="1" header="0.5" footer="0.5"/>
  <pageSetup scale="77" orientation="portrait" r:id="rId1"/>
  <headerFooter alignWithMargins="0">
    <oddHeader>&amp;L&amp;"Arial,Regular"&amp;10WA UE-130043
Bench Request 9&amp;R&amp;"Arial,Bold"&amp;10Attachment Bench Request 9</oddHeader>
    <oddFooter>&amp;L&amp;"Arial,Regular"&amp;10&amp;F&amp;C&amp;A</oddFooter>
  </headerFooter>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15"/>
  <sheetViews>
    <sheetView view="pageBreakPreview" zoomScale="85" zoomScaleNormal="85" zoomScaleSheetLayoutView="85" workbookViewId="0">
      <pane xSplit="3" ySplit="6" topLeftCell="D7" activePane="bottomRight" state="frozen"/>
      <selection activeCell="T91" sqref="T91"/>
      <selection pane="topRight" activeCell="T91" sqref="T91"/>
      <selection pane="bottomLeft" activeCell="T91" sqref="T91"/>
      <selection pane="bottomRight" activeCell="T91" sqref="T91"/>
    </sheetView>
  </sheetViews>
  <sheetFormatPr defaultColWidth="11" defaultRowHeight="10.5"/>
  <cols>
    <col min="1" max="1" width="3" style="3" customWidth="1"/>
    <col min="2" max="2" width="2.6640625" style="3" customWidth="1"/>
    <col min="3" max="3" width="33.1640625" style="3" customWidth="1"/>
    <col min="4" max="4" width="13.83203125" style="3" customWidth="1"/>
    <col min="5" max="5" width="2.33203125" style="3" customWidth="1"/>
    <col min="6" max="6" width="15.83203125" style="3" customWidth="1"/>
    <col min="7" max="8" width="13.33203125" style="3" bestFit="1" customWidth="1"/>
    <col min="9" max="9" width="13.83203125" style="3" bestFit="1" customWidth="1"/>
    <col min="10" max="10" width="11" style="3" customWidth="1"/>
    <col min="11" max="11" width="14.5" style="3" customWidth="1"/>
    <col min="12" max="12" width="11" style="3" customWidth="1"/>
    <col min="13" max="13" width="14.1640625" style="3" bestFit="1" customWidth="1"/>
    <col min="14" max="14" width="20.1640625" style="27" bestFit="1" customWidth="1"/>
    <col min="15" max="15" width="15" style="3" bestFit="1" customWidth="1"/>
    <col min="16" max="16" width="14.6640625" style="3" bestFit="1" customWidth="1"/>
    <col min="17" max="16384" width="11" style="3"/>
  </cols>
  <sheetData>
    <row r="1" spans="1:14">
      <c r="A1" s="4" t="s">
        <v>118</v>
      </c>
      <c r="D1"/>
      <c r="E1" s="9"/>
      <c r="F1" s="8" t="s">
        <v>42</v>
      </c>
    </row>
    <row r="2" spans="1:14">
      <c r="A2" s="20"/>
      <c r="D2"/>
      <c r="E2" s="9"/>
      <c r="F2" s="9" t="s">
        <v>0</v>
      </c>
      <c r="K2" s="50"/>
    </row>
    <row r="3" spans="1:14">
      <c r="A3" s="5" t="s">
        <v>52</v>
      </c>
      <c r="D3" s="10"/>
      <c r="E3" s="10"/>
      <c r="F3" s="8" t="s">
        <v>1</v>
      </c>
    </row>
    <row r="4" spans="1:14">
      <c r="A4" s="358">
        <v>41974</v>
      </c>
      <c r="B4" s="358"/>
      <c r="C4" s="358"/>
      <c r="D4" s="10"/>
      <c r="E4" s="10"/>
      <c r="F4" s="9"/>
    </row>
    <row r="5" spans="1:14">
      <c r="B5" s="5"/>
      <c r="D5" s="11" t="s">
        <v>2</v>
      </c>
      <c r="E5" s="11"/>
      <c r="F5" s="12" t="s">
        <v>3</v>
      </c>
      <c r="G5" s="12" t="s">
        <v>3</v>
      </c>
      <c r="H5" s="12"/>
      <c r="I5" s="12"/>
    </row>
    <row r="6" spans="1:14" s="11" customFormat="1">
      <c r="A6" s="3"/>
      <c r="B6" s="3"/>
      <c r="C6" s="3"/>
      <c r="D6" s="41" t="s">
        <v>117</v>
      </c>
      <c r="E6" s="15"/>
      <c r="F6" s="13" t="s">
        <v>4</v>
      </c>
      <c r="G6" s="13" t="s">
        <v>5</v>
      </c>
      <c r="H6" s="13" t="s">
        <v>6</v>
      </c>
      <c r="I6" s="13" t="s">
        <v>7</v>
      </c>
      <c r="N6" s="28"/>
    </row>
    <row r="7" spans="1:14">
      <c r="A7" s="3" t="s">
        <v>8</v>
      </c>
      <c r="F7" s="6"/>
      <c r="G7" s="6"/>
      <c r="H7" s="6"/>
      <c r="I7" s="6"/>
    </row>
    <row r="8" spans="1:14">
      <c r="B8" t="s">
        <v>9</v>
      </c>
      <c r="D8" s="26">
        <v>12964800</v>
      </c>
      <c r="E8" s="16"/>
      <c r="F8" s="26">
        <f>D8</f>
        <v>12964800</v>
      </c>
      <c r="G8"/>
      <c r="H8"/>
      <c r="I8"/>
    </row>
    <row r="9" spans="1:14" hidden="1">
      <c r="B9"/>
      <c r="D9" s="16"/>
      <c r="E9" s="16"/>
      <c r="F9" s="1"/>
      <c r="G9" s="6"/>
      <c r="H9" s="6"/>
      <c r="I9" s="6"/>
    </row>
    <row r="10" spans="1:14">
      <c r="B10" t="s">
        <v>10</v>
      </c>
      <c r="D10" s="26">
        <v>62214393.370000005</v>
      </c>
      <c r="E10" s="16"/>
      <c r="F10" s="1"/>
      <c r="G10" s="6"/>
      <c r="H10" s="6"/>
      <c r="I10" s="26">
        <f>D10</f>
        <v>62214393.370000005</v>
      </c>
    </row>
    <row r="11" spans="1:14" hidden="1">
      <c r="B11"/>
      <c r="D11" s="16"/>
      <c r="E11" s="16"/>
      <c r="F11" s="1"/>
      <c r="G11" s="6"/>
      <c r="H11" s="6"/>
      <c r="I11" s="6"/>
    </row>
    <row r="12" spans="1:14" hidden="1">
      <c r="B12" t="s">
        <v>11</v>
      </c>
      <c r="D12" s="26">
        <v>0</v>
      </c>
      <c r="E12" s="16"/>
      <c r="F12" s="26">
        <f>D12</f>
        <v>0</v>
      </c>
      <c r="G12" s="6"/>
      <c r="H12" s="6"/>
      <c r="I12" s="6"/>
    </row>
    <row r="13" spans="1:14" hidden="1">
      <c r="C13"/>
      <c r="D13" s="16"/>
      <c r="E13" s="16"/>
      <c r="F13" s="6"/>
      <c r="G13" s="6"/>
      <c r="H13" s="6"/>
      <c r="I13" s="6"/>
    </row>
    <row r="14" spans="1:14" hidden="1">
      <c r="B14" s="3" t="s">
        <v>12</v>
      </c>
      <c r="C14"/>
      <c r="D14" s="26">
        <v>0</v>
      </c>
      <c r="E14" s="16"/>
      <c r="F14" s="6"/>
      <c r="G14" s="6"/>
      <c r="H14" s="26">
        <f>D14</f>
        <v>0</v>
      </c>
      <c r="I14" s="6"/>
    </row>
    <row r="15" spans="1:14" ht="11.25" thickBot="1">
      <c r="D15" s="11" t="s">
        <v>14</v>
      </c>
      <c r="E15" s="14" t="s">
        <v>13</v>
      </c>
      <c r="F15" s="11" t="s">
        <v>14</v>
      </c>
      <c r="G15" s="11" t="s">
        <v>14</v>
      </c>
      <c r="H15" s="11" t="s">
        <v>14</v>
      </c>
      <c r="I15" s="11" t="s">
        <v>14</v>
      </c>
    </row>
    <row r="16" spans="1:14" ht="11.25" thickBot="1">
      <c r="A16" s="3" t="s">
        <v>15</v>
      </c>
      <c r="D16" s="26">
        <f>SUM(D8:D14)</f>
        <v>75179193.370000005</v>
      </c>
      <c r="E16" s="16"/>
      <c r="F16" s="26">
        <f>SUM(F8:F14)</f>
        <v>12964800</v>
      </c>
      <c r="G16" s="26">
        <f>SUM(G8:G14)</f>
        <v>0</v>
      </c>
      <c r="H16" s="26">
        <f>SUM(H8:H14)</f>
        <v>0</v>
      </c>
      <c r="I16" s="26">
        <f>SUM(I8:I14)</f>
        <v>62214393.370000005</v>
      </c>
      <c r="K16" s="36">
        <v>0</v>
      </c>
      <c r="L16" s="24" t="s">
        <v>40</v>
      </c>
      <c r="M16" s="37">
        <f>D16-SUM(F16:I16)</f>
        <v>0</v>
      </c>
    </row>
    <row r="17" spans="1:19">
      <c r="D17" s="16"/>
      <c r="E17" s="16"/>
      <c r="F17" s="16"/>
      <c r="G17" s="16"/>
      <c r="H17" s="16"/>
      <c r="I17" s="16"/>
      <c r="P17" s="8" t="s">
        <v>67</v>
      </c>
    </row>
    <row r="18" spans="1:19">
      <c r="D18"/>
      <c r="E18" s="6"/>
      <c r="F18" s="6"/>
      <c r="G18" s="6"/>
      <c r="H18" s="6"/>
      <c r="I18" s="6"/>
      <c r="N18" s="39"/>
      <c r="O18" s="35"/>
      <c r="P18" s="48">
        <f>+A4</f>
        <v>41974</v>
      </c>
    </row>
    <row r="19" spans="1:19" ht="11.25">
      <c r="A19" s="3" t="s">
        <v>16</v>
      </c>
      <c r="D19" s="16"/>
      <c r="E19" s="16"/>
      <c r="F19" s="45"/>
      <c r="G19" s="6"/>
      <c r="H19" s="6"/>
      <c r="I19" s="6"/>
      <c r="N19" s="29" t="s">
        <v>56</v>
      </c>
      <c r="O19" s="42">
        <v>0.42634034956164213</v>
      </c>
      <c r="P19" s="16">
        <v>14785516.07</v>
      </c>
      <c r="Q19" s="44"/>
      <c r="R19" s="30"/>
      <c r="S19" s="16"/>
    </row>
    <row r="20" spans="1:19" ht="11.25" hidden="1">
      <c r="B20"/>
      <c r="C20" s="3" t="s">
        <v>17</v>
      </c>
      <c r="D20" s="26">
        <v>0</v>
      </c>
      <c r="E20" s="16"/>
      <c r="F20" s="26">
        <f>D20</f>
        <v>0</v>
      </c>
      <c r="G20" s="6"/>
      <c r="H20" s="6"/>
      <c r="I20" s="6"/>
      <c r="N20" s="29" t="s">
        <v>58</v>
      </c>
      <c r="O20" s="42">
        <f>1-O19</f>
        <v>0.57365965043835787</v>
      </c>
      <c r="P20" s="16">
        <v>19894560.739999998</v>
      </c>
      <c r="Q20" s="44"/>
      <c r="R20" s="30"/>
      <c r="S20" s="16"/>
    </row>
    <row r="21" spans="1:19" ht="11.25" hidden="1">
      <c r="B21"/>
      <c r="C21" s="3" t="s">
        <v>18</v>
      </c>
      <c r="D21" s="26">
        <v>0</v>
      </c>
      <c r="E21" s="16"/>
      <c r="F21" s="26">
        <f>D21-G21</f>
        <v>0</v>
      </c>
      <c r="G21" s="26">
        <v>0</v>
      </c>
      <c r="H21" s="6"/>
      <c r="I21" s="6"/>
      <c r="N21" s="29" t="s">
        <v>57</v>
      </c>
      <c r="O21" s="42">
        <f>IFERROR(P21/(P21+P22),0)</f>
        <v>0</v>
      </c>
      <c r="P21" s="16">
        <v>0</v>
      </c>
      <c r="Q21" s="44"/>
      <c r="R21" s="30"/>
      <c r="S21" s="16"/>
    </row>
    <row r="22" spans="1:19" ht="11.25">
      <c r="B22"/>
      <c r="C22" s="3" t="s">
        <v>19</v>
      </c>
      <c r="D22" s="26">
        <v>-148246.80999999959</v>
      </c>
      <c r="E22" s="16"/>
      <c r="F22" s="26">
        <f>D22*0.3</f>
        <v>-44474.042999999874</v>
      </c>
      <c r="G22" s="26">
        <f>D22*0.7</f>
        <v>-103772.7669999997</v>
      </c>
      <c r="H22" s="6"/>
      <c r="I22" s="6"/>
      <c r="N22" s="29" t="s">
        <v>59</v>
      </c>
      <c r="O22" s="42">
        <f>1-O21</f>
        <v>1</v>
      </c>
      <c r="P22" s="16">
        <v>0</v>
      </c>
      <c r="Q22" s="44"/>
      <c r="R22" s="30"/>
      <c r="S22" s="16"/>
    </row>
    <row r="23" spans="1:19">
      <c r="B23"/>
      <c r="C23" s="3" t="s">
        <v>20</v>
      </c>
      <c r="D23" s="26">
        <v>270000</v>
      </c>
      <c r="E23" s="16"/>
      <c r="F23" s="26">
        <f>D23*0.2073628</f>
        <v>55987.956000000006</v>
      </c>
      <c r="G23" s="26">
        <f>D23-F23</f>
        <v>214012.04399999999</v>
      </c>
      <c r="H23" s="6"/>
      <c r="I23" s="6"/>
    </row>
    <row r="24" spans="1:19">
      <c r="B24"/>
      <c r="C24" s="3" t="s">
        <v>21</v>
      </c>
      <c r="D24" s="26">
        <f>N27</f>
        <v>77589531.039999992</v>
      </c>
      <c r="E24" s="16"/>
      <c r="F24" s="31">
        <f>(N25+N24*O19)*K24</f>
        <v>2517906.851172646</v>
      </c>
      <c r="G24" s="31">
        <f>(N25+N24*O19)*L24</f>
        <v>12267609.214563949</v>
      </c>
      <c r="H24" s="6"/>
      <c r="I24" s="31">
        <f>(N26+N24*O20)</f>
        <v>62804014.9742634</v>
      </c>
      <c r="K24" s="25">
        <v>0.17029549999999999</v>
      </c>
      <c r="L24" s="25">
        <f>1-K24</f>
        <v>0.82970450000000007</v>
      </c>
      <c r="N24" s="26">
        <v>34680076.799999997</v>
      </c>
      <c r="O24" t="s">
        <v>53</v>
      </c>
    </row>
    <row r="25" spans="1:19" hidden="1">
      <c r="B25"/>
      <c r="C25" s="49" t="s">
        <v>90</v>
      </c>
      <c r="D25" s="26">
        <v>0</v>
      </c>
      <c r="E25" s="16"/>
      <c r="F25" s="6"/>
      <c r="G25" s="26">
        <f>D25</f>
        <v>0</v>
      </c>
      <c r="H25" s="6"/>
      <c r="I25" s="26"/>
      <c r="N25" s="26">
        <v>0</v>
      </c>
      <c r="O25" t="s">
        <v>50</v>
      </c>
    </row>
    <row r="26" spans="1:19">
      <c r="B26" s="40" t="s">
        <v>65</v>
      </c>
      <c r="C26" s="14"/>
      <c r="D26" s="11" t="s">
        <v>14</v>
      </c>
      <c r="E26" s="14" t="s">
        <v>13</v>
      </c>
      <c r="F26" s="11" t="s">
        <v>14</v>
      </c>
      <c r="G26" s="11" t="s">
        <v>14</v>
      </c>
      <c r="H26" s="11" t="s">
        <v>14</v>
      </c>
      <c r="I26" s="11" t="s">
        <v>14</v>
      </c>
      <c r="K26" s="25"/>
      <c r="L26" s="25"/>
      <c r="N26" s="43">
        <v>42909454.240000002</v>
      </c>
      <c r="O26" t="s">
        <v>49</v>
      </c>
    </row>
    <row r="27" spans="1:19">
      <c r="B27" s="3" t="s">
        <v>22</v>
      </c>
      <c r="C27"/>
      <c r="D27" s="26">
        <f>SUM(D20:D26)</f>
        <v>77711284.229999989</v>
      </c>
      <c r="E27" s="16"/>
      <c r="F27" s="26">
        <f t="shared" ref="F27:I27" si="0">SUM(F20:F26)</f>
        <v>2529420.7641726462</v>
      </c>
      <c r="G27" s="26">
        <f t="shared" si="0"/>
        <v>12377848.49156395</v>
      </c>
      <c r="H27" s="26">
        <f t="shared" si="0"/>
        <v>0</v>
      </c>
      <c r="I27" s="26">
        <f t="shared" si="0"/>
        <v>62804014.9742634</v>
      </c>
      <c r="K27" s="25"/>
      <c r="L27" s="25"/>
      <c r="N27" s="26">
        <f>SUM(N24:N26)</f>
        <v>77589531.039999992</v>
      </c>
      <c r="O27"/>
    </row>
    <row r="28" spans="1:19" ht="12.75">
      <c r="D28" s="1"/>
      <c r="E28" s="16"/>
      <c r="F28" s="1"/>
      <c r="G28" s="1"/>
      <c r="H28" s="6"/>
      <c r="I28" s="6"/>
      <c r="K28" s="25"/>
      <c r="L28" s="25"/>
      <c r="N28" s="34"/>
      <c r="O28" s="32"/>
    </row>
    <row r="29" spans="1:19">
      <c r="D29" s="16"/>
      <c r="E29" s="16"/>
      <c r="F29" s="6"/>
      <c r="G29" s="6"/>
      <c r="H29" s="6"/>
      <c r="I29" s="6"/>
      <c r="N29" s="3"/>
    </row>
    <row r="30" spans="1:19" hidden="1">
      <c r="B30"/>
      <c r="C30" s="3" t="s">
        <v>68</v>
      </c>
      <c r="D30" s="26">
        <v>0</v>
      </c>
      <c r="E30" s="16"/>
      <c r="F30" s="6"/>
      <c r="G30" s="6"/>
      <c r="H30" s="6"/>
      <c r="I30" s="26">
        <f t="shared" ref="I30:I55" si="1">IF(K30="Post Merger",D30,0)</f>
        <v>0</v>
      </c>
      <c r="K30" s="3" t="s">
        <v>10</v>
      </c>
    </row>
    <row r="31" spans="1:19" hidden="1">
      <c r="B31"/>
      <c r="C31" s="3" t="s">
        <v>55</v>
      </c>
      <c r="D31" s="26">
        <v>0</v>
      </c>
      <c r="E31" s="16"/>
      <c r="F31" s="6"/>
      <c r="G31" s="6"/>
      <c r="H31" s="6"/>
      <c r="I31" s="26">
        <f t="shared" si="1"/>
        <v>0</v>
      </c>
      <c r="K31" s="3" t="s">
        <v>10</v>
      </c>
    </row>
    <row r="32" spans="1:19" hidden="1">
      <c r="B32"/>
      <c r="C32" s="3" t="s">
        <v>69</v>
      </c>
      <c r="D32" s="26">
        <v>0</v>
      </c>
      <c r="E32" s="16"/>
      <c r="F32" s="6"/>
      <c r="G32" s="6"/>
      <c r="H32" s="6"/>
      <c r="I32" s="26">
        <f>IF(K32="Post Merger",D32,0)</f>
        <v>0</v>
      </c>
      <c r="K32" s="3" t="s">
        <v>10</v>
      </c>
    </row>
    <row r="33" spans="2:11" hidden="1">
      <c r="B33"/>
      <c r="C33" s="3" t="s">
        <v>88</v>
      </c>
      <c r="D33" s="26">
        <v>0</v>
      </c>
      <c r="E33" s="16"/>
      <c r="F33" s="6"/>
      <c r="G33" s="6"/>
      <c r="H33" s="6"/>
      <c r="I33" s="26">
        <f>IF(K33="Post Merger",D33,0)</f>
        <v>0</v>
      </c>
      <c r="K33" s="3" t="s">
        <v>10</v>
      </c>
    </row>
    <row r="34" spans="2:11" hidden="1">
      <c r="B34"/>
      <c r="C34" s="3" t="s">
        <v>70</v>
      </c>
      <c r="D34" s="26">
        <v>0</v>
      </c>
      <c r="E34" s="16"/>
      <c r="F34" s="6"/>
      <c r="G34" s="6"/>
      <c r="H34" s="6"/>
      <c r="I34" s="26">
        <f>IF(K34="Post Merger",D34,0)</f>
        <v>0</v>
      </c>
      <c r="K34" s="3" t="s">
        <v>10</v>
      </c>
    </row>
    <row r="35" spans="2:11">
      <c r="B35"/>
      <c r="C35" s="3" t="s">
        <v>71</v>
      </c>
      <c r="D35" s="26">
        <v>4721023.51</v>
      </c>
      <c r="E35" s="16"/>
      <c r="F35" s="6"/>
      <c r="G35" s="6"/>
      <c r="H35" s="6"/>
      <c r="I35" s="26">
        <f t="shared" si="1"/>
        <v>4721023.51</v>
      </c>
      <c r="K35" s="3" t="s">
        <v>10</v>
      </c>
    </row>
    <row r="36" spans="2:11" hidden="1">
      <c r="B36"/>
      <c r="C36" s="3" t="s">
        <v>72</v>
      </c>
      <c r="D36" s="26">
        <v>0</v>
      </c>
      <c r="E36" s="16"/>
      <c r="F36" s="6"/>
      <c r="G36" s="6"/>
      <c r="H36" s="6"/>
      <c r="I36" s="26">
        <f t="shared" si="1"/>
        <v>0</v>
      </c>
      <c r="K36" s="3" t="s">
        <v>10</v>
      </c>
    </row>
    <row r="37" spans="2:11">
      <c r="B37"/>
      <c r="C37" s="3" t="s">
        <v>46</v>
      </c>
      <c r="D37" s="26">
        <v>8005931.2199999997</v>
      </c>
      <c r="E37" s="16"/>
      <c r="F37" s="6"/>
      <c r="G37" s="6"/>
      <c r="H37" s="6"/>
      <c r="I37" s="26">
        <f t="shared" si="1"/>
        <v>8005931.2199999997</v>
      </c>
      <c r="K37" s="3" t="s">
        <v>10</v>
      </c>
    </row>
    <row r="38" spans="2:11" ht="11.25" thickBot="1">
      <c r="B38"/>
      <c r="C38" s="3" t="s">
        <v>73</v>
      </c>
      <c r="D38" s="26">
        <v>84065376.989999995</v>
      </c>
      <c r="E38" s="16"/>
      <c r="F38" s="6"/>
      <c r="G38" s="6"/>
      <c r="H38" s="6"/>
      <c r="I38" s="26">
        <f t="shared" si="1"/>
        <v>84065376.989999995</v>
      </c>
      <c r="K38" s="3" t="s">
        <v>10</v>
      </c>
    </row>
    <row r="39" spans="2:11" hidden="1">
      <c r="B39"/>
      <c r="C39" s="3" t="s">
        <v>74</v>
      </c>
      <c r="D39" s="26">
        <v>0</v>
      </c>
      <c r="E39" s="16"/>
      <c r="F39" s="6"/>
      <c r="G39" s="6"/>
      <c r="H39" s="6"/>
      <c r="I39" s="26">
        <f t="shared" si="1"/>
        <v>0</v>
      </c>
      <c r="K39" s="3" t="s">
        <v>10</v>
      </c>
    </row>
    <row r="40" spans="2:11" hidden="1">
      <c r="B40"/>
      <c r="C40" s="3" t="s">
        <v>75</v>
      </c>
      <c r="D40" s="26">
        <v>0</v>
      </c>
      <c r="E40" s="16"/>
      <c r="F40" s="6"/>
      <c r="G40" s="6"/>
      <c r="H40" s="6"/>
      <c r="I40" s="26">
        <f t="shared" si="1"/>
        <v>0</v>
      </c>
      <c r="K40" s="3" t="s">
        <v>10</v>
      </c>
    </row>
    <row r="41" spans="2:11" hidden="1">
      <c r="B41"/>
      <c r="C41" s="3" t="s">
        <v>45</v>
      </c>
      <c r="D41" s="26">
        <v>0</v>
      </c>
      <c r="E41" s="16"/>
      <c r="F41" s="6"/>
      <c r="G41" s="6"/>
      <c r="H41" s="6"/>
      <c r="I41" s="26">
        <f t="shared" si="1"/>
        <v>0</v>
      </c>
      <c r="K41" s="3" t="s">
        <v>10</v>
      </c>
    </row>
    <row r="42" spans="2:11" hidden="1">
      <c r="B42"/>
      <c r="C42" s="22" t="s">
        <v>76</v>
      </c>
      <c r="D42" s="26">
        <v>0</v>
      </c>
      <c r="E42" s="16"/>
      <c r="F42" s="6"/>
      <c r="G42" s="6"/>
      <c r="H42" s="6"/>
      <c r="I42" s="26">
        <f>IF(K42="Post Merger",D42,0)</f>
        <v>0</v>
      </c>
      <c r="K42" s="3" t="s">
        <v>10</v>
      </c>
    </row>
    <row r="43" spans="2:11" hidden="1">
      <c r="B43"/>
      <c r="C43" s="3" t="s">
        <v>77</v>
      </c>
      <c r="D43" s="26">
        <v>0</v>
      </c>
      <c r="E43" s="16"/>
      <c r="F43" s="6"/>
      <c r="G43" s="6"/>
      <c r="H43" s="6"/>
      <c r="I43" s="26">
        <f t="shared" si="1"/>
        <v>0</v>
      </c>
      <c r="K43" s="3" t="s">
        <v>10</v>
      </c>
    </row>
    <row r="44" spans="2:11" hidden="1">
      <c r="B44"/>
      <c r="C44" s="3" t="s">
        <v>78</v>
      </c>
      <c r="D44" s="26">
        <v>0</v>
      </c>
      <c r="E44" s="16"/>
      <c r="F44" s="6"/>
      <c r="G44" s="6"/>
      <c r="H44" s="6"/>
      <c r="I44" s="26">
        <f t="shared" si="1"/>
        <v>0</v>
      </c>
      <c r="K44" s="3" t="s">
        <v>10</v>
      </c>
    </row>
    <row r="45" spans="2:11" hidden="1">
      <c r="B45"/>
      <c r="C45" s="3" t="s">
        <v>79</v>
      </c>
      <c r="D45" s="26">
        <v>0</v>
      </c>
      <c r="E45" s="16"/>
      <c r="F45" s="6"/>
      <c r="G45" s="6"/>
      <c r="H45" s="6"/>
      <c r="I45" s="26">
        <f t="shared" si="1"/>
        <v>0</v>
      </c>
      <c r="K45" s="3" t="s">
        <v>10</v>
      </c>
    </row>
    <row r="46" spans="2:11" hidden="1">
      <c r="B46"/>
      <c r="C46" s="3" t="s">
        <v>80</v>
      </c>
      <c r="D46" s="26">
        <v>0</v>
      </c>
      <c r="E46" s="16"/>
      <c r="F46" s="6"/>
      <c r="G46" s="6"/>
      <c r="H46" s="6"/>
      <c r="I46" s="26">
        <f t="shared" si="1"/>
        <v>0</v>
      </c>
      <c r="K46" s="3" t="s">
        <v>10</v>
      </c>
    </row>
    <row r="47" spans="2:11" hidden="1">
      <c r="B47"/>
      <c r="C47" s="3" t="s">
        <v>81</v>
      </c>
      <c r="D47" s="26">
        <v>0</v>
      </c>
      <c r="E47" s="16"/>
      <c r="F47" s="6"/>
      <c r="G47" s="6"/>
      <c r="H47" s="6"/>
      <c r="I47" s="26">
        <f t="shared" si="1"/>
        <v>0</v>
      </c>
      <c r="K47" s="3" t="s">
        <v>10</v>
      </c>
    </row>
    <row r="48" spans="2:11" hidden="1">
      <c r="B48"/>
      <c r="C48" s="3" t="s">
        <v>82</v>
      </c>
      <c r="D48" s="26">
        <v>0</v>
      </c>
      <c r="E48" s="16"/>
      <c r="F48" s="6"/>
      <c r="G48" s="6"/>
      <c r="H48" s="6"/>
      <c r="I48" s="26">
        <f t="shared" si="1"/>
        <v>0</v>
      </c>
      <c r="K48" s="3" t="s">
        <v>10</v>
      </c>
    </row>
    <row r="49" spans="2:13" hidden="1">
      <c r="B49"/>
      <c r="C49" s="27" t="s">
        <v>83</v>
      </c>
      <c r="D49" s="26">
        <v>0</v>
      </c>
      <c r="E49" s="16"/>
      <c r="F49" s="6"/>
      <c r="G49" s="6"/>
      <c r="H49" s="6"/>
      <c r="I49" s="26">
        <f>IF(K49="Post Merger",D49,0)</f>
        <v>0</v>
      </c>
      <c r="K49" s="3" t="s">
        <v>10</v>
      </c>
    </row>
    <row r="50" spans="2:13" hidden="1">
      <c r="B50"/>
      <c r="C50" s="27" t="s">
        <v>92</v>
      </c>
      <c r="D50" s="26">
        <v>0</v>
      </c>
      <c r="E50" s="16"/>
      <c r="F50" s="6"/>
      <c r="G50" s="6"/>
      <c r="H50" s="6"/>
      <c r="I50" s="26">
        <f>IF(K50="Post Merger",D50,0)</f>
        <v>0</v>
      </c>
      <c r="K50" s="3" t="s">
        <v>10</v>
      </c>
    </row>
    <row r="51" spans="2:13" hidden="1">
      <c r="B51"/>
      <c r="C51" s="3" t="s">
        <v>84</v>
      </c>
      <c r="D51" s="26">
        <v>0</v>
      </c>
      <c r="E51" s="16"/>
      <c r="F51" s="6"/>
      <c r="G51" s="6"/>
      <c r="H51" s="6"/>
      <c r="I51" s="26">
        <f t="shared" si="1"/>
        <v>0</v>
      </c>
      <c r="K51" s="3" t="s">
        <v>10</v>
      </c>
    </row>
    <row r="52" spans="2:13" hidden="1">
      <c r="B52"/>
      <c r="C52" s="3" t="s">
        <v>95</v>
      </c>
      <c r="D52" s="26">
        <v>0</v>
      </c>
      <c r="E52" s="16"/>
      <c r="F52" s="6"/>
      <c r="G52" s="6"/>
      <c r="H52" s="6"/>
      <c r="I52" s="26">
        <f t="shared" si="1"/>
        <v>0</v>
      </c>
      <c r="K52" s="3" t="s">
        <v>10</v>
      </c>
    </row>
    <row r="53" spans="2:13" hidden="1">
      <c r="B53"/>
      <c r="C53" s="3" t="s">
        <v>85</v>
      </c>
      <c r="D53" s="26">
        <v>0</v>
      </c>
      <c r="E53" s="16"/>
      <c r="F53" s="6"/>
      <c r="G53" s="6"/>
      <c r="H53" s="6"/>
      <c r="I53" s="26">
        <f t="shared" si="1"/>
        <v>0</v>
      </c>
      <c r="K53" s="3" t="s">
        <v>10</v>
      </c>
    </row>
    <row r="54" spans="2:13" hidden="1">
      <c r="B54"/>
      <c r="C54" s="3" t="s">
        <v>86</v>
      </c>
      <c r="D54" s="26">
        <v>0</v>
      </c>
      <c r="E54" s="16"/>
      <c r="F54" s="6"/>
      <c r="G54" s="6"/>
      <c r="H54" s="6"/>
      <c r="I54" s="26">
        <f t="shared" si="1"/>
        <v>0</v>
      </c>
      <c r="K54" s="3" t="s">
        <v>10</v>
      </c>
    </row>
    <row r="55" spans="2:13" hidden="1">
      <c r="B55"/>
      <c r="C55" s="3" t="s">
        <v>94</v>
      </c>
      <c r="D55" s="26">
        <v>0</v>
      </c>
      <c r="E55" s="16"/>
      <c r="F55" s="6"/>
      <c r="G55" s="6"/>
      <c r="H55" s="6"/>
      <c r="I55" s="26">
        <f t="shared" si="1"/>
        <v>0</v>
      </c>
      <c r="K55" s="3" t="s">
        <v>10</v>
      </c>
    </row>
    <row r="56" spans="2:13" hidden="1">
      <c r="B56"/>
      <c r="C56" s="27" t="s">
        <v>87</v>
      </c>
      <c r="D56" s="26">
        <v>0</v>
      </c>
      <c r="E56" s="16"/>
      <c r="F56" s="6"/>
      <c r="G56" s="6"/>
      <c r="H56" s="6"/>
      <c r="I56" s="26">
        <f>IF(K56="Post Merger",D56,0)</f>
        <v>0</v>
      </c>
      <c r="K56" s="3" t="s">
        <v>10</v>
      </c>
    </row>
    <row r="57" spans="2:13" hidden="1">
      <c r="B57"/>
      <c r="C57" s="3" t="s">
        <v>93</v>
      </c>
      <c r="D57" s="26">
        <v>0</v>
      </c>
      <c r="E57" s="16"/>
      <c r="F57" s="6"/>
      <c r="G57" s="6"/>
      <c r="H57" s="6"/>
      <c r="I57" s="26">
        <f>IF(K57="Post Merger",D57,0)</f>
        <v>0</v>
      </c>
      <c r="K57" s="3" t="s">
        <v>10</v>
      </c>
    </row>
    <row r="58" spans="2:13" hidden="1">
      <c r="B58"/>
      <c r="C58" s="27"/>
      <c r="D58" s="26"/>
      <c r="E58" s="16"/>
      <c r="F58" s="6"/>
      <c r="G58" s="6"/>
      <c r="H58" s="6"/>
      <c r="I58" s="26"/>
    </row>
    <row r="59" spans="2:13" hidden="1">
      <c r="B59" s="22" t="s">
        <v>64</v>
      </c>
      <c r="C59" s="27"/>
      <c r="D59" s="26"/>
      <c r="E59" s="16"/>
      <c r="F59" s="6"/>
      <c r="G59" s="6"/>
      <c r="H59" s="6"/>
      <c r="I59" s="26"/>
    </row>
    <row r="60" spans="2:13" ht="11.25" hidden="1" thickBot="1">
      <c r="B60"/>
      <c r="C60" s="3" t="s">
        <v>96</v>
      </c>
      <c r="D60" s="26">
        <v>0</v>
      </c>
      <c r="E60" s="16"/>
      <c r="F60" s="6"/>
      <c r="G60" s="6"/>
      <c r="H60" s="6"/>
      <c r="I60" s="26">
        <f>IF(K60="Post Merger",D60,0)</f>
        <v>0</v>
      </c>
      <c r="K60" s="3" t="s">
        <v>10</v>
      </c>
    </row>
    <row r="61" spans="2:13" ht="11.25" thickBot="1">
      <c r="B61"/>
      <c r="D61" s="16"/>
      <c r="E61" s="16"/>
      <c r="F61" s="6"/>
      <c r="G61" s="6"/>
      <c r="H61" s="6"/>
      <c r="I61" s="6"/>
      <c r="K61" s="36">
        <v>0</v>
      </c>
      <c r="L61" s="24" t="s">
        <v>40</v>
      </c>
      <c r="M61" s="37">
        <v>0</v>
      </c>
    </row>
    <row r="62" spans="2:13">
      <c r="B62"/>
      <c r="C62" t="s">
        <v>115</v>
      </c>
      <c r="D62" s="26">
        <v>64209042.530000001</v>
      </c>
      <c r="E62" s="16"/>
      <c r="F62" s="6"/>
      <c r="G62" s="6"/>
      <c r="H62" s="6"/>
      <c r="I62" s="26">
        <f>D62</f>
        <v>64209042.530000001</v>
      </c>
    </row>
    <row r="63" spans="2:13" ht="11.25" thickBot="1">
      <c r="B63" s="40" t="s">
        <v>65</v>
      </c>
      <c r="C63" s="14"/>
      <c r="D63" s="11" t="s">
        <v>14</v>
      </c>
      <c r="E63" s="14" t="s">
        <v>13</v>
      </c>
      <c r="F63" s="11" t="s">
        <v>14</v>
      </c>
      <c r="G63" s="11" t="s">
        <v>14</v>
      </c>
      <c r="H63" s="11" t="s">
        <v>14</v>
      </c>
      <c r="I63" s="11" t="s">
        <v>14</v>
      </c>
    </row>
    <row r="64" spans="2:13" ht="11.25" thickBot="1">
      <c r="B64" s="3" t="s">
        <v>28</v>
      </c>
      <c r="C64"/>
      <c r="D64" s="26">
        <f>SUM(D30:D62)</f>
        <v>161001374.25</v>
      </c>
      <c r="E64" s="16"/>
      <c r="F64" s="26">
        <f>SUM(F30:F62)</f>
        <v>0</v>
      </c>
      <c r="G64" s="26">
        <f>SUM(G30:G62)</f>
        <v>0</v>
      </c>
      <c r="H64" s="26">
        <f>SUM(H30:H62)</f>
        <v>0</v>
      </c>
      <c r="I64" s="26">
        <f>SUM(I30:I62)</f>
        <v>161001374.25</v>
      </c>
      <c r="K64" s="36"/>
      <c r="L64" s="24" t="s">
        <v>40</v>
      </c>
      <c r="M64" s="37">
        <f>D64-SUM(F64:I64)</f>
        <v>0</v>
      </c>
    </row>
    <row r="65" spans="1:16">
      <c r="B65" s="3" t="s">
        <v>116</v>
      </c>
      <c r="D65" s="26">
        <v>719462.58</v>
      </c>
      <c r="E65" s="16"/>
      <c r="F65" s="14"/>
      <c r="H65" s="26"/>
      <c r="I65" s="26">
        <f>D65</f>
        <v>719462.58</v>
      </c>
      <c r="J65"/>
      <c r="K65"/>
      <c r="L65"/>
      <c r="M65"/>
    </row>
    <row r="66" spans="1:16">
      <c r="B66" s="3" t="s">
        <v>29</v>
      </c>
      <c r="C66"/>
      <c r="D66" s="26">
        <v>0</v>
      </c>
      <c r="E66" s="16"/>
      <c r="F66" s="26"/>
      <c r="G66" s="26"/>
      <c r="H66" s="26">
        <f>D66</f>
        <v>0</v>
      </c>
      <c r="I66" s="6"/>
    </row>
    <row r="67" spans="1:16" ht="11.25" thickBot="1">
      <c r="D67" s="11" t="s">
        <v>14</v>
      </c>
      <c r="E67" s="14" t="s">
        <v>13</v>
      </c>
      <c r="F67" s="11" t="s">
        <v>14</v>
      </c>
      <c r="G67" s="11" t="s">
        <v>14</v>
      </c>
      <c r="H67" s="11" t="s">
        <v>14</v>
      </c>
      <c r="I67" s="11" t="s">
        <v>14</v>
      </c>
    </row>
    <row r="68" spans="1:16" ht="11.25" thickBot="1">
      <c r="A68" s="3" t="s">
        <v>30</v>
      </c>
      <c r="D68" s="26">
        <f>D64+D65+D66+D27</f>
        <v>239432121.06</v>
      </c>
      <c r="E68" s="16"/>
      <c r="F68" s="26">
        <f t="shared" ref="F68:I68" si="2">F64+F65+F66+F27</f>
        <v>2529420.7641726462</v>
      </c>
      <c r="G68" s="26">
        <f t="shared" si="2"/>
        <v>12377848.49156395</v>
      </c>
      <c r="H68" s="26">
        <f t="shared" si="2"/>
        <v>0</v>
      </c>
      <c r="I68" s="26">
        <f t="shared" si="2"/>
        <v>224524851.80426341</v>
      </c>
      <c r="K68" s="36">
        <v>0</v>
      </c>
      <c r="L68" s="24" t="s">
        <v>40</v>
      </c>
      <c r="M68" s="37">
        <f>D68-SUM(F68:I68)</f>
        <v>0</v>
      </c>
    </row>
    <row r="69" spans="1:16">
      <c r="D69" s="16"/>
      <c r="E69" s="16"/>
      <c r="F69" s="16"/>
      <c r="G69" s="16"/>
      <c r="H69" s="16"/>
      <c r="I69" s="16"/>
    </row>
    <row r="70" spans="1:16">
      <c r="D70" s="16"/>
      <c r="E70" s="16"/>
      <c r="F70" s="16"/>
      <c r="G70" s="16"/>
      <c r="H70" s="16"/>
      <c r="I70" s="16"/>
    </row>
    <row r="71" spans="1:16" ht="11.25">
      <c r="A71" s="3" t="s">
        <v>31</v>
      </c>
      <c r="F71" s="6"/>
      <c r="G71" s="6"/>
      <c r="H71" s="6"/>
      <c r="I71" s="6"/>
      <c r="N71" s="29" t="s">
        <v>60</v>
      </c>
      <c r="O71" s="32">
        <v>24999835.973468848</v>
      </c>
      <c r="P71" s="26"/>
    </row>
    <row r="72" spans="1:16" ht="11.25">
      <c r="F72" s="6"/>
      <c r="G72" s="6"/>
      <c r="H72" s="6"/>
      <c r="I72" s="6"/>
      <c r="N72" s="29" t="s">
        <v>61</v>
      </c>
      <c r="O72" s="32">
        <v>0</v>
      </c>
      <c r="P72" s="26"/>
    </row>
    <row r="73" spans="1:16" customFormat="1" ht="11.25">
      <c r="A73" s="3"/>
      <c r="B73" s="3" t="s">
        <v>32</v>
      </c>
      <c r="D73" s="26">
        <f>SUM(F73:I73)</f>
        <v>24999835.973468848</v>
      </c>
      <c r="E73" s="16"/>
      <c r="F73" s="26">
        <f>O71</f>
        <v>24999835.973468848</v>
      </c>
      <c r="G73" s="6"/>
      <c r="H73" s="6"/>
      <c r="I73" s="6"/>
      <c r="J73" s="3"/>
      <c r="K73" s="18"/>
      <c r="L73" s="3"/>
      <c r="M73" s="3"/>
      <c r="N73" s="29" t="s">
        <v>62</v>
      </c>
      <c r="O73" s="32">
        <v>83304574.000558719</v>
      </c>
      <c r="P73" s="38"/>
    </row>
    <row r="74" spans="1:16" ht="11.25" hidden="1">
      <c r="A74"/>
      <c r="B74"/>
      <c r="C74"/>
      <c r="D74"/>
      <c r="E74"/>
      <c r="F74"/>
      <c r="G74"/>
      <c r="H74"/>
      <c r="I74"/>
      <c r="J74"/>
      <c r="K74" s="23"/>
      <c r="L74"/>
      <c r="M74"/>
      <c r="N74" s="29" t="s">
        <v>91</v>
      </c>
      <c r="O74" s="32">
        <v>0</v>
      </c>
      <c r="P74" s="26"/>
    </row>
    <row r="75" spans="1:16" ht="12" thickBot="1">
      <c r="B75" s="3" t="s">
        <v>33</v>
      </c>
      <c r="C75"/>
      <c r="D75" s="26">
        <f>SUM(F75:I75)</f>
        <v>0</v>
      </c>
      <c r="E75" s="16"/>
      <c r="F75" s="26">
        <f>O72</f>
        <v>0</v>
      </c>
      <c r="G75" s="6"/>
      <c r="H75" s="6"/>
      <c r="I75" s="6"/>
      <c r="N75" s="29" t="s">
        <v>63</v>
      </c>
      <c r="O75" s="32">
        <v>1038267.1499999999</v>
      </c>
      <c r="P75" s="26"/>
    </row>
    <row r="76" spans="1:16" ht="11.25" hidden="1" thickBot="1">
      <c r="C76"/>
      <c r="D76" s="16"/>
      <c r="E76" s="16"/>
      <c r="F76" s="6"/>
      <c r="G76" s="6"/>
      <c r="H76" s="6"/>
      <c r="I76" s="6"/>
      <c r="O76" s="32">
        <f>SUM(O71:O75)</f>
        <v>109342677.12402758</v>
      </c>
      <c r="P76" s="26"/>
    </row>
    <row r="77" spans="1:16" ht="11.25" thickBot="1">
      <c r="B77" s="3" t="s">
        <v>10</v>
      </c>
      <c r="C77"/>
      <c r="D77" s="26">
        <f>D82-(D73+D75+D79)</f>
        <v>84342841.02653116</v>
      </c>
      <c r="E77" s="16"/>
      <c r="F77" s="17"/>
      <c r="G77" s="6"/>
      <c r="H77" s="6"/>
      <c r="I77" s="26">
        <f>D77</f>
        <v>84342841.02653116</v>
      </c>
      <c r="N77" s="47" t="s">
        <v>40</v>
      </c>
      <c r="O77" s="37">
        <v>0</v>
      </c>
      <c r="P77" s="46"/>
    </row>
    <row r="78" spans="1:16" hidden="1">
      <c r="F78" s="6"/>
      <c r="G78" s="6"/>
      <c r="H78" s="6"/>
      <c r="I78" s="6"/>
    </row>
    <row r="79" spans="1:16" customFormat="1">
      <c r="A79" s="3"/>
      <c r="B79" t="s">
        <v>34</v>
      </c>
      <c r="C79" s="3"/>
      <c r="D79" s="26">
        <v>0</v>
      </c>
      <c r="E79" s="16"/>
      <c r="F79" s="6"/>
      <c r="H79" s="26">
        <f>D79</f>
        <v>0</v>
      </c>
      <c r="I79" s="6"/>
      <c r="J79" s="3"/>
      <c r="K79" s="3"/>
      <c r="L79" s="3"/>
      <c r="M79" s="3"/>
      <c r="N79" s="27"/>
    </row>
    <row r="80" spans="1:16">
      <c r="A80"/>
      <c r="B80"/>
      <c r="C80"/>
      <c r="D80"/>
      <c r="E80"/>
      <c r="F80"/>
      <c r="G80"/>
      <c r="H80"/>
      <c r="I80"/>
      <c r="J80"/>
      <c r="K80"/>
      <c r="L80"/>
      <c r="M80"/>
    </row>
    <row r="81" spans="1:14" ht="11.25" thickBot="1">
      <c r="D81" s="11" t="s">
        <v>14</v>
      </c>
      <c r="E81" s="14" t="s">
        <v>13</v>
      </c>
      <c r="F81" s="11" t="s">
        <v>14</v>
      </c>
      <c r="G81" s="11" t="s">
        <v>14</v>
      </c>
      <c r="H81" s="11" t="s">
        <v>14</v>
      </c>
      <c r="I81" s="11" t="s">
        <v>14</v>
      </c>
    </row>
    <row r="82" spans="1:14" customFormat="1" ht="11.25" thickBot="1">
      <c r="A82" s="3" t="s">
        <v>35</v>
      </c>
      <c r="B82" s="3"/>
      <c r="C82" s="3"/>
      <c r="D82" s="26">
        <v>109342677</v>
      </c>
      <c r="E82" s="16"/>
      <c r="F82" s="26">
        <f>SUM(F73:F79)</f>
        <v>24999835.973468848</v>
      </c>
      <c r="G82" s="26">
        <f>SUM(G73:G79)</f>
        <v>0</v>
      </c>
      <c r="H82" s="26">
        <f>SUM(H73:H79)</f>
        <v>0</v>
      </c>
      <c r="I82" s="26">
        <f>SUM(I73:I79)</f>
        <v>84342841.02653116</v>
      </c>
      <c r="J82" s="3"/>
      <c r="K82" s="36">
        <f>D82-(D73+D75+D77+D79)</f>
        <v>0</v>
      </c>
      <c r="L82" s="24" t="s">
        <v>40</v>
      </c>
      <c r="M82" s="37">
        <f>D82-SUM(F82:I82)</f>
        <v>0</v>
      </c>
      <c r="N82" s="27"/>
    </row>
    <row r="83" spans="1:14" customFormat="1">
      <c r="A83" s="3"/>
      <c r="B83" s="3"/>
      <c r="C83" s="3"/>
      <c r="D83" s="3"/>
      <c r="E83" s="3"/>
      <c r="G83" s="3"/>
      <c r="H83" s="3"/>
      <c r="I83" s="3"/>
      <c r="N83" s="27"/>
    </row>
    <row r="84" spans="1:14" customFormat="1">
      <c r="A84" s="3" t="s">
        <v>36</v>
      </c>
      <c r="B84" s="3"/>
      <c r="C84" s="3"/>
      <c r="D84" s="3"/>
      <c r="E84" s="3"/>
      <c r="G84" s="3"/>
      <c r="H84" s="3"/>
      <c r="I84" s="3"/>
      <c r="N84" s="27"/>
    </row>
    <row r="85" spans="1:14" customFormat="1" hidden="1">
      <c r="A85" s="3"/>
      <c r="B85" s="16" t="s">
        <v>98</v>
      </c>
      <c r="C85" s="3"/>
      <c r="D85" s="26">
        <v>0</v>
      </c>
      <c r="E85" s="16"/>
      <c r="G85" s="3"/>
      <c r="H85" s="26">
        <f t="shared" ref="H85:H105" si="3">D85</f>
        <v>0</v>
      </c>
      <c r="I85" s="2"/>
      <c r="N85" s="27"/>
    </row>
    <row r="86" spans="1:14" customFormat="1" hidden="1">
      <c r="A86" s="3"/>
      <c r="B86" s="16" t="s">
        <v>99</v>
      </c>
      <c r="C86" s="3"/>
      <c r="D86" s="26">
        <v>0</v>
      </c>
      <c r="E86" s="16"/>
      <c r="G86" s="3"/>
      <c r="H86" s="26">
        <f t="shared" si="3"/>
        <v>0</v>
      </c>
      <c r="I86" s="2"/>
      <c r="N86" s="27"/>
    </row>
    <row r="87" spans="1:14" customFormat="1">
      <c r="A87" s="3"/>
      <c r="B87" s="16" t="s">
        <v>100</v>
      </c>
      <c r="C87" s="3"/>
      <c r="D87" s="26">
        <v>8051917.6799999997</v>
      </c>
      <c r="E87" s="16"/>
      <c r="G87" s="3"/>
      <c r="H87" s="26">
        <f t="shared" si="3"/>
        <v>8051917.6799999997</v>
      </c>
      <c r="I87" s="2"/>
      <c r="N87" s="27"/>
    </row>
    <row r="88" spans="1:14" customFormat="1" hidden="1">
      <c r="A88" s="3"/>
      <c r="B88" s="16" t="s">
        <v>101</v>
      </c>
      <c r="C88" s="3"/>
      <c r="D88" s="26">
        <v>0</v>
      </c>
      <c r="E88" s="16"/>
      <c r="G88" s="3"/>
      <c r="H88" s="26">
        <f t="shared" si="3"/>
        <v>0</v>
      </c>
      <c r="I88" s="2"/>
      <c r="N88" s="27"/>
    </row>
    <row r="89" spans="1:14" customFormat="1">
      <c r="A89" s="3"/>
      <c r="B89" s="16" t="s">
        <v>66</v>
      </c>
      <c r="C89" s="3"/>
      <c r="D89" s="26">
        <v>50838875.619999997</v>
      </c>
      <c r="E89" s="16"/>
      <c r="G89" s="3"/>
      <c r="H89" s="26">
        <f>D89</f>
        <v>50838875.619999997</v>
      </c>
      <c r="I89" s="2"/>
      <c r="N89" s="27"/>
    </row>
    <row r="90" spans="1:14" customFormat="1" hidden="1">
      <c r="A90" s="3"/>
      <c r="B90" s="16" t="s">
        <v>47</v>
      </c>
      <c r="C90" s="3"/>
      <c r="D90" s="26">
        <v>0</v>
      </c>
      <c r="E90" s="16"/>
      <c r="G90" s="3"/>
      <c r="H90" s="26">
        <f>D90</f>
        <v>0</v>
      </c>
      <c r="I90" s="2"/>
      <c r="N90" s="27"/>
    </row>
    <row r="91" spans="1:14" customFormat="1" hidden="1">
      <c r="A91" s="3"/>
      <c r="B91" s="16" t="s">
        <v>102</v>
      </c>
      <c r="C91" s="3"/>
      <c r="D91" s="26">
        <v>0</v>
      </c>
      <c r="E91" s="16"/>
      <c r="G91" s="3"/>
      <c r="H91" s="26">
        <f t="shared" si="3"/>
        <v>0</v>
      </c>
      <c r="I91" s="2"/>
      <c r="N91" s="27"/>
    </row>
    <row r="92" spans="1:14" customFormat="1" hidden="1">
      <c r="A92" s="3"/>
      <c r="B92" s="16" t="s">
        <v>103</v>
      </c>
      <c r="C92" s="3"/>
      <c r="D92" s="26">
        <v>0</v>
      </c>
      <c r="E92" s="16"/>
      <c r="G92" s="3"/>
      <c r="H92" s="26">
        <f t="shared" si="3"/>
        <v>0</v>
      </c>
      <c r="I92" s="2"/>
      <c r="N92" s="27"/>
    </row>
    <row r="93" spans="1:14" customFormat="1" hidden="1">
      <c r="A93" s="3"/>
      <c r="B93" s="16" t="s">
        <v>104</v>
      </c>
      <c r="C93" s="3"/>
      <c r="D93" s="26">
        <v>0</v>
      </c>
      <c r="E93" s="16"/>
      <c r="G93" s="3"/>
      <c r="H93" s="26">
        <f t="shared" si="3"/>
        <v>0</v>
      </c>
      <c r="I93" s="2"/>
      <c r="N93" s="27"/>
    </row>
    <row r="94" spans="1:14" customFormat="1" hidden="1">
      <c r="A94" s="3"/>
      <c r="B94" s="16" t="s">
        <v>105</v>
      </c>
      <c r="C94" s="3"/>
      <c r="D94" s="26">
        <v>0</v>
      </c>
      <c r="E94" s="16"/>
      <c r="F94" s="14"/>
      <c r="G94" s="3"/>
      <c r="H94" s="26">
        <f t="shared" si="3"/>
        <v>0</v>
      </c>
      <c r="I94" s="2"/>
      <c r="N94" s="27"/>
    </row>
    <row r="95" spans="1:14" customFormat="1">
      <c r="A95" s="3"/>
      <c r="B95" s="16" t="s">
        <v>106</v>
      </c>
      <c r="C95" s="3"/>
      <c r="D95" s="26">
        <v>45919202.210000001</v>
      </c>
      <c r="E95" s="16"/>
      <c r="F95" s="14"/>
      <c r="G95" s="3"/>
      <c r="H95" s="26">
        <f t="shared" si="3"/>
        <v>45919202.210000001</v>
      </c>
      <c r="I95" s="2"/>
      <c r="N95" s="27"/>
    </row>
    <row r="96" spans="1:14" customFormat="1" hidden="1">
      <c r="A96" s="3"/>
      <c r="B96" s="16" t="s">
        <v>107</v>
      </c>
      <c r="C96" s="3"/>
      <c r="D96" s="26">
        <v>0</v>
      </c>
      <c r="E96" s="16"/>
      <c r="F96" s="14"/>
      <c r="G96" s="3"/>
      <c r="H96" s="26">
        <f t="shared" si="3"/>
        <v>0</v>
      </c>
      <c r="I96" s="2"/>
      <c r="N96" s="27"/>
    </row>
    <row r="97" spans="1:14" customFormat="1" hidden="1">
      <c r="A97" s="3"/>
      <c r="B97" s="16" t="s">
        <v>108</v>
      </c>
      <c r="C97" s="3"/>
      <c r="D97" s="26">
        <v>0</v>
      </c>
      <c r="E97" s="16"/>
      <c r="F97" s="14"/>
      <c r="G97" s="3"/>
      <c r="H97" s="26">
        <f>D97</f>
        <v>0</v>
      </c>
      <c r="I97" s="2"/>
      <c r="N97" s="27"/>
    </row>
    <row r="98" spans="1:14" customFormat="1">
      <c r="A98" s="3"/>
      <c r="B98" s="16" t="s">
        <v>109</v>
      </c>
      <c r="C98" s="3"/>
      <c r="D98" s="26">
        <v>197817716.75</v>
      </c>
      <c r="E98" s="16"/>
      <c r="F98" s="14"/>
      <c r="G98" s="3"/>
      <c r="H98" s="26">
        <f t="shared" si="3"/>
        <v>197817716.75</v>
      </c>
      <c r="I98" s="2"/>
      <c r="N98" s="27"/>
    </row>
    <row r="99" spans="1:14" customFormat="1" hidden="1">
      <c r="A99" s="3"/>
      <c r="B99" s="16" t="s">
        <v>110</v>
      </c>
      <c r="C99" s="3"/>
      <c r="D99" s="26">
        <v>0</v>
      </c>
      <c r="E99" s="16"/>
      <c r="F99" s="14"/>
      <c r="G99" s="3"/>
      <c r="H99" s="26">
        <f t="shared" si="3"/>
        <v>0</v>
      </c>
      <c r="I99" s="2"/>
      <c r="N99" s="27"/>
    </row>
    <row r="100" spans="1:14" customFormat="1" hidden="1">
      <c r="A100" s="3"/>
      <c r="B100" s="16"/>
      <c r="C100" s="3"/>
      <c r="D100" s="26"/>
      <c r="E100" s="16"/>
      <c r="F100" s="14"/>
      <c r="G100" s="3"/>
      <c r="H100" s="26"/>
      <c r="I100" s="2"/>
      <c r="N100" s="27"/>
    </row>
    <row r="101" spans="1:14" customFormat="1" hidden="1">
      <c r="A101" s="3"/>
      <c r="B101" s="16" t="s">
        <v>111</v>
      </c>
      <c r="C101" s="3"/>
      <c r="D101" s="26">
        <v>0</v>
      </c>
      <c r="E101" s="16"/>
      <c r="F101" s="14"/>
      <c r="G101" s="3"/>
      <c r="H101" s="26">
        <f t="shared" ref="H101:H102" si="4">D101</f>
        <v>0</v>
      </c>
      <c r="I101" s="2"/>
      <c r="N101" s="27"/>
    </row>
    <row r="102" spans="1:14" customFormat="1" hidden="1">
      <c r="A102" s="3"/>
      <c r="B102" s="16" t="s">
        <v>112</v>
      </c>
      <c r="C102" s="3"/>
      <c r="D102" s="26">
        <v>0</v>
      </c>
      <c r="E102" s="16"/>
      <c r="F102" s="14"/>
      <c r="G102" s="3"/>
      <c r="H102" s="26">
        <f t="shared" si="4"/>
        <v>0</v>
      </c>
      <c r="I102" s="2"/>
      <c r="N102" s="27"/>
    </row>
    <row r="103" spans="1:14" customFormat="1" hidden="1">
      <c r="A103" s="3"/>
      <c r="B103" s="16" t="s">
        <v>113</v>
      </c>
      <c r="C103" s="3"/>
      <c r="D103" s="26">
        <v>0</v>
      </c>
      <c r="E103" s="16"/>
      <c r="F103" s="14"/>
      <c r="G103" s="3"/>
      <c r="H103" s="26">
        <f t="shared" si="3"/>
        <v>0</v>
      </c>
      <c r="I103" s="2"/>
      <c r="N103" s="27"/>
    </row>
    <row r="104" spans="1:14" customFormat="1" hidden="1">
      <c r="A104" s="3"/>
      <c r="B104" s="16"/>
      <c r="C104" s="3"/>
      <c r="D104" s="26"/>
      <c r="E104" s="16"/>
      <c r="F104" s="14"/>
      <c r="G104" s="3"/>
      <c r="H104" s="26"/>
      <c r="I104" s="2"/>
      <c r="N104" s="27"/>
    </row>
    <row r="105" spans="1:14" customFormat="1" hidden="1">
      <c r="A105" s="3"/>
      <c r="B105" s="16" t="s">
        <v>114</v>
      </c>
      <c r="C105" s="3"/>
      <c r="D105" s="26">
        <v>0</v>
      </c>
      <c r="E105" s="16"/>
      <c r="F105" s="14"/>
      <c r="G105" s="3"/>
      <c r="H105" s="26">
        <f t="shared" si="3"/>
        <v>0</v>
      </c>
      <c r="I105" s="2"/>
      <c r="N105" s="27"/>
    </row>
    <row r="106" spans="1:14" customFormat="1" ht="11.25" thickBot="1">
      <c r="A106" s="3"/>
      <c r="B106" s="3"/>
      <c r="C106" s="3"/>
      <c r="D106" s="11" t="s">
        <v>14</v>
      </c>
      <c r="E106" s="14" t="s">
        <v>13</v>
      </c>
      <c r="F106" s="11" t="s">
        <v>14</v>
      </c>
      <c r="G106" s="11" t="s">
        <v>14</v>
      </c>
      <c r="H106" s="11" t="s">
        <v>14</v>
      </c>
      <c r="I106" s="11" t="s">
        <v>14</v>
      </c>
      <c r="N106" s="27"/>
    </row>
    <row r="107" spans="1:14" customFormat="1" ht="11.25" thickBot="1">
      <c r="A107" s="3" t="s">
        <v>37</v>
      </c>
      <c r="B107" s="3"/>
      <c r="C107" s="3"/>
      <c r="D107" s="26">
        <f>SUM(D85:D105)</f>
        <v>302627712.25999999</v>
      </c>
      <c r="E107" s="16"/>
      <c r="F107" s="26">
        <f>SUM(F84:F105)</f>
        <v>0</v>
      </c>
      <c r="G107" s="26">
        <f>SUM(G84:G105)</f>
        <v>0</v>
      </c>
      <c r="H107" s="26">
        <f>SUM(H84:H105)</f>
        <v>302627712.25999999</v>
      </c>
      <c r="I107" s="26">
        <f>SUM(I84:I97)</f>
        <v>0</v>
      </c>
      <c r="K107" s="36">
        <v>0</v>
      </c>
      <c r="L107" s="24" t="s">
        <v>40</v>
      </c>
      <c r="M107" s="37">
        <f>D107-SUM(F107:I107)</f>
        <v>0</v>
      </c>
      <c r="N107" s="27"/>
    </row>
    <row r="108" spans="1:14" customFormat="1">
      <c r="A108" s="3"/>
      <c r="B108" s="3"/>
      <c r="C108" s="3"/>
      <c r="D108" s="7"/>
      <c r="E108" s="16"/>
      <c r="F108" s="16"/>
      <c r="G108" s="16"/>
      <c r="H108" s="16"/>
      <c r="I108" s="16"/>
      <c r="N108" s="27"/>
    </row>
    <row r="109" spans="1:14" customFormat="1">
      <c r="A109" s="3" t="s">
        <v>43</v>
      </c>
      <c r="B109" s="3"/>
      <c r="C109" s="3"/>
      <c r="D109" s="7"/>
      <c r="E109" s="16"/>
      <c r="F109" s="16"/>
      <c r="G109" s="16"/>
      <c r="H109" s="16"/>
      <c r="I109" s="16"/>
      <c r="N109" s="27"/>
    </row>
    <row r="110" spans="1:14" customFormat="1">
      <c r="A110" s="3"/>
      <c r="B110" s="16" t="s">
        <v>97</v>
      </c>
      <c r="C110" s="3"/>
      <c r="D110" s="26">
        <v>0</v>
      </c>
      <c r="E110" s="16"/>
      <c r="F110" s="14"/>
      <c r="G110" s="3"/>
      <c r="H110" s="26">
        <f>D110</f>
        <v>0</v>
      </c>
      <c r="I110" s="2"/>
      <c r="N110" s="27"/>
    </row>
    <row r="111" spans="1:14">
      <c r="D111" s="11" t="s">
        <v>14</v>
      </c>
      <c r="E111" s="14" t="s">
        <v>13</v>
      </c>
      <c r="F111" s="11" t="s">
        <v>14</v>
      </c>
      <c r="G111" s="11" t="s">
        <v>14</v>
      </c>
      <c r="H111" s="11" t="s">
        <v>14</v>
      </c>
      <c r="I111" s="11" t="s">
        <v>14</v>
      </c>
    </row>
    <row r="112" spans="1:14">
      <c r="A112" s="3" t="s">
        <v>44</v>
      </c>
      <c r="D112" s="26">
        <v>0</v>
      </c>
      <c r="E112" s="16"/>
      <c r="F112" s="26">
        <f>SUM(F110:F110)</f>
        <v>0</v>
      </c>
      <c r="G112" s="26">
        <f>SUM(G110:G110)</f>
        <v>0</v>
      </c>
      <c r="H112" s="26">
        <f>SUM(H110:H110)</f>
        <v>0</v>
      </c>
      <c r="I112" s="26">
        <f>SUM(I110:I110)</f>
        <v>0</v>
      </c>
    </row>
    <row r="113" spans="1:13" ht="11.25" thickBot="1">
      <c r="D113" s="19" t="s">
        <v>38</v>
      </c>
      <c r="E113" s="14" t="s">
        <v>13</v>
      </c>
      <c r="F113" s="19" t="s">
        <v>38</v>
      </c>
      <c r="G113" s="19" t="s">
        <v>38</v>
      </c>
      <c r="H113" s="19" t="s">
        <v>38</v>
      </c>
      <c r="I113" s="19" t="s">
        <v>38</v>
      </c>
    </row>
    <row r="114" spans="1:13" ht="11.25" thickBot="1">
      <c r="A114" s="3" t="s">
        <v>39</v>
      </c>
      <c r="D114" s="26">
        <f>D107+D82+D68+D112-D16</f>
        <v>576223316.94999993</v>
      </c>
      <c r="E114" s="16" t="s">
        <v>13</v>
      </c>
      <c r="F114" s="26">
        <f>F107+F82+F68+F112-F16</f>
        <v>14564456.737641495</v>
      </c>
      <c r="G114" s="26">
        <f>G107+G82+G68+G112-G16</f>
        <v>12377848.49156395</v>
      </c>
      <c r="H114" s="26">
        <f>H107+H82+H68+H112-H16</f>
        <v>302627712.25999999</v>
      </c>
      <c r="I114" s="26">
        <f>I107+I82+I68+I112-I16</f>
        <v>246653299.46079457</v>
      </c>
      <c r="K114" s="36">
        <v>0</v>
      </c>
      <c r="L114" s="24" t="s">
        <v>40</v>
      </c>
      <c r="M114" s="37">
        <f>D114-SUM(F114:I114)</f>
        <v>0</v>
      </c>
    </row>
    <row r="115" spans="1:13">
      <c r="D115" s="19" t="s">
        <v>38</v>
      </c>
      <c r="E115" s="14" t="s">
        <v>13</v>
      </c>
      <c r="F115" s="19" t="s">
        <v>38</v>
      </c>
      <c r="G115" s="19" t="s">
        <v>38</v>
      </c>
      <c r="H115" s="19" t="s">
        <v>38</v>
      </c>
      <c r="I115" s="19" t="s">
        <v>38</v>
      </c>
    </row>
  </sheetData>
  <mergeCells count="1">
    <mergeCell ref="A4:C4"/>
  </mergeCells>
  <pageMargins left="0.65" right="0.72" top="1" bottom="1" header="0.5" footer="0.5"/>
  <pageSetup scale="83" orientation="portrait" r:id="rId1"/>
  <headerFooter alignWithMargins="0">
    <oddHeader>&amp;L&amp;"Arial,Regular"&amp;10WA UE-130043
Bench Request 9&amp;R&amp;"Arial,Bold"&amp;10Attachment Bench Request 9</oddHeader>
    <oddFooter>&amp;L&amp;"Arial,Regular"&amp;10&amp;F&amp;C&amp;A</oddFooter>
  </headerFooter>
  <rowBreaks count="1" manualBreakCount="1">
    <brk id="61" max="9" man="1"/>
  </rowBreaks>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9">
    <pageSetUpPr fitToPage="1"/>
  </sheetPr>
  <dimension ref="A1:K50"/>
  <sheetViews>
    <sheetView view="pageBreakPreview" zoomScale="85" zoomScaleNormal="100" zoomScaleSheetLayoutView="85" workbookViewId="0">
      <selection activeCell="T91" sqref="T91"/>
    </sheetView>
  </sheetViews>
  <sheetFormatPr defaultRowHeight="12.75"/>
  <cols>
    <col min="1" max="1" width="4.83203125" style="275" customWidth="1"/>
    <col min="2" max="2" width="8" style="275" customWidth="1"/>
    <col min="3" max="3" width="32.83203125" style="275" customWidth="1"/>
    <col min="4" max="4" width="12.33203125" style="275" customWidth="1"/>
    <col min="5" max="5" width="9.33203125" style="276"/>
    <col min="6" max="6" width="17" style="106" customWidth="1"/>
    <col min="7" max="7" width="9.33203125" style="276"/>
    <col min="8" max="8" width="12" style="276" bestFit="1" customWidth="1"/>
    <col min="9" max="9" width="15.33203125" style="276" bestFit="1" customWidth="1"/>
    <col min="10" max="16384" width="9.33203125" style="275"/>
  </cols>
  <sheetData>
    <row r="1" spans="1:10">
      <c r="A1" s="274" t="s">
        <v>118</v>
      </c>
      <c r="B1" s="274"/>
      <c r="I1" s="277" t="s">
        <v>272</v>
      </c>
      <c r="J1" s="296" t="s">
        <v>375</v>
      </c>
    </row>
    <row r="2" spans="1:10">
      <c r="A2" s="274" t="s">
        <v>255</v>
      </c>
      <c r="B2" s="274"/>
    </row>
    <row r="3" spans="1:10">
      <c r="A3" s="274" t="s">
        <v>330</v>
      </c>
      <c r="B3" s="274"/>
    </row>
    <row r="5" spans="1:10">
      <c r="F5" s="105" t="s">
        <v>274</v>
      </c>
      <c r="I5" s="276" t="s">
        <v>126</v>
      </c>
    </row>
    <row r="6" spans="1:10" ht="15">
      <c r="D6" s="279" t="s">
        <v>275</v>
      </c>
      <c r="E6" s="279" t="s">
        <v>276</v>
      </c>
      <c r="F6" s="280" t="s">
        <v>277</v>
      </c>
      <c r="G6" s="279" t="s">
        <v>278</v>
      </c>
      <c r="H6" s="279" t="s">
        <v>134</v>
      </c>
      <c r="I6" s="279" t="s">
        <v>279</v>
      </c>
      <c r="J6" s="279" t="s">
        <v>280</v>
      </c>
    </row>
    <row r="7" spans="1:10" ht="15">
      <c r="B7" s="274" t="s">
        <v>281</v>
      </c>
      <c r="C7" s="281"/>
      <c r="D7" s="279"/>
      <c r="E7" s="279"/>
      <c r="F7" s="280"/>
      <c r="G7" s="279"/>
      <c r="H7" s="279"/>
      <c r="I7" s="279"/>
      <c r="J7" s="279"/>
    </row>
    <row r="8" spans="1:10" ht="15">
      <c r="B8" s="274"/>
      <c r="C8" s="281"/>
      <c r="D8" s="279"/>
      <c r="E8" s="279"/>
      <c r="F8" s="280"/>
      <c r="G8" s="279"/>
      <c r="H8" s="279"/>
      <c r="I8" s="279"/>
      <c r="J8" s="279"/>
    </row>
    <row r="9" spans="1:10">
      <c r="B9" s="274" t="s">
        <v>137</v>
      </c>
      <c r="C9" s="281"/>
    </row>
    <row r="10" spans="1:10">
      <c r="B10" s="281" t="s">
        <v>138</v>
      </c>
      <c r="C10" s="281"/>
      <c r="D10" s="282" t="s">
        <v>139</v>
      </c>
      <c r="E10" s="283" t="s">
        <v>286</v>
      </c>
      <c r="F10" s="106">
        <f>'9.1 - Summary '!CB15</f>
        <v>0</v>
      </c>
      <c r="G10" s="276" t="s">
        <v>140</v>
      </c>
      <c r="H10" s="284">
        <v>0.2262649010137</v>
      </c>
      <c r="I10" s="276">
        <f>F10*H10</f>
        <v>0</v>
      </c>
      <c r="J10" s="276"/>
    </row>
    <row r="11" spans="1:10">
      <c r="B11" s="281" t="s">
        <v>141</v>
      </c>
      <c r="C11" s="281"/>
      <c r="D11" s="282" t="s">
        <v>139</v>
      </c>
      <c r="E11" s="283" t="s">
        <v>286</v>
      </c>
      <c r="F11" s="106">
        <f>'9.1 - Summary '!CB16</f>
        <v>588481.10999999195</v>
      </c>
      <c r="G11" s="276" t="s">
        <v>140</v>
      </c>
      <c r="H11" s="284">
        <v>0.2262649010137</v>
      </c>
      <c r="I11" s="276">
        <f t="shared" ref="I11:I12" si="0">F11*H11</f>
        <v>133152.62010258049</v>
      </c>
      <c r="J11" s="276"/>
    </row>
    <row r="12" spans="1:10">
      <c r="B12" s="281" t="s">
        <v>142</v>
      </c>
      <c r="C12" s="281"/>
      <c r="D12" s="282" t="s">
        <v>139</v>
      </c>
      <c r="E12" s="283" t="s">
        <v>286</v>
      </c>
      <c r="F12" s="106">
        <f>'9.1 - Summary '!CB17</f>
        <v>0</v>
      </c>
      <c r="G12" s="276" t="s">
        <v>143</v>
      </c>
      <c r="H12" s="284">
        <v>0.22648067236840891</v>
      </c>
      <c r="I12" s="276">
        <f t="shared" si="0"/>
        <v>0</v>
      </c>
    </row>
    <row r="13" spans="1:10">
      <c r="B13" s="281" t="s">
        <v>144</v>
      </c>
      <c r="C13" s="281"/>
      <c r="D13" s="282"/>
      <c r="E13" s="283"/>
      <c r="F13" s="285">
        <f>SUM(F10:F12)</f>
        <v>588481.10999999195</v>
      </c>
      <c r="H13" s="284"/>
      <c r="I13" s="285">
        <f>SUM(I10:I12)</f>
        <v>133152.62010258049</v>
      </c>
      <c r="J13" s="282" t="s">
        <v>384</v>
      </c>
    </row>
    <row r="14" spans="1:10">
      <c r="B14" s="281"/>
      <c r="C14" s="286"/>
      <c r="D14" s="282"/>
      <c r="E14" s="283"/>
      <c r="H14" s="284"/>
    </row>
    <row r="15" spans="1:10">
      <c r="B15" s="274" t="s">
        <v>145</v>
      </c>
      <c r="C15" s="286"/>
      <c r="D15" s="282"/>
      <c r="E15" s="283"/>
      <c r="H15" s="284"/>
    </row>
    <row r="16" spans="1:10">
      <c r="B16" s="281" t="s">
        <v>146</v>
      </c>
      <c r="C16" s="286"/>
      <c r="D16" s="282" t="s">
        <v>147</v>
      </c>
      <c r="E16" s="283" t="s">
        <v>286</v>
      </c>
      <c r="F16" s="106">
        <f>'9.1 - Summary '!CB21</f>
        <v>3394.6050000069663</v>
      </c>
      <c r="G16" s="276" t="s">
        <v>140</v>
      </c>
      <c r="H16" s="284">
        <v>0.2262649010137</v>
      </c>
      <c r="I16" s="276">
        <f t="shared" ref="I16:I20" si="1">F16*H16</f>
        <v>768.07996430718731</v>
      </c>
      <c r="J16" s="276"/>
    </row>
    <row r="17" spans="2:10">
      <c r="B17" s="281" t="s">
        <v>148</v>
      </c>
      <c r="C17" s="286"/>
      <c r="D17" s="282" t="s">
        <v>147</v>
      </c>
      <c r="E17" s="283" t="s">
        <v>286</v>
      </c>
      <c r="F17" s="106">
        <f>'9.1 - Summary '!CB22</f>
        <v>7920.745000032708</v>
      </c>
      <c r="G17" s="276" t="s">
        <v>143</v>
      </c>
      <c r="H17" s="284">
        <v>0.22648067236840891</v>
      </c>
      <c r="I17" s="276">
        <f t="shared" si="1"/>
        <v>1793.8956532661207</v>
      </c>
      <c r="J17" s="276"/>
    </row>
    <row r="18" spans="2:10">
      <c r="B18" s="281" t="s">
        <v>149</v>
      </c>
      <c r="C18" s="286"/>
      <c r="D18" s="282" t="s">
        <v>147</v>
      </c>
      <c r="E18" s="283" t="s">
        <v>286</v>
      </c>
      <c r="F18" s="106">
        <f>'9.1 - Summary '!CB23</f>
        <v>0</v>
      </c>
      <c r="G18" s="276" t="s">
        <v>140</v>
      </c>
      <c r="H18" s="284">
        <v>0.2262649010137</v>
      </c>
      <c r="I18" s="276">
        <f t="shared" si="1"/>
        <v>0</v>
      </c>
      <c r="J18" s="276"/>
    </row>
    <row r="19" spans="2:10">
      <c r="B19" s="281" t="s">
        <v>150</v>
      </c>
      <c r="C19" s="286"/>
      <c r="D19" s="282" t="s">
        <v>147</v>
      </c>
      <c r="E19" s="283" t="s">
        <v>286</v>
      </c>
      <c r="F19" s="106">
        <f>'9.1 - Summary '!CB24</f>
        <v>-3305394.3899996877</v>
      </c>
      <c r="G19" s="276" t="s">
        <v>140</v>
      </c>
      <c r="H19" s="284">
        <v>0.2262649010137</v>
      </c>
      <c r="I19" s="276">
        <f t="shared" si="1"/>
        <v>-747894.73446451861</v>
      </c>
      <c r="J19" s="276"/>
    </row>
    <row r="20" spans="2:10">
      <c r="B20" s="281" t="s">
        <v>151</v>
      </c>
      <c r="C20" s="281"/>
      <c r="D20" s="282" t="s">
        <v>147</v>
      </c>
      <c r="E20" s="283" t="s">
        <v>286</v>
      </c>
      <c r="F20" s="106">
        <f>'9.1 - Summary '!CB25</f>
        <v>-69.629999999888241</v>
      </c>
      <c r="G20" s="276" t="s">
        <v>140</v>
      </c>
      <c r="H20" s="284">
        <v>0.2262649010137</v>
      </c>
      <c r="I20" s="276">
        <f t="shared" si="1"/>
        <v>-15.754825057558644</v>
      </c>
    </row>
    <row r="21" spans="2:10">
      <c r="B21" s="281" t="s">
        <v>152</v>
      </c>
      <c r="C21" s="281"/>
      <c r="D21" s="282"/>
      <c r="E21" s="283"/>
      <c r="F21" s="285">
        <f>SUM(F16:F20)</f>
        <v>-3294148.6699996479</v>
      </c>
      <c r="H21" s="284"/>
      <c r="I21" s="285">
        <f>SUM(I16:I20)</f>
        <v>-745348.51367200282</v>
      </c>
      <c r="J21" s="282" t="s">
        <v>384</v>
      </c>
    </row>
    <row r="22" spans="2:10">
      <c r="B22" s="281"/>
      <c r="C22" s="281"/>
      <c r="D22" s="282"/>
      <c r="E22" s="283"/>
      <c r="H22" s="284"/>
    </row>
    <row r="23" spans="2:10">
      <c r="B23" s="274" t="s">
        <v>153</v>
      </c>
      <c r="C23" s="281"/>
      <c r="D23" s="282"/>
      <c r="E23" s="283"/>
      <c r="H23" s="284"/>
      <c r="J23" s="276"/>
    </row>
    <row r="24" spans="2:10">
      <c r="B24" s="281" t="s">
        <v>154</v>
      </c>
      <c r="C24" s="281"/>
      <c r="D24" s="282" t="s">
        <v>155</v>
      </c>
      <c r="E24" s="283" t="s">
        <v>286</v>
      </c>
      <c r="F24" s="106">
        <f>'9.1 - Summary '!CB29</f>
        <v>0</v>
      </c>
      <c r="G24" s="276" t="s">
        <v>140</v>
      </c>
      <c r="H24" s="284">
        <v>0.2262649010137</v>
      </c>
      <c r="I24" s="276">
        <f t="shared" ref="I24:I26" si="2">F24*H24</f>
        <v>0</v>
      </c>
      <c r="J24" s="276"/>
    </row>
    <row r="25" spans="2:10">
      <c r="B25" s="281" t="s">
        <v>156</v>
      </c>
      <c r="C25" s="286"/>
      <c r="D25" s="282" t="s">
        <v>155</v>
      </c>
      <c r="E25" s="283" t="s">
        <v>286</v>
      </c>
      <c r="F25" s="106">
        <f>'9.1 - Summary '!CB30</f>
        <v>-16128</v>
      </c>
      <c r="G25" s="276" t="s">
        <v>140</v>
      </c>
      <c r="H25" s="284">
        <v>0.2262649010137</v>
      </c>
      <c r="I25" s="276">
        <f t="shared" si="2"/>
        <v>-3649.2003235489537</v>
      </c>
      <c r="J25" s="276"/>
    </row>
    <row r="26" spans="2:10">
      <c r="B26" s="281" t="s">
        <v>157</v>
      </c>
      <c r="C26" s="286"/>
      <c r="D26" s="282" t="s">
        <v>155</v>
      </c>
      <c r="E26" s="283" t="s">
        <v>286</v>
      </c>
      <c r="F26" s="106">
        <f>'9.1 - Summary '!CB31</f>
        <v>0</v>
      </c>
      <c r="G26" s="276" t="s">
        <v>143</v>
      </c>
      <c r="H26" s="284">
        <v>0.22648067236840891</v>
      </c>
      <c r="I26" s="276">
        <f t="shared" si="2"/>
        <v>0</v>
      </c>
      <c r="J26" s="276"/>
    </row>
    <row r="27" spans="2:10">
      <c r="B27" s="281" t="s">
        <v>158</v>
      </c>
      <c r="C27" s="281"/>
      <c r="D27" s="282"/>
      <c r="E27" s="283"/>
      <c r="F27" s="285">
        <f>SUM(F24:F26)</f>
        <v>-16128</v>
      </c>
      <c r="H27" s="284"/>
      <c r="I27" s="285">
        <f>SUM(I24:I26)</f>
        <v>-3649.2003235489537</v>
      </c>
      <c r="J27" s="282" t="s">
        <v>384</v>
      </c>
    </row>
    <row r="28" spans="2:10">
      <c r="B28" s="281"/>
      <c r="C28" s="281"/>
      <c r="D28" s="282"/>
      <c r="E28" s="283"/>
      <c r="H28" s="284"/>
    </row>
    <row r="29" spans="2:10">
      <c r="B29" s="274" t="s">
        <v>159</v>
      </c>
      <c r="C29" s="274"/>
      <c r="D29" s="282"/>
      <c r="E29" s="283"/>
      <c r="H29" s="284"/>
      <c r="J29" s="276"/>
    </row>
    <row r="30" spans="2:10">
      <c r="B30" s="281" t="s">
        <v>160</v>
      </c>
      <c r="C30" s="274"/>
      <c r="D30" s="282" t="s">
        <v>161</v>
      </c>
      <c r="E30" s="283" t="s">
        <v>286</v>
      </c>
      <c r="F30" s="106">
        <f>'9.1 - Summary '!CB35</f>
        <v>51195.659999936819</v>
      </c>
      <c r="G30" s="276" t="s">
        <v>143</v>
      </c>
      <c r="H30" s="284">
        <v>0.22648067236840891</v>
      </c>
      <c r="I30" s="276">
        <f t="shared" ref="I30:I31" si="3">F30*H30</f>
        <v>11594.827499130148</v>
      </c>
      <c r="J30" s="276"/>
    </row>
    <row r="31" spans="2:10">
      <c r="B31" s="281" t="s">
        <v>162</v>
      </c>
      <c r="C31" s="274"/>
      <c r="D31" s="282" t="s">
        <v>163</v>
      </c>
      <c r="E31" s="283" t="s">
        <v>286</v>
      </c>
      <c r="F31" s="106">
        <f>'9.1 - Summary '!CB36</f>
        <v>3519234.269999966</v>
      </c>
      <c r="G31" s="276" t="s">
        <v>143</v>
      </c>
      <c r="H31" s="284">
        <v>0.22648067236840891</v>
      </c>
      <c r="I31" s="276">
        <f t="shared" si="3"/>
        <v>797038.54369153897</v>
      </c>
    </row>
    <row r="32" spans="2:10">
      <c r="B32" s="281" t="s">
        <v>164</v>
      </c>
      <c r="C32" s="274"/>
      <c r="D32" s="282"/>
      <c r="E32" s="283"/>
      <c r="F32" s="285">
        <f>SUM(F30:F31)</f>
        <v>3570429.9299999028</v>
      </c>
      <c r="H32" s="287"/>
      <c r="I32" s="285">
        <f>SUM(I30:I31)</f>
        <v>808633.37119066913</v>
      </c>
      <c r="J32" s="282" t="s">
        <v>384</v>
      </c>
    </row>
    <row r="33" spans="1:11">
      <c r="B33" s="291"/>
      <c r="C33" s="274"/>
      <c r="D33" s="282"/>
      <c r="E33" s="283"/>
      <c r="H33" s="287"/>
      <c r="I33" s="106"/>
      <c r="J33" s="276"/>
    </row>
    <row r="34" spans="1:11">
      <c r="B34" s="288" t="s">
        <v>284</v>
      </c>
      <c r="C34" s="274"/>
      <c r="D34" s="282"/>
      <c r="E34" s="283"/>
      <c r="F34" s="285">
        <f>-F13+F21+F27+F32</f>
        <v>-328327.84999973699</v>
      </c>
      <c r="H34" s="287"/>
      <c r="I34" s="285">
        <f>-I13+I21+I27+I32</f>
        <v>-73516.962907463196</v>
      </c>
      <c r="J34" s="276"/>
    </row>
    <row r="35" spans="1:11">
      <c r="C35" s="274"/>
      <c r="F35" s="289"/>
      <c r="J35" s="276"/>
    </row>
    <row r="36" spans="1:11">
      <c r="C36" s="274"/>
      <c r="F36" s="289"/>
      <c r="J36" s="276"/>
    </row>
    <row r="37" spans="1:11">
      <c r="C37" s="274"/>
      <c r="F37" s="289"/>
      <c r="J37" s="276"/>
    </row>
    <row r="42" spans="1:11" ht="13.5" thickBot="1">
      <c r="B42" s="290" t="s">
        <v>283</v>
      </c>
    </row>
    <row r="43" spans="1:11" ht="12.75" customHeight="1">
      <c r="A43" s="359" t="s">
        <v>359</v>
      </c>
      <c r="B43" s="360"/>
      <c r="C43" s="360"/>
      <c r="D43" s="360"/>
      <c r="E43" s="360"/>
      <c r="F43" s="360"/>
      <c r="G43" s="360"/>
      <c r="H43" s="360"/>
      <c r="I43" s="360"/>
      <c r="J43" s="361"/>
      <c r="K43" s="292"/>
    </row>
    <row r="44" spans="1:11">
      <c r="A44" s="362"/>
      <c r="B44" s="363"/>
      <c r="C44" s="363"/>
      <c r="D44" s="363"/>
      <c r="E44" s="363"/>
      <c r="F44" s="363"/>
      <c r="G44" s="363"/>
      <c r="H44" s="363"/>
      <c r="I44" s="363"/>
      <c r="J44" s="364"/>
      <c r="K44" s="292"/>
    </row>
    <row r="45" spans="1:11">
      <c r="A45" s="362"/>
      <c r="B45" s="363"/>
      <c r="C45" s="363"/>
      <c r="D45" s="363"/>
      <c r="E45" s="363"/>
      <c r="F45" s="363"/>
      <c r="G45" s="363"/>
      <c r="H45" s="363"/>
      <c r="I45" s="363"/>
      <c r="J45" s="364"/>
      <c r="K45" s="292"/>
    </row>
    <row r="46" spans="1:11">
      <c r="A46" s="362"/>
      <c r="B46" s="363"/>
      <c r="C46" s="363"/>
      <c r="D46" s="363"/>
      <c r="E46" s="363"/>
      <c r="F46" s="363"/>
      <c r="G46" s="363"/>
      <c r="H46" s="363"/>
      <c r="I46" s="363"/>
      <c r="J46" s="364"/>
      <c r="K46" s="292"/>
    </row>
    <row r="47" spans="1:11">
      <c r="A47" s="362"/>
      <c r="B47" s="363"/>
      <c r="C47" s="363"/>
      <c r="D47" s="363"/>
      <c r="E47" s="363"/>
      <c r="F47" s="363"/>
      <c r="G47" s="363"/>
      <c r="H47" s="363"/>
      <c r="I47" s="363"/>
      <c r="J47" s="364"/>
      <c r="K47" s="292"/>
    </row>
    <row r="48" spans="1:11">
      <c r="A48" s="362"/>
      <c r="B48" s="363"/>
      <c r="C48" s="363"/>
      <c r="D48" s="363"/>
      <c r="E48" s="363"/>
      <c r="F48" s="363"/>
      <c r="G48" s="363"/>
      <c r="H48" s="363"/>
      <c r="I48" s="363"/>
      <c r="J48" s="364"/>
      <c r="K48" s="292"/>
    </row>
    <row r="49" spans="1:11">
      <c r="A49" s="362"/>
      <c r="B49" s="363"/>
      <c r="C49" s="363"/>
      <c r="D49" s="363"/>
      <c r="E49" s="363"/>
      <c r="F49" s="363"/>
      <c r="G49" s="363"/>
      <c r="H49" s="363"/>
      <c r="I49" s="363"/>
      <c r="J49" s="364"/>
      <c r="K49" s="292"/>
    </row>
    <row r="50" spans="1:11" ht="13.5" thickBot="1">
      <c r="A50" s="365"/>
      <c r="B50" s="366"/>
      <c r="C50" s="366"/>
      <c r="D50" s="366"/>
      <c r="E50" s="366"/>
      <c r="F50" s="366"/>
      <c r="G50" s="366"/>
      <c r="H50" s="366"/>
      <c r="I50" s="366"/>
      <c r="J50" s="367"/>
      <c r="K50" s="292"/>
    </row>
  </sheetData>
  <mergeCells count="1">
    <mergeCell ref="A43:J50"/>
  </mergeCells>
  <conditionalFormatting sqref="B9:B26">
    <cfRule type="cellIs" dxfId="5" priority="3" stopIfTrue="1" operator="equal">
      <formula>"Adjustment to Income/Expense/Rate Base:"</formula>
    </cfRule>
  </conditionalFormatting>
  <conditionalFormatting sqref="B20:B22">
    <cfRule type="cellIs" dxfId="4" priority="2" stopIfTrue="1" operator="equal">
      <formula>"Title"</formula>
    </cfRule>
  </conditionalFormatting>
  <conditionalFormatting sqref="B27:B34">
    <cfRule type="cellIs" dxfId="3" priority="1" stopIfTrue="1" operator="equal">
      <formula>"Adjustment to Income/Expense/Rate Base:"</formula>
    </cfRule>
  </conditionalFormatting>
  <pageMargins left="0.65" right="0.72" top="1" bottom="1" header="0.5" footer="0.5"/>
  <pageSetup scale="77" orientation="portrait" r:id="rId1"/>
  <headerFooter alignWithMargins="0">
    <oddHeader>&amp;L&amp;"Arial,Regular"&amp;10WA UE-130043
Bench Request 9&amp;R&amp;"Arial,Bold"&amp;10Attachment Bench Request 9</oddHeader>
    <oddFooter>&amp;L&amp;"Arial,Regular"&amp;10&amp;F&amp;C&amp;A</oddFooter>
  </headerFooter>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0">
    <pageSetUpPr fitToPage="1"/>
  </sheetPr>
  <dimension ref="A1:K50"/>
  <sheetViews>
    <sheetView view="pageBreakPreview" topLeftCell="A2" zoomScale="85" zoomScaleNormal="100" zoomScaleSheetLayoutView="85" workbookViewId="0">
      <selection activeCell="T91" sqref="T91"/>
    </sheetView>
  </sheetViews>
  <sheetFormatPr defaultRowHeight="12.75"/>
  <cols>
    <col min="1" max="1" width="4.83203125" style="275" customWidth="1"/>
    <col min="2" max="2" width="8" style="275" customWidth="1"/>
    <col min="3" max="3" width="32.83203125" style="275" customWidth="1"/>
    <col min="4" max="4" width="12.33203125" style="275" customWidth="1"/>
    <col min="5" max="5" width="9.33203125" style="276"/>
    <col min="6" max="6" width="17" style="106" customWidth="1"/>
    <col min="7" max="7" width="9.33203125" style="276"/>
    <col min="8" max="8" width="12" style="276" bestFit="1" customWidth="1"/>
    <col min="9" max="9" width="15.33203125" style="276" bestFit="1" customWidth="1"/>
    <col min="10" max="16384" width="9.33203125" style="275"/>
  </cols>
  <sheetData>
    <row r="1" spans="1:10">
      <c r="A1" s="274" t="s">
        <v>118</v>
      </c>
      <c r="B1" s="274"/>
      <c r="I1" s="277" t="s">
        <v>272</v>
      </c>
      <c r="J1" s="296" t="s">
        <v>385</v>
      </c>
    </row>
    <row r="2" spans="1:10">
      <c r="A2" s="274" t="s">
        <v>255</v>
      </c>
      <c r="B2" s="274"/>
    </row>
    <row r="3" spans="1:10">
      <c r="A3" s="274" t="s">
        <v>289</v>
      </c>
      <c r="B3" s="274"/>
    </row>
    <row r="5" spans="1:10">
      <c r="F5" s="105" t="s">
        <v>274</v>
      </c>
      <c r="I5" s="276" t="s">
        <v>126</v>
      </c>
    </row>
    <row r="6" spans="1:10" ht="15">
      <c r="D6" s="279" t="s">
        <v>275</v>
      </c>
      <c r="E6" s="279" t="s">
        <v>276</v>
      </c>
      <c r="F6" s="280" t="s">
        <v>277</v>
      </c>
      <c r="G6" s="279" t="s">
        <v>278</v>
      </c>
      <c r="H6" s="279" t="s">
        <v>134</v>
      </c>
      <c r="I6" s="279" t="s">
        <v>279</v>
      </c>
      <c r="J6" s="279" t="s">
        <v>280</v>
      </c>
    </row>
    <row r="7" spans="1:10" ht="15">
      <c r="B7" s="274" t="s">
        <v>281</v>
      </c>
      <c r="C7" s="281"/>
      <c r="D7" s="279"/>
      <c r="E7" s="279"/>
      <c r="F7" s="280"/>
      <c r="G7" s="279"/>
      <c r="H7" s="279"/>
      <c r="I7" s="279"/>
      <c r="J7" s="279"/>
    </row>
    <row r="8" spans="1:10" ht="15">
      <c r="B8" s="274"/>
      <c r="C8" s="281"/>
      <c r="D8" s="279"/>
      <c r="E8" s="279"/>
      <c r="F8" s="280"/>
      <c r="G8" s="279"/>
      <c r="H8" s="279"/>
      <c r="I8" s="279"/>
      <c r="J8" s="279"/>
    </row>
    <row r="9" spans="1:10">
      <c r="B9" s="274" t="s">
        <v>137</v>
      </c>
      <c r="C9" s="281"/>
    </row>
    <row r="10" spans="1:10">
      <c r="B10" s="281" t="s">
        <v>138</v>
      </c>
      <c r="C10" s="281"/>
      <c r="D10" s="282" t="s">
        <v>139</v>
      </c>
      <c r="E10" s="283" t="s">
        <v>286</v>
      </c>
      <c r="F10" s="106">
        <f>'9.1 - Summary '!CE15</f>
        <v>0</v>
      </c>
      <c r="G10" s="276" t="s">
        <v>140</v>
      </c>
      <c r="H10" s="284">
        <v>0.2262649010137</v>
      </c>
      <c r="I10" s="276">
        <f>F10*H10</f>
        <v>0</v>
      </c>
      <c r="J10" s="276"/>
    </row>
    <row r="11" spans="1:10">
      <c r="B11" s="281" t="s">
        <v>141</v>
      </c>
      <c r="C11" s="281"/>
      <c r="D11" s="282" t="s">
        <v>139</v>
      </c>
      <c r="E11" s="283" t="s">
        <v>286</v>
      </c>
      <c r="F11" s="106">
        <f>'9.1 - Summary '!CE16</f>
        <v>-4302289.6200000048</v>
      </c>
      <c r="G11" s="276" t="s">
        <v>140</v>
      </c>
      <c r="H11" s="284">
        <v>0.2262649010137</v>
      </c>
      <c r="I11" s="276">
        <f t="shared" ref="I11:I12" si="0">F11*H11</f>
        <v>-973457.1350015701</v>
      </c>
      <c r="J11" s="276"/>
    </row>
    <row r="12" spans="1:10">
      <c r="B12" s="281" t="s">
        <v>142</v>
      </c>
      <c r="C12" s="281"/>
      <c r="D12" s="282" t="s">
        <v>139</v>
      </c>
      <c r="E12" s="283" t="s">
        <v>286</v>
      </c>
      <c r="F12" s="106">
        <f>'9.1 - Summary '!CE17</f>
        <v>0</v>
      </c>
      <c r="G12" s="276" t="s">
        <v>143</v>
      </c>
      <c r="H12" s="284">
        <v>0.22648067236840891</v>
      </c>
      <c r="I12" s="276">
        <f t="shared" si="0"/>
        <v>0</v>
      </c>
    </row>
    <row r="13" spans="1:10">
      <c r="B13" s="281" t="s">
        <v>144</v>
      </c>
      <c r="C13" s="281"/>
      <c r="D13" s="282"/>
      <c r="E13" s="283"/>
      <c r="F13" s="285">
        <f>SUM(F10:F12)</f>
        <v>-4302289.6200000048</v>
      </c>
      <c r="H13" s="284"/>
      <c r="I13" s="285">
        <f>SUM(I10:I12)</f>
        <v>-973457.1350015701</v>
      </c>
      <c r="J13" s="282" t="s">
        <v>386</v>
      </c>
    </row>
    <row r="14" spans="1:10">
      <c r="B14" s="281"/>
      <c r="C14" s="286"/>
      <c r="D14" s="282"/>
      <c r="E14" s="283"/>
      <c r="H14" s="284"/>
    </row>
    <row r="15" spans="1:10">
      <c r="B15" s="274" t="s">
        <v>145</v>
      </c>
      <c r="C15" s="286"/>
      <c r="D15" s="282"/>
      <c r="E15" s="283"/>
      <c r="H15" s="284"/>
    </row>
    <row r="16" spans="1:10">
      <c r="B16" s="281" t="s">
        <v>146</v>
      </c>
      <c r="C16" s="286"/>
      <c r="D16" s="282" t="s">
        <v>147</v>
      </c>
      <c r="E16" s="283" t="s">
        <v>286</v>
      </c>
      <c r="F16" s="106">
        <f>'9.1 - Summary '!CE21</f>
        <v>499718.82027715165</v>
      </c>
      <c r="G16" s="276" t="s">
        <v>140</v>
      </c>
      <c r="H16" s="284">
        <v>0.2262649010137</v>
      </c>
      <c r="I16" s="276">
        <f t="shared" ref="I16:I20" si="1">F16*H16</f>
        <v>113068.82940469266</v>
      </c>
      <c r="J16" s="276"/>
    </row>
    <row r="17" spans="2:10">
      <c r="B17" s="281" t="s">
        <v>148</v>
      </c>
      <c r="C17" s="286"/>
      <c r="D17" s="282" t="s">
        <v>147</v>
      </c>
      <c r="E17" s="283" t="s">
        <v>286</v>
      </c>
      <c r="F17" s="106">
        <f>'9.1 - Summary '!CE22</f>
        <v>1182413.0097531937</v>
      </c>
      <c r="G17" s="276" t="s">
        <v>143</v>
      </c>
      <c r="H17" s="284">
        <v>0.22648067236840891</v>
      </c>
      <c r="I17" s="276">
        <f t="shared" si="1"/>
        <v>267793.69346605736</v>
      </c>
      <c r="J17" s="276"/>
    </row>
    <row r="18" spans="2:10">
      <c r="B18" s="281" t="s">
        <v>149</v>
      </c>
      <c r="C18" s="286"/>
      <c r="D18" s="282" t="s">
        <v>147</v>
      </c>
      <c r="E18" s="283" t="s">
        <v>286</v>
      </c>
      <c r="F18" s="106">
        <f>'9.1 - Summary '!CE23</f>
        <v>-6415213.2200303078</v>
      </c>
      <c r="G18" s="276" t="s">
        <v>140</v>
      </c>
      <c r="H18" s="284">
        <v>0.2262649010137</v>
      </c>
      <c r="I18" s="276">
        <f t="shared" si="1"/>
        <v>-1451537.5842119372</v>
      </c>
      <c r="J18" s="276"/>
    </row>
    <row r="19" spans="2:10">
      <c r="B19" s="281" t="s">
        <v>150</v>
      </c>
      <c r="C19" s="286"/>
      <c r="D19" s="282" t="s">
        <v>147</v>
      </c>
      <c r="E19" s="283" t="s">
        <v>286</v>
      </c>
      <c r="F19" s="106">
        <f>'9.1 - Summary '!CE24</f>
        <v>-11032958.449999988</v>
      </c>
      <c r="G19" s="276" t="s">
        <v>140</v>
      </c>
      <c r="H19" s="284">
        <v>0.2262649010137</v>
      </c>
      <c r="I19" s="276">
        <f t="shared" si="1"/>
        <v>-2496371.2515775124</v>
      </c>
      <c r="J19" s="276"/>
    </row>
    <row r="20" spans="2:10">
      <c r="B20" s="281" t="s">
        <v>151</v>
      </c>
      <c r="C20" s="281"/>
      <c r="D20" s="282" t="s">
        <v>147</v>
      </c>
      <c r="E20" s="283" t="s">
        <v>286</v>
      </c>
      <c r="F20" s="106">
        <f>'9.1 - Summary '!CE25</f>
        <v>15083.109999999986</v>
      </c>
      <c r="G20" s="276" t="s">
        <v>140</v>
      </c>
      <c r="H20" s="284">
        <v>0.2262649010137</v>
      </c>
      <c r="I20" s="276">
        <f t="shared" si="1"/>
        <v>3412.7783911287456</v>
      </c>
    </row>
    <row r="21" spans="2:10">
      <c r="B21" s="281" t="s">
        <v>152</v>
      </c>
      <c r="C21" s="281"/>
      <c r="D21" s="282"/>
      <c r="E21" s="283"/>
      <c r="F21" s="285">
        <f>SUM(F16:F20)</f>
        <v>-15750956.729999952</v>
      </c>
      <c r="H21" s="284"/>
      <c r="I21" s="285">
        <f>SUM(I16:I20)</f>
        <v>-3563633.5345275705</v>
      </c>
      <c r="J21" s="282" t="s">
        <v>386</v>
      </c>
    </row>
    <row r="22" spans="2:10">
      <c r="B22" s="281"/>
      <c r="C22" s="281"/>
      <c r="D22" s="282"/>
      <c r="E22" s="283"/>
      <c r="H22" s="284"/>
    </row>
    <row r="23" spans="2:10">
      <c r="B23" s="274" t="s">
        <v>153</v>
      </c>
      <c r="C23" s="281"/>
      <c r="D23" s="282"/>
      <c r="E23" s="283"/>
      <c r="H23" s="284"/>
      <c r="J23" s="276"/>
    </row>
    <row r="24" spans="2:10">
      <c r="B24" s="281" t="s">
        <v>154</v>
      </c>
      <c r="C24" s="281"/>
      <c r="D24" s="282" t="s">
        <v>155</v>
      </c>
      <c r="E24" s="283" t="s">
        <v>286</v>
      </c>
      <c r="F24" s="106">
        <f>'9.1 - Summary '!CE29</f>
        <v>-568119.56377066672</v>
      </c>
      <c r="G24" s="276" t="s">
        <v>140</v>
      </c>
      <c r="H24" s="284">
        <v>0.2262649010137</v>
      </c>
      <c r="I24" s="276">
        <f t="shared" ref="I24:I26" si="2">F24*H24</f>
        <v>-128545.51686051633</v>
      </c>
      <c r="J24" s="276"/>
    </row>
    <row r="25" spans="2:10">
      <c r="B25" s="281" t="s">
        <v>156</v>
      </c>
      <c r="C25" s="286"/>
      <c r="D25" s="282" t="s">
        <v>155</v>
      </c>
      <c r="E25" s="283" t="s">
        <v>286</v>
      </c>
      <c r="F25" s="106">
        <f>'9.1 - Summary '!CE30</f>
        <v>-518177.43622934818</v>
      </c>
      <c r="G25" s="276" t="s">
        <v>140</v>
      </c>
      <c r="H25" s="284">
        <v>0.2262649010137</v>
      </c>
      <c r="I25" s="276">
        <f t="shared" si="2"/>
        <v>-117245.36631596631</v>
      </c>
      <c r="J25" s="276"/>
    </row>
    <row r="26" spans="2:10">
      <c r="B26" s="281" t="s">
        <v>157</v>
      </c>
      <c r="C26" s="286"/>
      <c r="D26" s="282" t="s">
        <v>155</v>
      </c>
      <c r="E26" s="283" t="s">
        <v>286</v>
      </c>
      <c r="F26" s="106">
        <f>'9.1 - Summary '!CE31</f>
        <v>0</v>
      </c>
      <c r="G26" s="276" t="s">
        <v>143</v>
      </c>
      <c r="H26" s="284">
        <v>0.22648067236840891</v>
      </c>
      <c r="I26" s="276">
        <f t="shared" si="2"/>
        <v>0</v>
      </c>
      <c r="J26" s="276"/>
    </row>
    <row r="27" spans="2:10">
      <c r="B27" s="281" t="s">
        <v>158</v>
      </c>
      <c r="C27" s="281"/>
      <c r="D27" s="282"/>
      <c r="E27" s="283"/>
      <c r="F27" s="285">
        <f>SUM(F24:F26)</f>
        <v>-1086297.0000000149</v>
      </c>
      <c r="H27" s="284"/>
      <c r="I27" s="285">
        <f>SUM(I24:I26)</f>
        <v>-245790.88317648263</v>
      </c>
      <c r="J27" s="282" t="s">
        <v>386</v>
      </c>
    </row>
    <row r="28" spans="2:10">
      <c r="B28" s="281"/>
      <c r="C28" s="281"/>
      <c r="D28" s="282"/>
      <c r="E28" s="283"/>
      <c r="H28" s="284"/>
    </row>
    <row r="29" spans="2:10">
      <c r="B29" s="274" t="s">
        <v>159</v>
      </c>
      <c r="C29" s="274"/>
      <c r="D29" s="282"/>
      <c r="E29" s="283"/>
      <c r="H29" s="284"/>
      <c r="J29" s="276"/>
    </row>
    <row r="30" spans="2:10">
      <c r="B30" s="281" t="s">
        <v>160</v>
      </c>
      <c r="C30" s="274"/>
      <c r="D30" s="282" t="s">
        <v>161</v>
      </c>
      <c r="E30" s="283" t="s">
        <v>286</v>
      </c>
      <c r="F30" s="106">
        <f>'9.1 - Summary '!CE35</f>
        <v>-2049825.4900000095</v>
      </c>
      <c r="G30" s="276" t="s">
        <v>143</v>
      </c>
      <c r="H30" s="284">
        <v>0.22648067236840891</v>
      </c>
      <c r="I30" s="276">
        <f t="shared" ref="I30:I31" si="3">F30*H30</f>
        <v>-464245.85521310539</v>
      </c>
      <c r="J30" s="276"/>
    </row>
    <row r="31" spans="2:10">
      <c r="B31" s="281" t="s">
        <v>162</v>
      </c>
      <c r="C31" s="274"/>
      <c r="D31" s="282" t="s">
        <v>163</v>
      </c>
      <c r="E31" s="283" t="s">
        <v>286</v>
      </c>
      <c r="F31" s="106">
        <f>'9.1 - Summary '!CE36</f>
        <v>4282574.8300000131</v>
      </c>
      <c r="G31" s="276" t="s">
        <v>143</v>
      </c>
      <c r="H31" s="284">
        <v>0.22648067236840891</v>
      </c>
      <c r="I31" s="276">
        <f t="shared" si="3"/>
        <v>969920.42696642748</v>
      </c>
    </row>
    <row r="32" spans="2:10">
      <c r="B32" s="281" t="s">
        <v>164</v>
      </c>
      <c r="C32" s="274"/>
      <c r="D32" s="282"/>
      <c r="E32" s="283"/>
      <c r="F32" s="285">
        <f>SUM(F30:F31)</f>
        <v>2232749.3400000036</v>
      </c>
      <c r="H32" s="287"/>
      <c r="I32" s="285">
        <f>SUM(I30:I31)</f>
        <v>505674.57175332209</v>
      </c>
      <c r="J32" s="282" t="s">
        <v>386</v>
      </c>
    </row>
    <row r="33" spans="1:11">
      <c r="B33" s="291"/>
      <c r="C33" s="274"/>
      <c r="D33" s="282"/>
      <c r="E33" s="283"/>
      <c r="H33" s="287"/>
      <c r="I33" s="106"/>
      <c r="J33" s="276"/>
    </row>
    <row r="34" spans="1:11">
      <c r="B34" s="288" t="s">
        <v>284</v>
      </c>
      <c r="C34" s="274"/>
      <c r="D34" s="282"/>
      <c r="E34" s="283"/>
      <c r="F34" s="285">
        <f>-F13+F21+F27+F32</f>
        <v>-10302214.769999959</v>
      </c>
      <c r="H34" s="287"/>
      <c r="I34" s="285">
        <f>-I13+I21+I27+I32</f>
        <v>-2330292.7109491611</v>
      </c>
      <c r="J34" s="276"/>
    </row>
    <row r="35" spans="1:11">
      <c r="C35" s="274"/>
      <c r="F35" s="289"/>
      <c r="J35" s="276"/>
    </row>
    <row r="36" spans="1:11">
      <c r="C36" s="274"/>
      <c r="F36" s="289"/>
      <c r="J36" s="276"/>
    </row>
    <row r="37" spans="1:11">
      <c r="C37" s="274"/>
      <c r="F37" s="289"/>
      <c r="J37" s="276"/>
    </row>
    <row r="42" spans="1:11" ht="13.5" thickBot="1">
      <c r="B42" s="290" t="s">
        <v>283</v>
      </c>
    </row>
    <row r="43" spans="1:11" ht="12.75" customHeight="1">
      <c r="A43" s="359" t="s">
        <v>420</v>
      </c>
      <c r="B43" s="360"/>
      <c r="C43" s="360"/>
      <c r="D43" s="360"/>
      <c r="E43" s="360"/>
      <c r="F43" s="360"/>
      <c r="G43" s="360"/>
      <c r="H43" s="360"/>
      <c r="I43" s="360"/>
      <c r="J43" s="361"/>
      <c r="K43" s="292"/>
    </row>
    <row r="44" spans="1:11">
      <c r="A44" s="362"/>
      <c r="B44" s="363"/>
      <c r="C44" s="363"/>
      <c r="D44" s="363"/>
      <c r="E44" s="363"/>
      <c r="F44" s="363"/>
      <c r="G44" s="363"/>
      <c r="H44" s="363"/>
      <c r="I44" s="363"/>
      <c r="J44" s="364"/>
      <c r="K44" s="292"/>
    </row>
    <row r="45" spans="1:11">
      <c r="A45" s="362"/>
      <c r="B45" s="363"/>
      <c r="C45" s="363"/>
      <c r="D45" s="363"/>
      <c r="E45" s="363"/>
      <c r="F45" s="363"/>
      <c r="G45" s="363"/>
      <c r="H45" s="363"/>
      <c r="I45" s="363"/>
      <c r="J45" s="364"/>
      <c r="K45" s="292"/>
    </row>
    <row r="46" spans="1:11">
      <c r="A46" s="362"/>
      <c r="B46" s="363"/>
      <c r="C46" s="363"/>
      <c r="D46" s="363"/>
      <c r="E46" s="363"/>
      <c r="F46" s="363"/>
      <c r="G46" s="363"/>
      <c r="H46" s="363"/>
      <c r="I46" s="363"/>
      <c r="J46" s="364"/>
      <c r="K46" s="292"/>
    </row>
    <row r="47" spans="1:11">
      <c r="A47" s="362"/>
      <c r="B47" s="363"/>
      <c r="C47" s="363"/>
      <c r="D47" s="363"/>
      <c r="E47" s="363"/>
      <c r="F47" s="363"/>
      <c r="G47" s="363"/>
      <c r="H47" s="363"/>
      <c r="I47" s="363"/>
      <c r="J47" s="364"/>
      <c r="K47" s="292"/>
    </row>
    <row r="48" spans="1:11">
      <c r="A48" s="362"/>
      <c r="B48" s="363"/>
      <c r="C48" s="363"/>
      <c r="D48" s="363"/>
      <c r="E48" s="363"/>
      <c r="F48" s="363"/>
      <c r="G48" s="363"/>
      <c r="H48" s="363"/>
      <c r="I48" s="363"/>
      <c r="J48" s="364"/>
      <c r="K48" s="292"/>
    </row>
    <row r="49" spans="1:11">
      <c r="A49" s="362"/>
      <c r="B49" s="363"/>
      <c r="C49" s="363"/>
      <c r="D49" s="363"/>
      <c r="E49" s="363"/>
      <c r="F49" s="363"/>
      <c r="G49" s="363"/>
      <c r="H49" s="363"/>
      <c r="I49" s="363"/>
      <c r="J49" s="364"/>
      <c r="K49" s="292"/>
    </row>
    <row r="50" spans="1:11" ht="13.5" thickBot="1">
      <c r="A50" s="365"/>
      <c r="B50" s="366"/>
      <c r="C50" s="366"/>
      <c r="D50" s="366"/>
      <c r="E50" s="366"/>
      <c r="F50" s="366"/>
      <c r="G50" s="366"/>
      <c r="H50" s="366"/>
      <c r="I50" s="366"/>
      <c r="J50" s="367"/>
      <c r="K50" s="292"/>
    </row>
  </sheetData>
  <mergeCells count="1">
    <mergeCell ref="A43:J50"/>
  </mergeCells>
  <conditionalFormatting sqref="B9:B26">
    <cfRule type="cellIs" dxfId="2" priority="3" stopIfTrue="1" operator="equal">
      <formula>"Adjustment to Income/Expense/Rate Base:"</formula>
    </cfRule>
  </conditionalFormatting>
  <conditionalFormatting sqref="B20:B22">
    <cfRule type="cellIs" dxfId="1" priority="2" stopIfTrue="1" operator="equal">
      <formula>"Title"</formula>
    </cfRule>
  </conditionalFormatting>
  <conditionalFormatting sqref="B27:B34">
    <cfRule type="cellIs" dxfId="0" priority="1" stopIfTrue="1" operator="equal">
      <formula>"Adjustment to Income/Expense/Rate Base:"</formula>
    </cfRule>
  </conditionalFormatting>
  <pageMargins left="0.65" right="0.72" top="1" bottom="1" header="0.5" footer="0.5"/>
  <pageSetup scale="77" orientation="portrait" r:id="rId1"/>
  <headerFooter alignWithMargins="0">
    <oddHeader>&amp;L&amp;"Arial,Regular"&amp;10WA UE-130043
Bench Request 9&amp;R&amp;"Arial,Bold"&amp;10Attachment Bench Request 9</oddHeader>
    <oddFooter>&amp;L&amp;"Arial,Regular"&amp;10&amp;F&amp;C&amp;A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K50"/>
  <sheetViews>
    <sheetView zoomScale="85" zoomScaleNormal="85" workbookViewId="0">
      <selection activeCell="T91" sqref="T91"/>
    </sheetView>
  </sheetViews>
  <sheetFormatPr defaultRowHeight="12.75"/>
  <cols>
    <col min="1" max="1" width="4.83203125" style="275" customWidth="1"/>
    <col min="2" max="2" width="8" style="275" customWidth="1"/>
    <col min="3" max="3" width="32.83203125" style="275" customWidth="1"/>
    <col min="4" max="4" width="12.33203125" style="275" customWidth="1"/>
    <col min="5" max="5" width="9.33203125" style="275"/>
    <col min="6" max="6" width="17" style="106" customWidth="1"/>
    <col min="7" max="7" width="9.33203125" style="276"/>
    <col min="8" max="8" width="12.1640625" style="276" bestFit="1" customWidth="1"/>
    <col min="9" max="9" width="15.33203125" style="276" bestFit="1" customWidth="1"/>
    <col min="10" max="16384" width="9.33203125" style="275"/>
  </cols>
  <sheetData>
    <row r="1" spans="1:10">
      <c r="A1" s="274" t="s">
        <v>118</v>
      </c>
      <c r="B1" s="274"/>
      <c r="I1" s="277" t="s">
        <v>272</v>
      </c>
      <c r="J1" s="278">
        <v>9.3000000000000007</v>
      </c>
    </row>
    <row r="2" spans="1:10">
      <c r="A2" s="274" t="s">
        <v>186</v>
      </c>
      <c r="B2" s="274"/>
    </row>
    <row r="3" spans="1:10">
      <c r="A3" s="274" t="s">
        <v>273</v>
      </c>
      <c r="B3" s="274"/>
    </row>
    <row r="5" spans="1:10">
      <c r="F5" s="105" t="s">
        <v>274</v>
      </c>
      <c r="I5" s="276" t="s">
        <v>126</v>
      </c>
    </row>
    <row r="6" spans="1:10" ht="15">
      <c r="D6" s="279" t="s">
        <v>275</v>
      </c>
      <c r="E6" s="279" t="s">
        <v>276</v>
      </c>
      <c r="F6" s="280" t="s">
        <v>277</v>
      </c>
      <c r="G6" s="279" t="s">
        <v>278</v>
      </c>
      <c r="H6" s="279" t="s">
        <v>134</v>
      </c>
      <c r="I6" s="279" t="s">
        <v>279</v>
      </c>
      <c r="J6" s="279" t="s">
        <v>280</v>
      </c>
    </row>
    <row r="7" spans="1:10" ht="15">
      <c r="B7" s="274" t="s">
        <v>281</v>
      </c>
      <c r="D7" s="279"/>
      <c r="E7" s="279"/>
      <c r="F7" s="280"/>
      <c r="G7" s="279"/>
      <c r="H7" s="279"/>
      <c r="I7" s="279"/>
      <c r="J7" s="279"/>
    </row>
    <row r="8" spans="1:10" ht="15">
      <c r="B8" s="274"/>
      <c r="C8" s="281"/>
      <c r="D8" s="279"/>
      <c r="E8" s="279"/>
      <c r="F8" s="280"/>
      <c r="G8" s="279"/>
      <c r="H8" s="279"/>
      <c r="I8" s="279"/>
      <c r="J8" s="279"/>
    </row>
    <row r="9" spans="1:10">
      <c r="B9" s="274" t="s">
        <v>137</v>
      </c>
      <c r="C9" s="281"/>
    </row>
    <row r="10" spans="1:10">
      <c r="B10" s="281" t="s">
        <v>138</v>
      </c>
      <c r="C10" s="281"/>
      <c r="D10" s="282" t="s">
        <v>139</v>
      </c>
      <c r="E10" s="283" t="s">
        <v>285</v>
      </c>
      <c r="F10" s="106">
        <f>'9.1 - Summary '!H15</f>
        <v>4011899.9299999997</v>
      </c>
      <c r="G10" s="276" t="s">
        <v>140</v>
      </c>
      <c r="H10" s="284">
        <v>0.2262649010137</v>
      </c>
      <c r="I10" s="276">
        <f>F10*H10</f>
        <v>907752.14053831995</v>
      </c>
      <c r="J10" s="276"/>
    </row>
    <row r="11" spans="1:10">
      <c r="B11" s="281" t="s">
        <v>141</v>
      </c>
      <c r="C11" s="281"/>
      <c r="D11" s="282" t="s">
        <v>139</v>
      </c>
      <c r="E11" s="283" t="s">
        <v>285</v>
      </c>
      <c r="F11" s="106">
        <f>'9.1 - Summary '!H16</f>
        <v>125254957.55999999</v>
      </c>
      <c r="G11" s="276" t="s">
        <v>140</v>
      </c>
      <c r="H11" s="284">
        <v>0.2262649010137</v>
      </c>
      <c r="I11" s="276">
        <f t="shared" ref="I11:I12" si="0">F11*H11</f>
        <v>28340800.573788591</v>
      </c>
      <c r="J11" s="276"/>
    </row>
    <row r="12" spans="1:10">
      <c r="B12" s="281" t="s">
        <v>142</v>
      </c>
      <c r="C12" s="281"/>
      <c r="D12" s="282" t="s">
        <v>139</v>
      </c>
      <c r="E12" s="283" t="s">
        <v>285</v>
      </c>
      <c r="F12" s="106">
        <v>0</v>
      </c>
      <c r="G12" s="276" t="s">
        <v>143</v>
      </c>
      <c r="H12" s="284">
        <v>0.22648067236840891</v>
      </c>
      <c r="I12" s="276">
        <f t="shared" si="0"/>
        <v>0</v>
      </c>
      <c r="J12" s="276"/>
    </row>
    <row r="13" spans="1:10">
      <c r="B13" s="281" t="s">
        <v>144</v>
      </c>
      <c r="C13" s="281"/>
      <c r="D13" s="282"/>
      <c r="E13" s="283"/>
      <c r="F13" s="285">
        <f>SUM(F10:F12)</f>
        <v>129266857.48999998</v>
      </c>
      <c r="H13" s="284"/>
      <c r="I13" s="285">
        <f>SUM(I10:I12)</f>
        <v>29248552.714326911</v>
      </c>
      <c r="J13" s="282" t="s">
        <v>290</v>
      </c>
    </row>
    <row r="14" spans="1:10">
      <c r="B14" s="281"/>
      <c r="C14" s="286"/>
      <c r="D14" s="282"/>
      <c r="E14" s="283"/>
      <c r="H14" s="284"/>
    </row>
    <row r="15" spans="1:10">
      <c r="B15" s="274" t="s">
        <v>145</v>
      </c>
      <c r="C15" s="286"/>
      <c r="D15" s="282"/>
      <c r="E15" s="283"/>
      <c r="H15" s="284"/>
    </row>
    <row r="16" spans="1:10">
      <c r="B16" s="281" t="s">
        <v>146</v>
      </c>
      <c r="C16" s="286"/>
      <c r="D16" s="282" t="s">
        <v>147</v>
      </c>
      <c r="E16" s="283" t="s">
        <v>285</v>
      </c>
      <c r="F16" s="106">
        <f>'9.1 - Summary '!H21</f>
        <v>3025959.9532312695</v>
      </c>
      <c r="G16" s="276" t="s">
        <v>140</v>
      </c>
      <c r="H16" s="284">
        <v>0.2262649010137</v>
      </c>
      <c r="I16" s="276">
        <f t="shared" ref="I16:I20" si="1">F16*H16</f>
        <v>684668.52928929345</v>
      </c>
      <c r="J16" s="276"/>
    </row>
    <row r="17" spans="2:10">
      <c r="B17" s="281" t="s">
        <v>148</v>
      </c>
      <c r="C17" s="286"/>
      <c r="D17" s="282" t="s">
        <v>147</v>
      </c>
      <c r="E17" s="283" t="s">
        <v>285</v>
      </c>
      <c r="F17" s="106">
        <f>'9.1 - Summary '!H22</f>
        <v>14742917.98676873</v>
      </c>
      <c r="G17" s="276" t="s">
        <v>143</v>
      </c>
      <c r="H17" s="284">
        <v>0.22648067236840891</v>
      </c>
      <c r="I17" s="276">
        <f t="shared" si="1"/>
        <v>3338985.9783156915</v>
      </c>
      <c r="J17" s="276"/>
    </row>
    <row r="18" spans="2:10">
      <c r="B18" s="281" t="s">
        <v>149</v>
      </c>
      <c r="C18" s="286"/>
      <c r="D18" s="282" t="s">
        <v>147</v>
      </c>
      <c r="E18" s="283" t="s">
        <v>285</v>
      </c>
      <c r="F18" s="106">
        <f>'9.1 - Summary '!H23</f>
        <v>-17768877.760000005</v>
      </c>
      <c r="G18" s="276" t="s">
        <v>140</v>
      </c>
      <c r="H18" s="284">
        <v>0.2262649010137</v>
      </c>
      <c r="I18" s="276">
        <f t="shared" si="1"/>
        <v>-4020473.3674909365</v>
      </c>
      <c r="J18" s="276"/>
    </row>
    <row r="19" spans="2:10">
      <c r="B19" s="281" t="s">
        <v>150</v>
      </c>
      <c r="C19" s="286"/>
      <c r="D19" s="282" t="s">
        <v>147</v>
      </c>
      <c r="E19" s="283" t="s">
        <v>285</v>
      </c>
      <c r="F19" s="106">
        <f>'9.1 - Summary '!H24</f>
        <v>105966368.21000004</v>
      </c>
      <c r="G19" s="276" t="s">
        <v>140</v>
      </c>
      <c r="H19" s="284">
        <v>0.2262649010137</v>
      </c>
      <c r="I19" s="276">
        <f t="shared" si="1"/>
        <v>23976469.813816946</v>
      </c>
      <c r="J19" s="276"/>
    </row>
    <row r="20" spans="2:10">
      <c r="B20" s="281" t="s">
        <v>151</v>
      </c>
      <c r="C20" s="281"/>
      <c r="D20" s="282" t="s">
        <v>147</v>
      </c>
      <c r="E20" s="283" t="s">
        <v>285</v>
      </c>
      <c r="F20" s="106">
        <f>'9.1 - Summary '!H25</f>
        <v>620611.67000000004</v>
      </c>
      <c r="G20" s="276" t="s">
        <v>140</v>
      </c>
      <c r="H20" s="284">
        <v>0.2262649010137</v>
      </c>
      <c r="I20" s="276">
        <f t="shared" si="1"/>
        <v>140422.63808049707</v>
      </c>
      <c r="J20" s="276"/>
    </row>
    <row r="21" spans="2:10">
      <c r="B21" s="281" t="s">
        <v>152</v>
      </c>
      <c r="C21" s="281"/>
      <c r="D21" s="282"/>
      <c r="E21" s="283"/>
      <c r="F21" s="285">
        <f>SUM(F16:F20)</f>
        <v>106586980.06000003</v>
      </c>
      <c r="H21" s="284"/>
      <c r="I21" s="285">
        <f>SUM(I16:I20)</f>
        <v>24120073.592011493</v>
      </c>
      <c r="J21" s="282" t="s">
        <v>290</v>
      </c>
    </row>
    <row r="22" spans="2:10">
      <c r="B22" s="281"/>
      <c r="C22" s="281"/>
      <c r="D22" s="282"/>
      <c r="E22" s="283"/>
      <c r="H22" s="284"/>
    </row>
    <row r="23" spans="2:10">
      <c r="B23" s="274" t="s">
        <v>153</v>
      </c>
      <c r="C23" s="281"/>
      <c r="D23" s="282"/>
      <c r="E23" s="283"/>
      <c r="H23" s="284"/>
      <c r="J23" s="276"/>
    </row>
    <row r="24" spans="2:10">
      <c r="B24" s="281" t="s">
        <v>154</v>
      </c>
      <c r="C24" s="281"/>
      <c r="D24" s="282" t="s">
        <v>155</v>
      </c>
      <c r="E24" s="283" t="s">
        <v>285</v>
      </c>
      <c r="F24" s="106">
        <f>'9.1 - Summary '!H29</f>
        <v>22190023.084799994</v>
      </c>
      <c r="G24" s="276" t="s">
        <v>140</v>
      </c>
      <c r="H24" s="284">
        <v>0.2262649010137</v>
      </c>
      <c r="I24" s="276">
        <f t="shared" ref="I24:I26" si="2">F24*H24</f>
        <v>5020823.3767739888</v>
      </c>
      <c r="J24" s="276"/>
    </row>
    <row r="25" spans="2:10">
      <c r="B25" s="281" t="s">
        <v>156</v>
      </c>
      <c r="C25" s="286"/>
      <c r="D25" s="282" t="s">
        <v>155</v>
      </c>
      <c r="E25" s="283" t="s">
        <v>285</v>
      </c>
      <c r="F25" s="106">
        <f>'9.1 - Summary '!H30</f>
        <v>-23133516.764799997</v>
      </c>
      <c r="G25" s="276" t="s">
        <v>140</v>
      </c>
      <c r="H25" s="284">
        <v>0.2262649010137</v>
      </c>
      <c r="I25" s="276">
        <f t="shared" si="2"/>
        <v>-5234302.8808862409</v>
      </c>
      <c r="J25" s="276"/>
    </row>
    <row r="26" spans="2:10">
      <c r="B26" s="281" t="s">
        <v>157</v>
      </c>
      <c r="C26" s="286"/>
      <c r="D26" s="282" t="s">
        <v>155</v>
      </c>
      <c r="E26" s="283" t="s">
        <v>285</v>
      </c>
      <c r="F26" s="106">
        <f>'9.1 - Summary '!H31</f>
        <v>0</v>
      </c>
      <c r="G26" s="276" t="s">
        <v>143</v>
      </c>
      <c r="H26" s="284">
        <v>0.22648067236840891</v>
      </c>
      <c r="I26" s="276">
        <f t="shared" si="2"/>
        <v>0</v>
      </c>
      <c r="J26" s="276"/>
    </row>
    <row r="27" spans="2:10">
      <c r="B27" s="281" t="s">
        <v>158</v>
      </c>
      <c r="C27" s="281"/>
      <c r="D27" s="282"/>
      <c r="E27" s="283"/>
      <c r="F27" s="285">
        <f>SUM(F24:F26)</f>
        <v>-943493.68000000343</v>
      </c>
      <c r="H27" s="284"/>
      <c r="I27" s="285">
        <f>SUM(I24:I26)</f>
        <v>-213479.50411225203</v>
      </c>
      <c r="J27" s="282" t="s">
        <v>290</v>
      </c>
    </row>
    <row r="28" spans="2:10">
      <c r="B28" s="281"/>
      <c r="C28" s="281"/>
      <c r="D28" s="282"/>
      <c r="E28" s="283"/>
      <c r="H28" s="284"/>
    </row>
    <row r="29" spans="2:10">
      <c r="B29" s="274" t="s">
        <v>159</v>
      </c>
      <c r="C29" s="274"/>
      <c r="D29" s="282"/>
      <c r="E29" s="283"/>
      <c r="H29" s="284"/>
      <c r="J29" s="276"/>
    </row>
    <row r="30" spans="2:10">
      <c r="B30" s="281" t="s">
        <v>160</v>
      </c>
      <c r="C30" s="274"/>
      <c r="D30" s="282" t="s">
        <v>161</v>
      </c>
      <c r="E30" s="283" t="s">
        <v>285</v>
      </c>
      <c r="F30" s="106">
        <f>'9.1 - Summary '!H35</f>
        <v>-13605533.289999992</v>
      </c>
      <c r="G30" s="276" t="s">
        <v>143</v>
      </c>
      <c r="H30" s="284">
        <v>0.22648067236840891</v>
      </c>
      <c r="I30" s="276">
        <f t="shared" ref="I30:I31" si="3">F30*H30</f>
        <v>-3081390.3274499686</v>
      </c>
      <c r="J30" s="276"/>
    </row>
    <row r="31" spans="2:10">
      <c r="B31" s="281" t="s">
        <v>162</v>
      </c>
      <c r="C31" s="274"/>
      <c r="D31" s="282" t="s">
        <v>163</v>
      </c>
      <c r="E31" s="283" t="s">
        <v>285</v>
      </c>
      <c r="F31" s="106">
        <f>'9.1 - Summary '!H36</f>
        <v>15410191.480000004</v>
      </c>
      <c r="G31" s="276" t="s">
        <v>143</v>
      </c>
      <c r="H31" s="284">
        <v>0.22648067236840891</v>
      </c>
      <c r="I31" s="276">
        <f t="shared" si="3"/>
        <v>3490110.5277163275</v>
      </c>
      <c r="J31" s="276"/>
    </row>
    <row r="32" spans="2:10">
      <c r="B32" s="281" t="s">
        <v>164</v>
      </c>
      <c r="C32" s="274"/>
      <c r="D32" s="282"/>
      <c r="E32" s="283"/>
      <c r="F32" s="285">
        <f>SUM(F30:F31)</f>
        <v>1804658.1900000125</v>
      </c>
      <c r="H32" s="287"/>
      <c r="I32" s="285">
        <f>SUM(I30:I31)</f>
        <v>408720.20026635891</v>
      </c>
      <c r="J32" s="282" t="s">
        <v>290</v>
      </c>
    </row>
    <row r="33" spans="1:11">
      <c r="B33" s="281"/>
      <c r="C33" s="274"/>
      <c r="D33" s="282"/>
      <c r="E33" s="283"/>
      <c r="H33" s="287"/>
      <c r="I33" s="106"/>
      <c r="J33" s="276"/>
    </row>
    <row r="34" spans="1:11">
      <c r="B34" s="288" t="s">
        <v>282</v>
      </c>
      <c r="C34" s="274"/>
      <c r="D34" s="282"/>
      <c r="E34" s="283"/>
      <c r="F34" s="285">
        <f>-F13+F21+F27+F32</f>
        <v>-21818712.919999938</v>
      </c>
      <c r="H34" s="287"/>
      <c r="I34" s="285">
        <f>-I13+I21+I27+I32</f>
        <v>-4933238.4261613116</v>
      </c>
      <c r="J34" s="282" t="s">
        <v>290</v>
      </c>
    </row>
    <row r="35" spans="1:11">
      <c r="C35" s="274"/>
      <c r="F35" s="289"/>
      <c r="J35" s="276"/>
    </row>
    <row r="36" spans="1:11">
      <c r="C36" s="274"/>
      <c r="F36" s="289"/>
      <c r="J36" s="276"/>
    </row>
    <row r="37" spans="1:11">
      <c r="C37" s="274"/>
      <c r="F37" s="289"/>
      <c r="J37" s="276"/>
    </row>
    <row r="42" spans="1:11" ht="13.5" thickBot="1">
      <c r="B42" s="290" t="s">
        <v>283</v>
      </c>
    </row>
    <row r="43" spans="1:11">
      <c r="A43" s="347" t="s">
        <v>416</v>
      </c>
      <c r="B43" s="348"/>
      <c r="C43" s="348"/>
      <c r="D43" s="348"/>
      <c r="E43" s="348"/>
      <c r="F43" s="348"/>
      <c r="G43" s="348"/>
      <c r="H43" s="348"/>
      <c r="I43" s="348"/>
      <c r="J43" s="348"/>
      <c r="K43" s="349"/>
    </row>
    <row r="44" spans="1:11">
      <c r="A44" s="350"/>
      <c r="B44" s="351"/>
      <c r="C44" s="351"/>
      <c r="D44" s="351"/>
      <c r="E44" s="351"/>
      <c r="F44" s="351"/>
      <c r="G44" s="351"/>
      <c r="H44" s="351"/>
      <c r="I44" s="351"/>
      <c r="J44" s="351"/>
      <c r="K44" s="352"/>
    </row>
    <row r="45" spans="1:11">
      <c r="A45" s="350"/>
      <c r="B45" s="351"/>
      <c r="C45" s="351"/>
      <c r="D45" s="351"/>
      <c r="E45" s="351"/>
      <c r="F45" s="351"/>
      <c r="G45" s="351"/>
      <c r="H45" s="351"/>
      <c r="I45" s="351"/>
      <c r="J45" s="351"/>
      <c r="K45" s="352"/>
    </row>
    <row r="46" spans="1:11">
      <c r="A46" s="350"/>
      <c r="B46" s="351"/>
      <c r="C46" s="351"/>
      <c r="D46" s="351"/>
      <c r="E46" s="351"/>
      <c r="F46" s="351"/>
      <c r="G46" s="351"/>
      <c r="H46" s="351"/>
      <c r="I46" s="351"/>
      <c r="J46" s="351"/>
      <c r="K46" s="352"/>
    </row>
    <row r="47" spans="1:11">
      <c r="A47" s="350"/>
      <c r="B47" s="351"/>
      <c r="C47" s="351"/>
      <c r="D47" s="351"/>
      <c r="E47" s="351"/>
      <c r="F47" s="351"/>
      <c r="G47" s="351"/>
      <c r="H47" s="351"/>
      <c r="I47" s="351"/>
      <c r="J47" s="351"/>
      <c r="K47" s="352"/>
    </row>
    <row r="48" spans="1:11">
      <c r="A48" s="350"/>
      <c r="B48" s="351"/>
      <c r="C48" s="351"/>
      <c r="D48" s="351"/>
      <c r="E48" s="351"/>
      <c r="F48" s="351"/>
      <c r="G48" s="351"/>
      <c r="H48" s="351"/>
      <c r="I48" s="351"/>
      <c r="J48" s="351"/>
      <c r="K48" s="352"/>
    </row>
    <row r="49" spans="1:11">
      <c r="A49" s="350"/>
      <c r="B49" s="351"/>
      <c r="C49" s="351"/>
      <c r="D49" s="351"/>
      <c r="E49" s="351"/>
      <c r="F49" s="351"/>
      <c r="G49" s="351"/>
      <c r="H49" s="351"/>
      <c r="I49" s="351"/>
      <c r="J49" s="351"/>
      <c r="K49" s="352"/>
    </row>
    <row r="50" spans="1:11" ht="13.5" thickBot="1">
      <c r="A50" s="353"/>
      <c r="B50" s="354"/>
      <c r="C50" s="354"/>
      <c r="D50" s="354"/>
      <c r="E50" s="354"/>
      <c r="F50" s="354"/>
      <c r="G50" s="354"/>
      <c r="H50" s="354"/>
      <c r="I50" s="354"/>
      <c r="J50" s="354"/>
      <c r="K50" s="355"/>
    </row>
  </sheetData>
  <mergeCells count="1">
    <mergeCell ref="A43:K50"/>
  </mergeCells>
  <conditionalFormatting sqref="B9:B26">
    <cfRule type="cellIs" dxfId="71" priority="3" stopIfTrue="1" operator="equal">
      <formula>"Adjustment to Income/Expense/Rate Base:"</formula>
    </cfRule>
  </conditionalFormatting>
  <conditionalFormatting sqref="B20:B22">
    <cfRule type="cellIs" dxfId="70" priority="2" stopIfTrue="1" operator="equal">
      <formula>"Title"</formula>
    </cfRule>
  </conditionalFormatting>
  <conditionalFormatting sqref="B27:B34">
    <cfRule type="cellIs" dxfId="69" priority="1" stopIfTrue="1" operator="equal">
      <formula>"Adjustment to Income/Expense/Rate Base:"</formula>
    </cfRule>
  </conditionalFormatting>
  <pageMargins left="0.65" right="0.72" top="1" bottom="1" header="0.5" footer="0.5"/>
  <pageSetup scale="72" orientation="portrait" r:id="rId1"/>
  <headerFooter alignWithMargins="0">
    <oddHeader>&amp;L&amp;"Arial,Regular"&amp;10WA UE-130043
Bench Request 9&amp;R&amp;"Arial,Bold"&amp;10Attachment Bench Request 9</oddHeader>
    <oddFooter>&amp;L&amp;"Arial,Regular"&amp;10&amp;F&amp;C&amp;A</oddFooter>
  </headerFooter>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pageSetUpPr fitToPage="1"/>
  </sheetPr>
  <dimension ref="A1:S123"/>
  <sheetViews>
    <sheetView view="pageBreakPreview" zoomScale="85" zoomScaleNormal="85" zoomScaleSheetLayoutView="85" workbookViewId="0">
      <pane xSplit="3" ySplit="6" topLeftCell="D7" activePane="bottomRight" state="frozen"/>
      <selection activeCell="T91" sqref="T91"/>
      <selection pane="topRight" activeCell="T91" sqref="T91"/>
      <selection pane="bottomLeft" activeCell="T91" sqref="T91"/>
      <selection pane="bottomRight" activeCell="T91" sqref="T91"/>
    </sheetView>
  </sheetViews>
  <sheetFormatPr defaultColWidth="11" defaultRowHeight="10.5"/>
  <cols>
    <col min="1" max="1" width="3" style="146" customWidth="1"/>
    <col min="2" max="2" width="2.6640625" style="146" customWidth="1"/>
    <col min="3" max="3" width="33.1640625" style="146" customWidth="1"/>
    <col min="4" max="4" width="13.83203125" style="146" customWidth="1"/>
    <col min="5" max="5" width="2.33203125" style="146" customWidth="1"/>
    <col min="6" max="6" width="15.83203125" style="146" customWidth="1"/>
    <col min="7" max="7" width="13.33203125" style="146" bestFit="1" customWidth="1"/>
    <col min="8" max="8" width="22.5" style="146" bestFit="1" customWidth="1"/>
    <col min="9" max="9" width="13.83203125" style="146" bestFit="1" customWidth="1"/>
    <col min="10" max="10" width="11" style="146" customWidth="1"/>
    <col min="11" max="11" width="14.5" style="146" customWidth="1"/>
    <col min="12" max="12" width="11" style="146" customWidth="1"/>
    <col min="13" max="13" width="14.1640625" style="146" bestFit="1" customWidth="1"/>
    <col min="14" max="14" width="20.1640625" style="147" bestFit="1" customWidth="1"/>
    <col min="15" max="15" width="15" style="146" bestFit="1" customWidth="1"/>
    <col min="16" max="16" width="14.6640625" style="146" bestFit="1" customWidth="1"/>
    <col min="17" max="16384" width="11" style="146"/>
  </cols>
  <sheetData>
    <row r="1" spans="1:14">
      <c r="A1" s="196" t="s">
        <v>118</v>
      </c>
      <c r="D1" s="156"/>
      <c r="E1" s="193"/>
      <c r="F1" s="186" t="s">
        <v>42</v>
      </c>
    </row>
    <row r="2" spans="1:14">
      <c r="A2" s="195"/>
      <c r="D2" s="156"/>
      <c r="E2" s="193"/>
      <c r="F2" s="193" t="s">
        <v>0</v>
      </c>
      <c r="K2" s="198"/>
    </row>
    <row r="3" spans="1:14">
      <c r="A3" s="192" t="s">
        <v>52</v>
      </c>
      <c r="D3" s="194"/>
      <c r="E3" s="194"/>
      <c r="F3" s="186" t="s">
        <v>1</v>
      </c>
    </row>
    <row r="4" spans="1:14">
      <c r="A4" s="357">
        <v>41974</v>
      </c>
      <c r="B4" s="357"/>
      <c r="C4" s="357"/>
      <c r="D4" s="194"/>
      <c r="E4" s="194"/>
      <c r="F4" s="193"/>
    </row>
    <row r="5" spans="1:14">
      <c r="B5" s="192"/>
      <c r="D5" s="155" t="s">
        <v>2</v>
      </c>
      <c r="E5" s="155"/>
      <c r="F5" s="191" t="s">
        <v>3</v>
      </c>
      <c r="G5" s="191" t="s">
        <v>3</v>
      </c>
      <c r="H5" s="191"/>
      <c r="I5" s="191"/>
    </row>
    <row r="6" spans="1:14" s="155" customFormat="1">
      <c r="A6" s="146"/>
      <c r="B6" s="146"/>
      <c r="C6" s="146"/>
      <c r="D6" s="190" t="s">
        <v>117</v>
      </c>
      <c r="E6" s="189"/>
      <c r="F6" s="188" t="s">
        <v>4</v>
      </c>
      <c r="G6" s="188" t="s">
        <v>5</v>
      </c>
      <c r="H6" s="188" t="s">
        <v>6</v>
      </c>
      <c r="I6" s="188" t="s">
        <v>7</v>
      </c>
      <c r="N6" s="187"/>
    </row>
    <row r="7" spans="1:14">
      <c r="A7" s="146" t="s">
        <v>8</v>
      </c>
      <c r="F7" s="159"/>
      <c r="G7" s="159"/>
      <c r="H7" s="159"/>
      <c r="I7" s="159"/>
    </row>
    <row r="8" spans="1:14">
      <c r="B8" s="156" t="s">
        <v>9</v>
      </c>
      <c r="D8" s="153">
        <v>12964800</v>
      </c>
      <c r="E8" s="154"/>
      <c r="F8" s="153">
        <f>D8</f>
        <v>12964800</v>
      </c>
      <c r="G8" s="156"/>
      <c r="H8" s="156"/>
      <c r="I8" s="156"/>
    </row>
    <row r="9" spans="1:14" hidden="1">
      <c r="B9" s="156"/>
      <c r="D9" s="154"/>
      <c r="E9" s="154"/>
      <c r="F9" s="179"/>
      <c r="G9" s="159"/>
      <c r="H9" s="159"/>
      <c r="I9" s="159"/>
    </row>
    <row r="10" spans="1:14">
      <c r="B10" s="156" t="s">
        <v>10</v>
      </c>
      <c r="D10" s="153">
        <v>56561517.129999995</v>
      </c>
      <c r="E10" s="154"/>
      <c r="F10" s="179"/>
      <c r="G10" s="159"/>
      <c r="H10" s="159"/>
      <c r="I10" s="153">
        <f>D10</f>
        <v>56561517.129999995</v>
      </c>
    </row>
    <row r="11" spans="1:14" hidden="1">
      <c r="B11" s="156"/>
      <c r="D11" s="154"/>
      <c r="E11" s="154"/>
      <c r="F11" s="179"/>
      <c r="G11" s="159"/>
      <c r="H11" s="159"/>
      <c r="I11" s="159"/>
    </row>
    <row r="12" spans="1:14" hidden="1">
      <c r="B12" s="156" t="s">
        <v>11</v>
      </c>
      <c r="D12" s="153">
        <v>0</v>
      </c>
      <c r="E12" s="154"/>
      <c r="F12" s="153">
        <f>D12</f>
        <v>0</v>
      </c>
      <c r="G12" s="159"/>
      <c r="H12" s="159"/>
      <c r="I12" s="159"/>
    </row>
    <row r="13" spans="1:14" hidden="1">
      <c r="C13" s="156"/>
      <c r="D13" s="154"/>
      <c r="E13" s="154"/>
      <c r="F13" s="159"/>
      <c r="G13" s="159"/>
      <c r="H13" s="159"/>
      <c r="I13" s="159"/>
    </row>
    <row r="14" spans="1:14" hidden="1">
      <c r="B14" s="146" t="s">
        <v>12</v>
      </c>
      <c r="C14" s="156"/>
      <c r="D14" s="153">
        <v>0</v>
      </c>
      <c r="E14" s="154"/>
      <c r="F14" s="159"/>
      <c r="G14" s="159"/>
      <c r="H14" s="153">
        <f>D14</f>
        <v>0</v>
      </c>
      <c r="I14" s="159"/>
    </row>
    <row r="15" spans="1:14" ht="11.25" thickBot="1">
      <c r="D15" s="155" t="s">
        <v>14</v>
      </c>
      <c r="E15" s="149" t="s">
        <v>13</v>
      </c>
      <c r="F15" s="155" t="s">
        <v>14</v>
      </c>
      <c r="G15" s="155" t="s">
        <v>14</v>
      </c>
      <c r="H15" s="155" t="s">
        <v>14</v>
      </c>
      <c r="I15" s="155" t="s">
        <v>14</v>
      </c>
    </row>
    <row r="16" spans="1:14" ht="11.25" thickBot="1">
      <c r="A16" s="146" t="s">
        <v>15</v>
      </c>
      <c r="D16" s="153">
        <f>SUM(D8:D14)</f>
        <v>69526317.129999995</v>
      </c>
      <c r="E16" s="154"/>
      <c r="F16" s="153">
        <f>SUM(F8:F14)</f>
        <v>12964800</v>
      </c>
      <c r="G16" s="153">
        <f>SUM(G8:G14)</f>
        <v>0</v>
      </c>
      <c r="H16" s="153">
        <f>SUM(H8:H14)</f>
        <v>0</v>
      </c>
      <c r="I16" s="153">
        <f>SUM(I8:I14)</f>
        <v>56561517.129999995</v>
      </c>
      <c r="K16" s="152">
        <v>0</v>
      </c>
      <c r="L16" s="151" t="s">
        <v>40</v>
      </c>
      <c r="M16" s="150">
        <f>D16-SUM(F16:I16)</f>
        <v>0</v>
      </c>
    </row>
    <row r="17" spans="1:19">
      <c r="D17" s="154"/>
      <c r="E17" s="154"/>
      <c r="F17" s="154"/>
      <c r="G17" s="154"/>
      <c r="H17" s="154"/>
      <c r="I17" s="154"/>
      <c r="P17" s="186" t="s">
        <v>67</v>
      </c>
    </row>
    <row r="18" spans="1:19">
      <c r="D18" s="156"/>
      <c r="E18" s="159"/>
      <c r="F18" s="159"/>
      <c r="G18" s="159"/>
      <c r="H18" s="159"/>
      <c r="I18" s="159"/>
      <c r="N18" s="185"/>
      <c r="O18" s="184"/>
      <c r="P18" s="197">
        <f>+A4</f>
        <v>41974</v>
      </c>
    </row>
    <row r="19" spans="1:19" ht="11.25">
      <c r="A19" s="146" t="s">
        <v>16</v>
      </c>
      <c r="D19" s="154"/>
      <c r="E19" s="154"/>
      <c r="F19" s="182"/>
      <c r="G19" s="159"/>
      <c r="H19" s="159"/>
      <c r="I19" s="159"/>
      <c r="N19" s="164" t="s">
        <v>56</v>
      </c>
      <c r="O19" s="201">
        <v>0.42330613198274447</v>
      </c>
      <c r="P19" s="154">
        <v>14785516.07</v>
      </c>
      <c r="Q19" s="180"/>
      <c r="R19" s="200"/>
      <c r="S19" s="154"/>
    </row>
    <row r="20" spans="1:19" ht="11.25" hidden="1">
      <c r="B20" s="156"/>
      <c r="C20" s="146" t="s">
        <v>17</v>
      </c>
      <c r="D20" s="153">
        <v>0</v>
      </c>
      <c r="E20" s="154"/>
      <c r="F20" s="153">
        <f>D20</f>
        <v>0</v>
      </c>
      <c r="G20" s="159"/>
      <c r="H20" s="159"/>
      <c r="I20" s="159"/>
      <c r="N20" s="164" t="s">
        <v>58</v>
      </c>
      <c r="O20" s="201">
        <f>1-O19</f>
        <v>0.57669386801725553</v>
      </c>
      <c r="P20" s="154">
        <v>20143144.189999998</v>
      </c>
      <c r="Q20" s="180"/>
      <c r="R20" s="200"/>
      <c r="S20" s="154"/>
    </row>
    <row r="21" spans="1:19" ht="11.25" hidden="1">
      <c r="B21" s="156"/>
      <c r="C21" s="146" t="s">
        <v>18</v>
      </c>
      <c r="D21" s="153">
        <v>0</v>
      </c>
      <c r="E21" s="154"/>
      <c r="F21" s="153">
        <f>D21-G21</f>
        <v>0</v>
      </c>
      <c r="G21" s="153">
        <v>0</v>
      </c>
      <c r="H21" s="159"/>
      <c r="I21" s="159"/>
      <c r="N21" s="164" t="s">
        <v>57</v>
      </c>
      <c r="O21" s="201">
        <f>IFERROR(P21/(P21+P22),0)</f>
        <v>0</v>
      </c>
      <c r="P21" s="154">
        <v>0</v>
      </c>
      <c r="Q21" s="180"/>
      <c r="R21" s="200"/>
      <c r="S21" s="154"/>
    </row>
    <row r="22" spans="1:19" ht="11.25">
      <c r="B22" s="156"/>
      <c r="C22" s="146" t="s">
        <v>19</v>
      </c>
      <c r="D22" s="153">
        <v>1480766.7400000002</v>
      </c>
      <c r="E22" s="154"/>
      <c r="F22" s="153">
        <f>D22*0.3</f>
        <v>444230.02200000006</v>
      </c>
      <c r="G22" s="153">
        <f>D22*0.7</f>
        <v>1036536.7180000001</v>
      </c>
      <c r="H22" s="159"/>
      <c r="I22" s="159"/>
      <c r="N22" s="164" t="s">
        <v>59</v>
      </c>
      <c r="O22" s="201">
        <f>1-O21</f>
        <v>1</v>
      </c>
      <c r="P22" s="154">
        <v>0</v>
      </c>
      <c r="Q22" s="180"/>
      <c r="R22" s="200"/>
      <c r="S22" s="154"/>
    </row>
    <row r="23" spans="1:19">
      <c r="B23" s="156"/>
      <c r="C23" s="146" t="s">
        <v>20</v>
      </c>
      <c r="D23" s="153">
        <v>323118.28000000003</v>
      </c>
      <c r="E23" s="154"/>
      <c r="F23" s="153">
        <f>D23*0.2073628</f>
        <v>67002.711271984008</v>
      </c>
      <c r="G23" s="153">
        <f>D23-F23</f>
        <v>256115.56872801602</v>
      </c>
      <c r="H23" s="159"/>
      <c r="I23" s="159"/>
    </row>
    <row r="24" spans="1:19">
      <c r="B24" s="156"/>
      <c r="C24" s="146" t="s">
        <v>21</v>
      </c>
      <c r="D24" s="153">
        <f>N27</f>
        <v>70482092.74000001</v>
      </c>
      <c r="E24" s="154"/>
      <c r="F24" s="176">
        <f>(N25+N24*O19)*K24</f>
        <v>2517906.851177814</v>
      </c>
      <c r="G24" s="176">
        <f>(N25+N24*O19)*L24</f>
        <v>12267609.214589126</v>
      </c>
      <c r="H24" s="159"/>
      <c r="I24" s="176">
        <f>(N26+N24*O20)</f>
        <v>55696576.674233064</v>
      </c>
      <c r="K24" s="175">
        <v>0.17029549999999999</v>
      </c>
      <c r="L24" s="175">
        <f>1-K24</f>
        <v>0.82970450000000007</v>
      </c>
      <c r="N24" s="153">
        <v>34928660.25</v>
      </c>
      <c r="O24" s="156" t="s">
        <v>53</v>
      </c>
    </row>
    <row r="25" spans="1:19">
      <c r="B25" s="156"/>
      <c r="C25" s="146" t="s">
        <v>90</v>
      </c>
      <c r="D25" s="153">
        <v>0</v>
      </c>
      <c r="E25" s="154"/>
      <c r="F25" s="159"/>
      <c r="G25" s="153">
        <f>D25</f>
        <v>0</v>
      </c>
      <c r="H25" s="159"/>
      <c r="I25" s="153"/>
      <c r="N25" s="153">
        <v>0</v>
      </c>
      <c r="O25" s="156" t="s">
        <v>50</v>
      </c>
    </row>
    <row r="26" spans="1:19">
      <c r="B26" s="170" t="s">
        <v>65</v>
      </c>
      <c r="C26" s="149"/>
      <c r="D26" s="155" t="s">
        <v>14</v>
      </c>
      <c r="E26" s="149" t="s">
        <v>13</v>
      </c>
      <c r="F26" s="155" t="s">
        <v>14</v>
      </c>
      <c r="G26" s="155" t="s">
        <v>14</v>
      </c>
      <c r="H26" s="155" t="s">
        <v>14</v>
      </c>
      <c r="I26" s="155" t="s">
        <v>14</v>
      </c>
      <c r="K26" s="175"/>
      <c r="L26" s="175"/>
      <c r="N26" s="174">
        <v>35553432.490000002</v>
      </c>
      <c r="O26" s="156" t="s">
        <v>49</v>
      </c>
    </row>
    <row r="27" spans="1:19">
      <c r="B27" s="146" t="s">
        <v>22</v>
      </c>
      <c r="C27" s="156"/>
      <c r="D27" s="153">
        <f>SUM(D20:D26)</f>
        <v>72285977.760000005</v>
      </c>
      <c r="E27" s="154"/>
      <c r="F27" s="153">
        <f>SUM(F20:F26)</f>
        <v>3029139.5844497979</v>
      </c>
      <c r="G27" s="153">
        <f>SUM(G20:G26)</f>
        <v>13560261.501317143</v>
      </c>
      <c r="H27" s="153">
        <f>SUM(H20:H26)</f>
        <v>0</v>
      </c>
      <c r="I27" s="153">
        <f>SUM(I20:I26)</f>
        <v>55696576.674233064</v>
      </c>
      <c r="K27" s="175"/>
      <c r="L27" s="175"/>
      <c r="N27" s="153">
        <f>SUM(N24:N26)</f>
        <v>70482092.74000001</v>
      </c>
      <c r="O27" s="156"/>
    </row>
    <row r="28" spans="1:19" ht="12.75">
      <c r="D28" s="179"/>
      <c r="E28" s="154"/>
      <c r="F28" s="179"/>
      <c r="G28" s="179"/>
      <c r="H28" s="159"/>
      <c r="I28" s="159"/>
      <c r="K28" s="175"/>
      <c r="L28" s="175"/>
      <c r="N28" s="178"/>
      <c r="O28" s="199"/>
    </row>
    <row r="29" spans="1:19" hidden="1">
      <c r="B29" s="156"/>
      <c r="C29" s="146" t="s">
        <v>41</v>
      </c>
      <c r="D29" s="153">
        <v>0</v>
      </c>
      <c r="E29" s="154"/>
      <c r="F29" s="153"/>
      <c r="G29" s="153">
        <f>D29</f>
        <v>0</v>
      </c>
      <c r="H29" s="159"/>
      <c r="I29" s="159"/>
      <c r="K29" s="175"/>
      <c r="L29" s="175"/>
      <c r="N29" s="153">
        <v>0</v>
      </c>
      <c r="O29" s="156" t="s">
        <v>54</v>
      </c>
    </row>
    <row r="30" spans="1:19" hidden="1">
      <c r="B30" s="156"/>
      <c r="C30" s="146" t="s">
        <v>23</v>
      </c>
      <c r="D30" s="153">
        <v>0</v>
      </c>
      <c r="E30" s="154"/>
      <c r="F30" s="153"/>
      <c r="G30" s="153">
        <f>D30</f>
        <v>0</v>
      </c>
      <c r="H30" s="159"/>
      <c r="I30" s="159"/>
      <c r="K30" s="175"/>
      <c r="L30" s="175"/>
      <c r="M30" s="177"/>
      <c r="N30" s="153">
        <v>0</v>
      </c>
      <c r="O30" s="156" t="s">
        <v>51</v>
      </c>
    </row>
    <row r="31" spans="1:19" hidden="1">
      <c r="B31" s="156"/>
      <c r="C31" s="146" t="s">
        <v>24</v>
      </c>
      <c r="D31" s="153">
        <f>N32</f>
        <v>0</v>
      </c>
      <c r="E31" s="154"/>
      <c r="F31" s="176">
        <f>(N30+N29*O21)*K31</f>
        <v>0</v>
      </c>
      <c r="G31" s="176">
        <f>(N30+N29*O21)*L31</f>
        <v>0</v>
      </c>
      <c r="H31" s="159"/>
      <c r="I31" s="176">
        <f>(N31+N29*O22)</f>
        <v>0</v>
      </c>
      <c r="K31" s="175">
        <v>0.7</v>
      </c>
      <c r="L31" s="175">
        <f>1-K31</f>
        <v>0.30000000000000004</v>
      </c>
      <c r="N31" s="174">
        <v>0</v>
      </c>
      <c r="O31" s="156" t="s">
        <v>48</v>
      </c>
    </row>
    <row r="32" spans="1:19" hidden="1">
      <c r="B32" s="156"/>
      <c r="C32" s="146" t="s">
        <v>25</v>
      </c>
      <c r="D32" s="153">
        <v>0</v>
      </c>
      <c r="E32" s="154"/>
      <c r="F32" s="153">
        <f>D32</f>
        <v>0</v>
      </c>
      <c r="G32" s="153">
        <v>0</v>
      </c>
      <c r="H32" s="159"/>
      <c r="I32" s="159"/>
      <c r="N32" s="173">
        <f>SUM(N29:N31)</f>
        <v>0</v>
      </c>
      <c r="O32" s="156"/>
    </row>
    <row r="33" spans="2:18" hidden="1">
      <c r="B33" s="156"/>
      <c r="C33" s="146" t="s">
        <v>89</v>
      </c>
      <c r="D33" s="153">
        <v>0</v>
      </c>
      <c r="E33" s="154"/>
      <c r="F33" s="159"/>
      <c r="G33" s="153">
        <f>D33</f>
        <v>0</v>
      </c>
      <c r="H33" s="159"/>
      <c r="I33" s="159"/>
      <c r="N33" s="173"/>
      <c r="O33" s="156"/>
    </row>
    <row r="34" spans="2:18" hidden="1">
      <c r="B34" s="156"/>
      <c r="C34" s="146" t="s">
        <v>26</v>
      </c>
      <c r="D34" s="153">
        <v>0</v>
      </c>
      <c r="E34" s="154"/>
      <c r="F34" s="153">
        <v>0</v>
      </c>
      <c r="G34" s="153">
        <v>0</v>
      </c>
      <c r="H34" s="159"/>
      <c r="I34" s="159"/>
    </row>
    <row r="35" spans="2:18" hidden="1">
      <c r="B35" s="170" t="s">
        <v>65</v>
      </c>
      <c r="C35" s="149"/>
      <c r="D35" s="155" t="s">
        <v>14</v>
      </c>
      <c r="E35" s="149" t="s">
        <v>13</v>
      </c>
      <c r="F35" s="155" t="s">
        <v>14</v>
      </c>
      <c r="G35" s="155" t="s">
        <v>14</v>
      </c>
      <c r="H35" s="155" t="s">
        <v>14</v>
      </c>
      <c r="I35" s="155" t="s">
        <v>14</v>
      </c>
      <c r="R35" s="200"/>
    </row>
    <row r="36" spans="2:18" hidden="1">
      <c r="B36" s="146" t="s">
        <v>27</v>
      </c>
      <c r="C36" s="156"/>
      <c r="D36" s="153">
        <f>SUM(D29:D35)</f>
        <v>0</v>
      </c>
      <c r="E36" s="154"/>
      <c r="F36" s="153">
        <f>SUM(F29:F35)</f>
        <v>0</v>
      </c>
      <c r="G36" s="153">
        <f>SUM(G29:G35)</f>
        <v>0</v>
      </c>
      <c r="H36" s="153">
        <f>SUM(H29:H35)</f>
        <v>0</v>
      </c>
      <c r="I36" s="153">
        <f>SUM(I29:I35)</f>
        <v>0</v>
      </c>
    </row>
    <row r="37" spans="2:18">
      <c r="D37" s="154"/>
      <c r="E37" s="154"/>
      <c r="F37" s="159"/>
      <c r="G37" s="159"/>
      <c r="H37" s="159"/>
      <c r="I37" s="159"/>
      <c r="N37" s="146"/>
    </row>
    <row r="38" spans="2:18" hidden="1">
      <c r="B38" s="156"/>
      <c r="C38" s="146" t="s">
        <v>68</v>
      </c>
      <c r="D38" s="153">
        <v>0</v>
      </c>
      <c r="E38" s="154"/>
      <c r="F38" s="159"/>
      <c r="G38" s="159"/>
      <c r="H38" s="159"/>
      <c r="I38" s="153">
        <f t="shared" ref="I38:I65" si="0">IF(K38="Post Merger",D38,0)</f>
        <v>0</v>
      </c>
      <c r="K38" s="146" t="s">
        <v>10</v>
      </c>
    </row>
    <row r="39" spans="2:18" hidden="1">
      <c r="B39" s="156"/>
      <c r="C39" s="146" t="s">
        <v>55</v>
      </c>
      <c r="D39" s="153">
        <v>0</v>
      </c>
      <c r="E39" s="154"/>
      <c r="F39" s="159"/>
      <c r="G39" s="159"/>
      <c r="H39" s="159"/>
      <c r="I39" s="153">
        <f t="shared" si="0"/>
        <v>0</v>
      </c>
      <c r="K39" s="146" t="s">
        <v>10</v>
      </c>
    </row>
    <row r="40" spans="2:18" hidden="1">
      <c r="B40" s="156"/>
      <c r="C40" s="146" t="s">
        <v>69</v>
      </c>
      <c r="D40" s="153">
        <v>0</v>
      </c>
      <c r="E40" s="154"/>
      <c r="F40" s="159"/>
      <c r="G40" s="159"/>
      <c r="H40" s="159"/>
      <c r="I40" s="153">
        <f t="shared" si="0"/>
        <v>0</v>
      </c>
      <c r="K40" s="146" t="s">
        <v>10</v>
      </c>
    </row>
    <row r="41" spans="2:18" hidden="1">
      <c r="B41" s="156"/>
      <c r="C41" s="146" t="s">
        <v>88</v>
      </c>
      <c r="D41" s="153">
        <v>0</v>
      </c>
      <c r="E41" s="154"/>
      <c r="F41" s="159"/>
      <c r="G41" s="159"/>
      <c r="H41" s="159"/>
      <c r="I41" s="153">
        <f t="shared" si="0"/>
        <v>0</v>
      </c>
      <c r="K41" s="146" t="s">
        <v>10</v>
      </c>
    </row>
    <row r="42" spans="2:18" hidden="1">
      <c r="B42" s="156"/>
      <c r="C42" s="146" t="s">
        <v>70</v>
      </c>
      <c r="D42" s="153">
        <v>0</v>
      </c>
      <c r="E42" s="154"/>
      <c r="F42" s="159"/>
      <c r="G42" s="159"/>
      <c r="H42" s="159"/>
      <c r="I42" s="153">
        <f t="shared" si="0"/>
        <v>0</v>
      </c>
      <c r="K42" s="146" t="s">
        <v>10</v>
      </c>
    </row>
    <row r="43" spans="2:18">
      <c r="B43" s="156"/>
      <c r="C43" s="146" t="s">
        <v>71</v>
      </c>
      <c r="D43" s="153">
        <v>4721023.51</v>
      </c>
      <c r="E43" s="154"/>
      <c r="F43" s="159"/>
      <c r="G43" s="159"/>
      <c r="H43" s="159"/>
      <c r="I43" s="153">
        <f t="shared" si="0"/>
        <v>4721023.51</v>
      </c>
      <c r="K43" s="146" t="s">
        <v>10</v>
      </c>
    </row>
    <row r="44" spans="2:18" hidden="1">
      <c r="B44" s="156"/>
      <c r="C44" s="146" t="s">
        <v>72</v>
      </c>
      <c r="D44" s="153">
        <v>0</v>
      </c>
      <c r="E44" s="154"/>
      <c r="F44" s="159"/>
      <c r="G44" s="159"/>
      <c r="H44" s="159"/>
      <c r="I44" s="153">
        <f t="shared" si="0"/>
        <v>0</v>
      </c>
      <c r="K44" s="146" t="s">
        <v>10</v>
      </c>
    </row>
    <row r="45" spans="2:18">
      <c r="B45" s="156"/>
      <c r="C45" s="146" t="s">
        <v>46</v>
      </c>
      <c r="D45" s="153">
        <v>8005931.2199999997</v>
      </c>
      <c r="E45" s="154"/>
      <c r="F45" s="159"/>
      <c r="G45" s="159"/>
      <c r="H45" s="159"/>
      <c r="I45" s="153">
        <f t="shared" si="0"/>
        <v>8005931.2199999997</v>
      </c>
      <c r="K45" s="146" t="s">
        <v>10</v>
      </c>
    </row>
    <row r="46" spans="2:18">
      <c r="B46" s="156"/>
      <c r="C46" s="146" t="s">
        <v>73</v>
      </c>
      <c r="D46" s="153">
        <v>81946595.290000007</v>
      </c>
      <c r="E46" s="154"/>
      <c r="F46" s="159"/>
      <c r="G46" s="159"/>
      <c r="H46" s="159"/>
      <c r="I46" s="153">
        <f t="shared" si="0"/>
        <v>81946595.290000007</v>
      </c>
      <c r="K46" s="146" t="s">
        <v>10</v>
      </c>
    </row>
    <row r="47" spans="2:18" hidden="1">
      <c r="B47" s="156"/>
      <c r="C47" s="146" t="s">
        <v>74</v>
      </c>
      <c r="D47" s="153">
        <v>0</v>
      </c>
      <c r="E47" s="154"/>
      <c r="F47" s="159"/>
      <c r="G47" s="159"/>
      <c r="H47" s="159"/>
      <c r="I47" s="153">
        <f t="shared" si="0"/>
        <v>0</v>
      </c>
      <c r="K47" s="146" t="s">
        <v>10</v>
      </c>
    </row>
    <row r="48" spans="2:18" hidden="1">
      <c r="B48" s="156"/>
      <c r="C48" s="146" t="s">
        <v>75</v>
      </c>
      <c r="D48" s="153">
        <v>0</v>
      </c>
      <c r="E48" s="154"/>
      <c r="F48" s="159"/>
      <c r="G48" s="159"/>
      <c r="H48" s="159"/>
      <c r="I48" s="153">
        <f t="shared" si="0"/>
        <v>0</v>
      </c>
      <c r="K48" s="146" t="s">
        <v>10</v>
      </c>
    </row>
    <row r="49" spans="2:11" hidden="1">
      <c r="B49" s="156"/>
      <c r="C49" s="146" t="s">
        <v>45</v>
      </c>
      <c r="D49" s="153">
        <v>0</v>
      </c>
      <c r="E49" s="154"/>
      <c r="F49" s="159"/>
      <c r="G49" s="159"/>
      <c r="H49" s="159"/>
      <c r="I49" s="153">
        <f t="shared" si="0"/>
        <v>0</v>
      </c>
      <c r="K49" s="146" t="s">
        <v>10</v>
      </c>
    </row>
    <row r="50" spans="2:11" hidden="1">
      <c r="B50" s="156"/>
      <c r="C50" s="171" t="s">
        <v>76</v>
      </c>
      <c r="D50" s="153">
        <v>0</v>
      </c>
      <c r="E50" s="154"/>
      <c r="F50" s="159"/>
      <c r="G50" s="159"/>
      <c r="H50" s="159"/>
      <c r="I50" s="153">
        <f t="shared" si="0"/>
        <v>0</v>
      </c>
      <c r="K50" s="146" t="s">
        <v>10</v>
      </c>
    </row>
    <row r="51" spans="2:11" hidden="1">
      <c r="B51" s="156"/>
      <c r="C51" s="146" t="s">
        <v>77</v>
      </c>
      <c r="D51" s="153">
        <v>0</v>
      </c>
      <c r="E51" s="154"/>
      <c r="F51" s="159"/>
      <c r="G51" s="159"/>
      <c r="H51" s="159"/>
      <c r="I51" s="153">
        <f t="shared" si="0"/>
        <v>0</v>
      </c>
      <c r="K51" s="146" t="s">
        <v>10</v>
      </c>
    </row>
    <row r="52" spans="2:11" hidden="1">
      <c r="B52" s="156"/>
      <c r="C52" s="146" t="s">
        <v>78</v>
      </c>
      <c r="D52" s="153">
        <v>0</v>
      </c>
      <c r="E52" s="154"/>
      <c r="F52" s="159"/>
      <c r="G52" s="159"/>
      <c r="H52" s="159"/>
      <c r="I52" s="153">
        <f t="shared" si="0"/>
        <v>0</v>
      </c>
      <c r="K52" s="146" t="s">
        <v>10</v>
      </c>
    </row>
    <row r="53" spans="2:11" hidden="1">
      <c r="B53" s="156"/>
      <c r="C53" s="146" t="s">
        <v>79</v>
      </c>
      <c r="D53" s="153">
        <v>0</v>
      </c>
      <c r="E53" s="154"/>
      <c r="F53" s="159"/>
      <c r="G53" s="159"/>
      <c r="H53" s="159"/>
      <c r="I53" s="153">
        <f t="shared" si="0"/>
        <v>0</v>
      </c>
      <c r="K53" s="146" t="s">
        <v>10</v>
      </c>
    </row>
    <row r="54" spans="2:11" hidden="1">
      <c r="B54" s="156"/>
      <c r="C54" s="146" t="s">
        <v>80</v>
      </c>
      <c r="D54" s="153">
        <v>0</v>
      </c>
      <c r="E54" s="154"/>
      <c r="F54" s="159"/>
      <c r="G54" s="159"/>
      <c r="H54" s="159"/>
      <c r="I54" s="153">
        <f t="shared" si="0"/>
        <v>0</v>
      </c>
      <c r="K54" s="146" t="s">
        <v>10</v>
      </c>
    </row>
    <row r="55" spans="2:11" hidden="1">
      <c r="B55" s="156"/>
      <c r="C55" s="146" t="s">
        <v>81</v>
      </c>
      <c r="D55" s="153">
        <v>0</v>
      </c>
      <c r="E55" s="154"/>
      <c r="F55" s="159"/>
      <c r="G55" s="159"/>
      <c r="H55" s="159"/>
      <c r="I55" s="153">
        <f t="shared" si="0"/>
        <v>0</v>
      </c>
      <c r="K55" s="146" t="s">
        <v>10</v>
      </c>
    </row>
    <row r="56" spans="2:11" hidden="1">
      <c r="B56" s="156"/>
      <c r="C56" s="146" t="s">
        <v>82</v>
      </c>
      <c r="D56" s="153">
        <v>0</v>
      </c>
      <c r="E56" s="154"/>
      <c r="F56" s="159"/>
      <c r="G56" s="159"/>
      <c r="H56" s="159"/>
      <c r="I56" s="153">
        <f t="shared" si="0"/>
        <v>0</v>
      </c>
      <c r="K56" s="146" t="s">
        <v>10</v>
      </c>
    </row>
    <row r="57" spans="2:11" hidden="1">
      <c r="B57" s="156"/>
      <c r="C57" s="147" t="s">
        <v>83</v>
      </c>
      <c r="D57" s="153">
        <v>0</v>
      </c>
      <c r="E57" s="154"/>
      <c r="F57" s="159"/>
      <c r="G57" s="159"/>
      <c r="H57" s="159"/>
      <c r="I57" s="153">
        <f t="shared" si="0"/>
        <v>0</v>
      </c>
      <c r="K57" s="146" t="s">
        <v>10</v>
      </c>
    </row>
    <row r="58" spans="2:11" hidden="1">
      <c r="B58" s="156"/>
      <c r="C58" s="147" t="s">
        <v>92</v>
      </c>
      <c r="D58" s="153">
        <v>0</v>
      </c>
      <c r="E58" s="154"/>
      <c r="F58" s="159"/>
      <c r="G58" s="159"/>
      <c r="H58" s="159"/>
      <c r="I58" s="153">
        <f t="shared" si="0"/>
        <v>0</v>
      </c>
      <c r="K58" s="146" t="s">
        <v>10</v>
      </c>
    </row>
    <row r="59" spans="2:11" hidden="1">
      <c r="B59" s="156"/>
      <c r="C59" s="146" t="s">
        <v>84</v>
      </c>
      <c r="D59" s="153">
        <v>0</v>
      </c>
      <c r="E59" s="154"/>
      <c r="F59" s="159"/>
      <c r="G59" s="159"/>
      <c r="H59" s="159"/>
      <c r="I59" s="153">
        <f t="shared" si="0"/>
        <v>0</v>
      </c>
      <c r="K59" s="146" t="s">
        <v>10</v>
      </c>
    </row>
    <row r="60" spans="2:11" hidden="1">
      <c r="B60" s="156"/>
      <c r="C60" s="146" t="s">
        <v>95</v>
      </c>
      <c r="D60" s="153">
        <v>0</v>
      </c>
      <c r="E60" s="154"/>
      <c r="F60" s="159"/>
      <c r="G60" s="159"/>
      <c r="H60" s="159"/>
      <c r="I60" s="153">
        <f t="shared" si="0"/>
        <v>0</v>
      </c>
      <c r="K60" s="146" t="s">
        <v>10</v>
      </c>
    </row>
    <row r="61" spans="2:11" hidden="1">
      <c r="B61" s="156"/>
      <c r="C61" s="146" t="s">
        <v>85</v>
      </c>
      <c r="D61" s="153">
        <v>0</v>
      </c>
      <c r="E61" s="154"/>
      <c r="F61" s="159"/>
      <c r="G61" s="159"/>
      <c r="H61" s="159"/>
      <c r="I61" s="153">
        <f t="shared" si="0"/>
        <v>0</v>
      </c>
      <c r="K61" s="146" t="s">
        <v>10</v>
      </c>
    </row>
    <row r="62" spans="2:11" hidden="1">
      <c r="B62" s="156"/>
      <c r="C62" s="146" t="s">
        <v>86</v>
      </c>
      <c r="D62" s="153">
        <v>0</v>
      </c>
      <c r="E62" s="154"/>
      <c r="F62" s="159"/>
      <c r="G62" s="159"/>
      <c r="H62" s="159"/>
      <c r="I62" s="153">
        <f t="shared" si="0"/>
        <v>0</v>
      </c>
      <c r="K62" s="146" t="s">
        <v>10</v>
      </c>
    </row>
    <row r="63" spans="2:11" hidden="1">
      <c r="B63" s="156"/>
      <c r="C63" s="146" t="s">
        <v>94</v>
      </c>
      <c r="D63" s="153">
        <v>0</v>
      </c>
      <c r="E63" s="154"/>
      <c r="F63" s="159"/>
      <c r="G63" s="159"/>
      <c r="H63" s="159"/>
      <c r="I63" s="153">
        <f t="shared" si="0"/>
        <v>0</v>
      </c>
      <c r="K63" s="146" t="s">
        <v>10</v>
      </c>
    </row>
    <row r="64" spans="2:11" hidden="1">
      <c r="B64" s="156"/>
      <c r="C64" s="147" t="s">
        <v>87</v>
      </c>
      <c r="D64" s="153">
        <v>0</v>
      </c>
      <c r="E64" s="154"/>
      <c r="F64" s="159"/>
      <c r="G64" s="159"/>
      <c r="H64" s="159"/>
      <c r="I64" s="153">
        <f t="shared" si="0"/>
        <v>0</v>
      </c>
      <c r="K64" s="146" t="s">
        <v>10</v>
      </c>
    </row>
    <row r="65" spans="1:16" hidden="1">
      <c r="B65" s="156"/>
      <c r="C65" s="146" t="s">
        <v>93</v>
      </c>
      <c r="D65" s="153">
        <v>0</v>
      </c>
      <c r="E65" s="154"/>
      <c r="F65" s="159"/>
      <c r="G65" s="159"/>
      <c r="H65" s="159"/>
      <c r="I65" s="153">
        <f t="shared" si="0"/>
        <v>0</v>
      </c>
      <c r="K65" s="146" t="s">
        <v>10</v>
      </c>
    </row>
    <row r="66" spans="1:16" ht="11.25" thickBot="1">
      <c r="B66" s="156"/>
      <c r="C66" s="147"/>
      <c r="D66" s="153"/>
      <c r="E66" s="154"/>
      <c r="F66" s="159"/>
      <c r="G66" s="159"/>
      <c r="H66" s="159"/>
      <c r="I66" s="153"/>
    </row>
    <row r="67" spans="1:16" hidden="1">
      <c r="B67" s="171" t="s">
        <v>64</v>
      </c>
      <c r="C67" s="147"/>
      <c r="D67" s="153"/>
      <c r="E67" s="154"/>
      <c r="F67" s="159"/>
      <c r="G67" s="159"/>
      <c r="H67" s="159"/>
      <c r="I67" s="153"/>
    </row>
    <row r="68" spans="1:16" ht="11.25" hidden="1" thickBot="1">
      <c r="B68" s="156"/>
      <c r="C68" s="146" t="s">
        <v>96</v>
      </c>
      <c r="D68" s="153">
        <v>0</v>
      </c>
      <c r="E68" s="154"/>
      <c r="F68" s="159"/>
      <c r="G68" s="159"/>
      <c r="H68" s="159"/>
      <c r="I68" s="153">
        <f>IF(K68="Post Merger",D68,0)</f>
        <v>0</v>
      </c>
      <c r="K68" s="146" t="s">
        <v>10</v>
      </c>
    </row>
    <row r="69" spans="1:16" ht="11.25" thickBot="1">
      <c r="B69" s="156"/>
      <c r="D69" s="154"/>
      <c r="E69" s="154"/>
      <c r="F69" s="159"/>
      <c r="G69" s="159"/>
      <c r="H69" s="159"/>
      <c r="I69" s="159"/>
      <c r="K69" s="152">
        <v>0</v>
      </c>
      <c r="L69" s="151" t="s">
        <v>40</v>
      </c>
      <c r="M69" s="150">
        <v>0</v>
      </c>
    </row>
    <row r="70" spans="1:16">
      <c r="B70" s="156"/>
      <c r="C70" s="156" t="s">
        <v>115</v>
      </c>
      <c r="D70" s="153">
        <v>58520923.439999998</v>
      </c>
      <c r="E70" s="154"/>
      <c r="F70" s="159"/>
      <c r="G70" s="159"/>
      <c r="H70" s="159"/>
      <c r="I70" s="153">
        <f>D70</f>
        <v>58520923.439999998</v>
      </c>
    </row>
    <row r="71" spans="1:16" ht="11.25" thickBot="1">
      <c r="B71" s="170" t="s">
        <v>65</v>
      </c>
      <c r="C71" s="149"/>
      <c r="D71" s="155" t="s">
        <v>14</v>
      </c>
      <c r="E71" s="149" t="s">
        <v>13</v>
      </c>
      <c r="F71" s="155" t="s">
        <v>14</v>
      </c>
      <c r="G71" s="155" t="s">
        <v>14</v>
      </c>
      <c r="H71" s="155" t="s">
        <v>14</v>
      </c>
      <c r="I71" s="155" t="s">
        <v>14</v>
      </c>
    </row>
    <row r="72" spans="1:16" ht="11.25" thickBot="1">
      <c r="B72" s="146" t="s">
        <v>28</v>
      </c>
      <c r="C72" s="156"/>
      <c r="D72" s="153">
        <f>SUM(D38:D70)</f>
        <v>153194473.46000001</v>
      </c>
      <c r="E72" s="154"/>
      <c r="F72" s="153">
        <f>SUM(F38:F70)</f>
        <v>0</v>
      </c>
      <c r="G72" s="153">
        <f>SUM(G38:G70)</f>
        <v>0</v>
      </c>
      <c r="H72" s="153">
        <f>SUM(H38:H70)</f>
        <v>0</v>
      </c>
      <c r="I72" s="153">
        <f>SUM(I38:I70)</f>
        <v>153194473.46000001</v>
      </c>
      <c r="K72" s="152"/>
      <c r="L72" s="151" t="s">
        <v>40</v>
      </c>
      <c r="M72" s="150">
        <f>D72-SUM(F72:I72)</f>
        <v>0</v>
      </c>
    </row>
    <row r="73" spans="1:16">
      <c r="B73" s="146" t="s">
        <v>116</v>
      </c>
      <c r="D73" s="153">
        <v>678249.42</v>
      </c>
      <c r="E73" s="154"/>
      <c r="F73" s="149"/>
      <c r="H73" s="153"/>
      <c r="I73" s="153">
        <f>D73</f>
        <v>678249.42</v>
      </c>
      <c r="J73" s="156"/>
      <c r="K73" s="156"/>
      <c r="L73" s="156"/>
      <c r="M73" s="156"/>
    </row>
    <row r="74" spans="1:16">
      <c r="B74" s="146" t="s">
        <v>29</v>
      </c>
      <c r="C74" s="156"/>
      <c r="D74" s="153">
        <v>0</v>
      </c>
      <c r="E74" s="154"/>
      <c r="F74" s="153"/>
      <c r="G74" s="153"/>
      <c r="H74" s="153">
        <f>D74</f>
        <v>0</v>
      </c>
      <c r="I74" s="159"/>
    </row>
    <row r="75" spans="1:16" ht="11.25" thickBot="1">
      <c r="D75" s="155" t="s">
        <v>14</v>
      </c>
      <c r="E75" s="149" t="s">
        <v>13</v>
      </c>
      <c r="F75" s="155" t="s">
        <v>14</v>
      </c>
      <c r="G75" s="155" t="s">
        <v>14</v>
      </c>
      <c r="H75" s="155" t="s">
        <v>14</v>
      </c>
      <c r="I75" s="155" t="s">
        <v>14</v>
      </c>
    </row>
    <row r="76" spans="1:16" ht="11.25" thickBot="1">
      <c r="A76" s="146" t="s">
        <v>30</v>
      </c>
      <c r="D76" s="153">
        <f>D72+D73+D74+D36+D27</f>
        <v>226158700.63999999</v>
      </c>
      <c r="E76" s="154"/>
      <c r="F76" s="153">
        <f>F72+F73+F74+F36+F27</f>
        <v>3029139.5844497979</v>
      </c>
      <c r="G76" s="153">
        <f>G72+G73+G74+G36+G27</f>
        <v>13560261.501317143</v>
      </c>
      <c r="H76" s="153">
        <f>H72+H73+H74+H36+H27</f>
        <v>0</v>
      </c>
      <c r="I76" s="153">
        <f>I72+I73+I74+I36+I27</f>
        <v>209569299.55423307</v>
      </c>
      <c r="K76" s="152">
        <v>0</v>
      </c>
      <c r="L76" s="151" t="s">
        <v>40</v>
      </c>
      <c r="M76" s="150">
        <f>D76-SUM(F76:I76)</f>
        <v>0</v>
      </c>
    </row>
    <row r="77" spans="1:16">
      <c r="D77" s="154"/>
      <c r="E77" s="154"/>
      <c r="F77" s="154"/>
      <c r="G77" s="154"/>
      <c r="H77" s="154"/>
      <c r="I77" s="154"/>
    </row>
    <row r="78" spans="1:16">
      <c r="D78" s="154"/>
      <c r="E78" s="154"/>
      <c r="F78" s="154"/>
      <c r="G78" s="154"/>
      <c r="H78" s="154"/>
      <c r="I78" s="154"/>
    </row>
    <row r="79" spans="1:16" ht="11.25">
      <c r="A79" s="146" t="s">
        <v>31</v>
      </c>
      <c r="F79" s="159"/>
      <c r="G79" s="159"/>
      <c r="H79" s="159"/>
      <c r="I79" s="159"/>
      <c r="N79" s="164" t="s">
        <v>60</v>
      </c>
      <c r="O79" s="199">
        <v>24431716.409698181</v>
      </c>
      <c r="P79" s="153"/>
    </row>
    <row r="80" spans="1:16" ht="11.25">
      <c r="F80" s="159"/>
      <c r="G80" s="159"/>
      <c r="H80" s="159"/>
      <c r="I80" s="159"/>
      <c r="N80" s="164" t="s">
        <v>61</v>
      </c>
      <c r="O80" s="199">
        <v>0</v>
      </c>
      <c r="P80" s="153"/>
    </row>
    <row r="81" spans="1:16" s="156" customFormat="1" ht="11.25">
      <c r="A81" s="146"/>
      <c r="B81" s="146" t="s">
        <v>32</v>
      </c>
      <c r="D81" s="153">
        <f>SUM(F81:I81)</f>
        <v>24431716.409698181</v>
      </c>
      <c r="E81" s="154"/>
      <c r="F81" s="153">
        <f>O79</f>
        <v>24431716.409698181</v>
      </c>
      <c r="G81" s="159"/>
      <c r="H81" s="159"/>
      <c r="I81" s="159"/>
      <c r="J81" s="146"/>
      <c r="K81" s="168"/>
      <c r="L81" s="146"/>
      <c r="M81" s="146"/>
      <c r="N81" s="164" t="s">
        <v>62</v>
      </c>
      <c r="O81" s="199">
        <v>82821558.220499292</v>
      </c>
      <c r="P81" s="167"/>
    </row>
    <row r="82" spans="1:16" ht="11.25" hidden="1">
      <c r="A82" s="156"/>
      <c r="B82" s="156"/>
      <c r="C82" s="156"/>
      <c r="D82" s="156"/>
      <c r="E82" s="156"/>
      <c r="F82" s="156"/>
      <c r="G82" s="156"/>
      <c r="H82" s="156"/>
      <c r="I82" s="156"/>
      <c r="J82" s="156"/>
      <c r="K82" s="166"/>
      <c r="L82" s="156"/>
      <c r="M82" s="156"/>
      <c r="N82" s="164" t="s">
        <v>91</v>
      </c>
      <c r="O82" s="199">
        <v>0</v>
      </c>
      <c r="P82" s="153"/>
    </row>
    <row r="83" spans="1:16" ht="12" thickBot="1">
      <c r="B83" s="146" t="s">
        <v>33</v>
      </c>
      <c r="C83" s="156"/>
      <c r="D83" s="153">
        <f>SUM(F83:I83)</f>
        <v>0</v>
      </c>
      <c r="E83" s="154"/>
      <c r="F83" s="153">
        <f>O80</f>
        <v>0</v>
      </c>
      <c r="G83" s="159"/>
      <c r="H83" s="159"/>
      <c r="I83" s="159"/>
      <c r="N83" s="164" t="s">
        <v>63</v>
      </c>
      <c r="O83" s="199">
        <v>1003105.8</v>
      </c>
      <c r="P83" s="153"/>
    </row>
    <row r="84" spans="1:16" ht="11.25" hidden="1" thickBot="1">
      <c r="C84" s="156"/>
      <c r="D84" s="154"/>
      <c r="E84" s="154"/>
      <c r="F84" s="159"/>
      <c r="G84" s="159"/>
      <c r="H84" s="159"/>
      <c r="I84" s="159"/>
      <c r="O84" s="199">
        <f>SUM(O79:O83)</f>
        <v>108256380.43019746</v>
      </c>
      <c r="P84" s="153"/>
    </row>
    <row r="85" spans="1:16" ht="11.25" thickBot="1">
      <c r="B85" s="146" t="s">
        <v>10</v>
      </c>
      <c r="C85" s="156"/>
      <c r="D85" s="153">
        <f>D90-(D81+D83+D87)</f>
        <v>83824663.590301812</v>
      </c>
      <c r="E85" s="154"/>
      <c r="F85" s="162"/>
      <c r="G85" s="159"/>
      <c r="H85" s="159"/>
      <c r="I85" s="153">
        <f>D85</f>
        <v>83824663.590301812</v>
      </c>
      <c r="N85" s="161" t="s">
        <v>40</v>
      </c>
      <c r="O85" s="150">
        <v>0</v>
      </c>
      <c r="P85" s="160"/>
    </row>
    <row r="86" spans="1:16" hidden="1">
      <c r="F86" s="159"/>
      <c r="G86" s="159"/>
      <c r="H86" s="159"/>
      <c r="I86" s="159"/>
    </row>
    <row r="87" spans="1:16" s="156" customFormat="1">
      <c r="A87" s="146"/>
      <c r="B87" s="156" t="s">
        <v>34</v>
      </c>
      <c r="C87" s="146"/>
      <c r="D87" s="153">
        <v>0</v>
      </c>
      <c r="E87" s="154"/>
      <c r="F87" s="159"/>
      <c r="H87" s="153">
        <f>D87</f>
        <v>0</v>
      </c>
      <c r="I87" s="159"/>
      <c r="J87" s="146"/>
      <c r="K87" s="146"/>
      <c r="L87" s="146"/>
      <c r="M87" s="146"/>
      <c r="N87" s="147"/>
    </row>
    <row r="88" spans="1:16">
      <c r="A88" s="156"/>
      <c r="B88" s="156"/>
      <c r="C88" s="156"/>
      <c r="D88" s="156"/>
      <c r="E88" s="156"/>
      <c r="F88" s="156"/>
      <c r="G88" s="156"/>
      <c r="H88" s="156"/>
      <c r="I88" s="156"/>
      <c r="J88" s="156"/>
      <c r="K88" s="156"/>
      <c r="L88" s="156"/>
      <c r="M88" s="156"/>
    </row>
    <row r="89" spans="1:16" ht="11.25" thickBot="1">
      <c r="D89" s="155" t="s">
        <v>14</v>
      </c>
      <c r="E89" s="149" t="s">
        <v>13</v>
      </c>
      <c r="F89" s="155" t="s">
        <v>14</v>
      </c>
      <c r="G89" s="155" t="s">
        <v>14</v>
      </c>
      <c r="H89" s="155" t="s">
        <v>14</v>
      </c>
      <c r="I89" s="155" t="s">
        <v>14</v>
      </c>
    </row>
    <row r="90" spans="1:16" s="156" customFormat="1" ht="11.25" thickBot="1">
      <c r="A90" s="146" t="s">
        <v>35</v>
      </c>
      <c r="B90" s="146"/>
      <c r="C90" s="146"/>
      <c r="D90" s="153">
        <v>108256380</v>
      </c>
      <c r="E90" s="154"/>
      <c r="F90" s="153">
        <f>SUM(F81:F87)</f>
        <v>24431716.409698181</v>
      </c>
      <c r="G90" s="153">
        <f>SUM(G81:G87)</f>
        <v>0</v>
      </c>
      <c r="H90" s="153">
        <f>SUM(H81:H87)</f>
        <v>0</v>
      </c>
      <c r="I90" s="153">
        <f>SUM(I81:I87)</f>
        <v>83824663.590301812</v>
      </c>
      <c r="J90" s="146"/>
      <c r="K90" s="152">
        <f>D90-(D81+D83+D85+D87)</f>
        <v>0</v>
      </c>
      <c r="L90" s="151" t="s">
        <v>40</v>
      </c>
      <c r="M90" s="150">
        <f>D90-SUM(F90:I90)</f>
        <v>0</v>
      </c>
      <c r="N90" s="147"/>
    </row>
    <row r="91" spans="1:16" s="156" customFormat="1">
      <c r="A91" s="146"/>
      <c r="B91" s="146"/>
      <c r="C91" s="146"/>
      <c r="D91" s="146"/>
      <c r="E91" s="146"/>
      <c r="G91" s="146"/>
      <c r="H91" s="146"/>
      <c r="I91" s="146"/>
      <c r="N91" s="147"/>
    </row>
    <row r="92" spans="1:16" s="156" customFormat="1">
      <c r="A92" s="146" t="s">
        <v>36</v>
      </c>
      <c r="B92" s="146"/>
      <c r="C92" s="146"/>
      <c r="D92" s="146"/>
      <c r="E92" s="146"/>
      <c r="G92" s="146"/>
      <c r="H92" s="146"/>
      <c r="I92" s="146"/>
      <c r="N92" s="147"/>
    </row>
    <row r="93" spans="1:16" s="156" customFormat="1" hidden="1">
      <c r="A93" s="146"/>
      <c r="B93" s="154" t="s">
        <v>98</v>
      </c>
      <c r="C93" s="146"/>
      <c r="D93" s="153">
        <v>0</v>
      </c>
      <c r="E93" s="154"/>
      <c r="G93" s="146"/>
      <c r="H93" s="153">
        <f t="shared" ref="H93:H107" si="1">D93</f>
        <v>0</v>
      </c>
      <c r="I93" s="157"/>
      <c r="N93" s="147"/>
    </row>
    <row r="94" spans="1:16" s="156" customFormat="1" hidden="1">
      <c r="A94" s="146"/>
      <c r="B94" s="154" t="s">
        <v>99</v>
      </c>
      <c r="C94" s="146"/>
      <c r="D94" s="153">
        <v>0</v>
      </c>
      <c r="E94" s="154"/>
      <c r="G94" s="146"/>
      <c r="H94" s="153">
        <f t="shared" si="1"/>
        <v>0</v>
      </c>
      <c r="I94" s="157"/>
      <c r="N94" s="147"/>
    </row>
    <row r="95" spans="1:16" s="156" customFormat="1">
      <c r="A95" s="146"/>
      <c r="B95" s="154" t="s">
        <v>100</v>
      </c>
      <c r="C95" s="146"/>
      <c r="D95" s="153">
        <v>7625187.25</v>
      </c>
      <c r="E95" s="154"/>
      <c r="G95" s="146"/>
      <c r="H95" s="153">
        <f t="shared" si="1"/>
        <v>7625187.25</v>
      </c>
      <c r="I95" s="157"/>
      <c r="N95" s="147"/>
    </row>
    <row r="96" spans="1:16" s="156" customFormat="1" hidden="1">
      <c r="A96" s="146"/>
      <c r="B96" s="154" t="s">
        <v>101</v>
      </c>
      <c r="C96" s="146"/>
      <c r="D96" s="153">
        <v>0</v>
      </c>
      <c r="E96" s="154"/>
      <c r="G96" s="146"/>
      <c r="H96" s="153">
        <f t="shared" si="1"/>
        <v>0</v>
      </c>
      <c r="I96" s="157"/>
      <c r="N96" s="147"/>
    </row>
    <row r="97" spans="1:14" s="156" customFormat="1">
      <c r="A97" s="146"/>
      <c r="B97" s="154" t="s">
        <v>66</v>
      </c>
      <c r="C97" s="146"/>
      <c r="D97" s="153">
        <v>57389298.82</v>
      </c>
      <c r="E97" s="154"/>
      <c r="G97" s="146"/>
      <c r="H97" s="153">
        <f t="shared" si="1"/>
        <v>57389298.82</v>
      </c>
      <c r="I97" s="157"/>
      <c r="N97" s="147"/>
    </row>
    <row r="98" spans="1:14" s="156" customFormat="1" hidden="1">
      <c r="A98" s="146"/>
      <c r="B98" s="154" t="s">
        <v>47</v>
      </c>
      <c r="C98" s="146"/>
      <c r="D98" s="153">
        <v>0</v>
      </c>
      <c r="E98" s="154"/>
      <c r="G98" s="146"/>
      <c r="H98" s="153">
        <f t="shared" si="1"/>
        <v>0</v>
      </c>
      <c r="I98" s="157"/>
      <c r="N98" s="147"/>
    </row>
    <row r="99" spans="1:14" s="156" customFormat="1" hidden="1">
      <c r="A99" s="146"/>
      <c r="B99" s="154" t="s">
        <v>102</v>
      </c>
      <c r="C99" s="146"/>
      <c r="D99" s="153">
        <v>0</v>
      </c>
      <c r="E99" s="154"/>
      <c r="G99" s="146"/>
      <c r="H99" s="153">
        <f t="shared" si="1"/>
        <v>0</v>
      </c>
      <c r="I99" s="157"/>
      <c r="N99" s="147"/>
    </row>
    <row r="100" spans="1:14" s="156" customFormat="1" hidden="1">
      <c r="A100" s="146"/>
      <c r="B100" s="154" t="s">
        <v>103</v>
      </c>
      <c r="C100" s="146"/>
      <c r="D100" s="153">
        <v>0</v>
      </c>
      <c r="E100" s="154"/>
      <c r="G100" s="146"/>
      <c r="H100" s="153">
        <f t="shared" si="1"/>
        <v>0</v>
      </c>
      <c r="I100" s="157"/>
      <c r="N100" s="147"/>
    </row>
    <row r="101" spans="1:14" s="156" customFormat="1" hidden="1">
      <c r="A101" s="146"/>
      <c r="B101" s="154" t="s">
        <v>104</v>
      </c>
      <c r="C101" s="146"/>
      <c r="D101" s="153">
        <v>0</v>
      </c>
      <c r="E101" s="154"/>
      <c r="G101" s="146"/>
      <c r="H101" s="153">
        <f t="shared" si="1"/>
        <v>0</v>
      </c>
      <c r="I101" s="157"/>
      <c r="N101" s="147"/>
    </row>
    <row r="102" spans="1:14" s="156" customFormat="1" hidden="1">
      <c r="A102" s="146"/>
      <c r="B102" s="154" t="s">
        <v>105</v>
      </c>
      <c r="C102" s="146"/>
      <c r="D102" s="153">
        <v>0</v>
      </c>
      <c r="E102" s="154"/>
      <c r="F102" s="149"/>
      <c r="G102" s="146"/>
      <c r="H102" s="153">
        <f t="shared" si="1"/>
        <v>0</v>
      </c>
      <c r="I102" s="157"/>
      <c r="N102" s="147"/>
    </row>
    <row r="103" spans="1:14" s="156" customFormat="1">
      <c r="A103" s="146"/>
      <c r="B103" s="154" t="s">
        <v>106</v>
      </c>
      <c r="C103" s="146"/>
      <c r="D103" s="153">
        <v>43815507.109999999</v>
      </c>
      <c r="E103" s="154"/>
      <c r="F103" s="149"/>
      <c r="G103" s="146"/>
      <c r="H103" s="153">
        <f t="shared" si="1"/>
        <v>43815507.109999999</v>
      </c>
      <c r="I103" s="157"/>
      <c r="N103" s="147"/>
    </row>
    <row r="104" spans="1:14" s="156" customFormat="1" hidden="1">
      <c r="A104" s="146"/>
      <c r="B104" s="154" t="s">
        <v>107</v>
      </c>
      <c r="C104" s="146"/>
      <c r="D104" s="153">
        <v>0</v>
      </c>
      <c r="E104" s="154"/>
      <c r="F104" s="149"/>
      <c r="G104" s="146"/>
      <c r="H104" s="153">
        <f t="shared" si="1"/>
        <v>0</v>
      </c>
      <c r="I104" s="157"/>
      <c r="N104" s="147"/>
    </row>
    <row r="105" spans="1:14" s="156" customFormat="1" hidden="1">
      <c r="A105" s="146"/>
      <c r="B105" s="154" t="s">
        <v>108</v>
      </c>
      <c r="C105" s="146"/>
      <c r="D105" s="153">
        <v>0</v>
      </c>
      <c r="E105" s="154"/>
      <c r="F105" s="149"/>
      <c r="G105" s="146"/>
      <c r="H105" s="153">
        <f t="shared" si="1"/>
        <v>0</v>
      </c>
      <c r="I105" s="157"/>
      <c r="N105" s="147"/>
    </row>
    <row r="106" spans="1:14" s="156" customFormat="1">
      <c r="A106" s="146"/>
      <c r="B106" s="154" t="s">
        <v>109</v>
      </c>
      <c r="C106" s="146"/>
      <c r="D106" s="153">
        <v>196621591.38999999</v>
      </c>
      <c r="E106" s="154"/>
      <c r="F106" s="149"/>
      <c r="G106" s="146"/>
      <c r="H106" s="153">
        <f t="shared" si="1"/>
        <v>196621591.38999999</v>
      </c>
      <c r="I106" s="157"/>
      <c r="N106" s="147"/>
    </row>
    <row r="107" spans="1:14" s="156" customFormat="1" hidden="1">
      <c r="A107" s="146"/>
      <c r="B107" s="154" t="s">
        <v>110</v>
      </c>
      <c r="C107" s="146"/>
      <c r="D107" s="153">
        <v>0</v>
      </c>
      <c r="E107" s="154"/>
      <c r="F107" s="149"/>
      <c r="G107" s="146"/>
      <c r="H107" s="153">
        <f t="shared" si="1"/>
        <v>0</v>
      </c>
      <c r="I107" s="157"/>
      <c r="N107" s="147"/>
    </row>
    <row r="108" spans="1:14" s="156" customFormat="1" hidden="1">
      <c r="A108" s="146"/>
      <c r="B108" s="154"/>
      <c r="C108" s="146"/>
      <c r="D108" s="153"/>
      <c r="E108" s="154"/>
      <c r="F108" s="149"/>
      <c r="G108" s="146"/>
      <c r="H108" s="153"/>
      <c r="I108" s="157"/>
      <c r="N108" s="147"/>
    </row>
    <row r="109" spans="1:14" s="156" customFormat="1" hidden="1">
      <c r="A109" s="146"/>
      <c r="B109" s="154" t="s">
        <v>111</v>
      </c>
      <c r="C109" s="146"/>
      <c r="D109" s="153">
        <v>0</v>
      </c>
      <c r="E109" s="154"/>
      <c r="F109" s="149"/>
      <c r="G109" s="146"/>
      <c r="H109" s="153">
        <f>D109</f>
        <v>0</v>
      </c>
      <c r="I109" s="157"/>
      <c r="N109" s="147"/>
    </row>
    <row r="110" spans="1:14" s="156" customFormat="1" hidden="1">
      <c r="A110" s="146"/>
      <c r="B110" s="154" t="s">
        <v>112</v>
      </c>
      <c r="C110" s="146"/>
      <c r="D110" s="153">
        <v>0</v>
      </c>
      <c r="E110" s="154"/>
      <c r="F110" s="149"/>
      <c r="G110" s="146"/>
      <c r="H110" s="153">
        <f>D110</f>
        <v>0</v>
      </c>
      <c r="I110" s="157"/>
      <c r="N110" s="147"/>
    </row>
    <row r="111" spans="1:14" s="156" customFormat="1" hidden="1">
      <c r="A111" s="146"/>
      <c r="B111" s="154" t="s">
        <v>113</v>
      </c>
      <c r="C111" s="146"/>
      <c r="D111" s="153">
        <v>0</v>
      </c>
      <c r="E111" s="154"/>
      <c r="F111" s="149"/>
      <c r="G111" s="146"/>
      <c r="H111" s="153">
        <f>D111</f>
        <v>0</v>
      </c>
      <c r="I111" s="157"/>
      <c r="N111" s="147"/>
    </row>
    <row r="112" spans="1:14" s="156" customFormat="1" hidden="1">
      <c r="A112" s="146"/>
      <c r="B112" s="154"/>
      <c r="C112" s="146"/>
      <c r="D112" s="153"/>
      <c r="E112" s="154"/>
      <c r="F112" s="149"/>
      <c r="G112" s="146"/>
      <c r="H112" s="153"/>
      <c r="I112" s="157"/>
      <c r="N112" s="147"/>
    </row>
    <row r="113" spans="1:14" s="156" customFormat="1" hidden="1">
      <c r="A113" s="146"/>
      <c r="B113" s="154" t="s">
        <v>114</v>
      </c>
      <c r="C113" s="146"/>
      <c r="D113" s="153">
        <v>0</v>
      </c>
      <c r="E113" s="154"/>
      <c r="F113" s="149"/>
      <c r="G113" s="146"/>
      <c r="H113" s="153">
        <f>D113</f>
        <v>0</v>
      </c>
      <c r="I113" s="157"/>
      <c r="N113" s="147"/>
    </row>
    <row r="114" spans="1:14" s="156" customFormat="1" ht="11.25" thickBot="1">
      <c r="A114" s="146"/>
      <c r="B114" s="146"/>
      <c r="C114" s="146"/>
      <c r="D114" s="155" t="s">
        <v>14</v>
      </c>
      <c r="E114" s="149" t="s">
        <v>13</v>
      </c>
      <c r="F114" s="155" t="s">
        <v>14</v>
      </c>
      <c r="G114" s="155" t="s">
        <v>14</v>
      </c>
      <c r="H114" s="155" t="s">
        <v>14</v>
      </c>
      <c r="I114" s="155" t="s">
        <v>14</v>
      </c>
      <c r="N114" s="147"/>
    </row>
    <row r="115" spans="1:14" s="156" customFormat="1" ht="11.25" thickBot="1">
      <c r="A115" s="146" t="s">
        <v>37</v>
      </c>
      <c r="B115" s="146"/>
      <c r="C115" s="146"/>
      <c r="D115" s="153">
        <f>SUM(D93:D113)</f>
        <v>305451584.56999999</v>
      </c>
      <c r="E115" s="154"/>
      <c r="F115" s="153">
        <f>SUM(F92:F113)</f>
        <v>0</v>
      </c>
      <c r="G115" s="153">
        <f>SUM(G92:G113)</f>
        <v>0</v>
      </c>
      <c r="H115" s="153">
        <f>SUM(H92:H113)</f>
        <v>305451584.56999999</v>
      </c>
      <c r="I115" s="153">
        <f>SUM(I92:I105)</f>
        <v>0</v>
      </c>
      <c r="K115" s="152">
        <v>0</v>
      </c>
      <c r="L115" s="151" t="s">
        <v>40</v>
      </c>
      <c r="M115" s="150">
        <f>D115-SUM(F115:I115)</f>
        <v>0</v>
      </c>
      <c r="N115" s="147"/>
    </row>
    <row r="116" spans="1:14" s="156" customFormat="1">
      <c r="A116" s="146"/>
      <c r="B116" s="146"/>
      <c r="C116" s="146"/>
      <c r="D116" s="158"/>
      <c r="E116" s="154"/>
      <c r="F116" s="154"/>
      <c r="G116" s="154"/>
      <c r="H116" s="154"/>
      <c r="I116" s="154"/>
      <c r="N116" s="147"/>
    </row>
    <row r="117" spans="1:14" s="156" customFormat="1">
      <c r="A117" s="146" t="s">
        <v>43</v>
      </c>
      <c r="B117" s="146"/>
      <c r="C117" s="146"/>
      <c r="D117" s="158"/>
      <c r="E117" s="154"/>
      <c r="F117" s="154"/>
      <c r="G117" s="154"/>
      <c r="H117" s="154"/>
      <c r="I117" s="154"/>
      <c r="N117" s="147"/>
    </row>
    <row r="118" spans="1:14" s="156" customFormat="1">
      <c r="A118" s="146"/>
      <c r="B118" s="154" t="s">
        <v>97</v>
      </c>
      <c r="C118" s="146"/>
      <c r="D118" s="153">
        <v>0</v>
      </c>
      <c r="E118" s="154"/>
      <c r="F118" s="149"/>
      <c r="G118" s="146"/>
      <c r="H118" s="153">
        <f>D118</f>
        <v>0</v>
      </c>
      <c r="I118" s="157"/>
      <c r="N118" s="147"/>
    </row>
    <row r="119" spans="1:14">
      <c r="D119" s="155" t="s">
        <v>14</v>
      </c>
      <c r="E119" s="149" t="s">
        <v>13</v>
      </c>
      <c r="F119" s="155" t="s">
        <v>14</v>
      </c>
      <c r="G119" s="155" t="s">
        <v>14</v>
      </c>
      <c r="H119" s="155" t="s">
        <v>14</v>
      </c>
      <c r="I119" s="155" t="s">
        <v>14</v>
      </c>
    </row>
    <row r="120" spans="1:14">
      <c r="A120" s="146" t="s">
        <v>44</v>
      </c>
      <c r="D120" s="153">
        <v>0</v>
      </c>
      <c r="E120" s="154"/>
      <c r="F120" s="153">
        <f>SUM(F118:F118)</f>
        <v>0</v>
      </c>
      <c r="G120" s="153">
        <f>SUM(G118:G118)</f>
        <v>0</v>
      </c>
      <c r="H120" s="153">
        <f>SUM(H118:H118)</f>
        <v>0</v>
      </c>
      <c r="I120" s="153">
        <f>SUM(I118:I118)</f>
        <v>0</v>
      </c>
    </row>
    <row r="121" spans="1:14" ht="11.25" thickBot="1">
      <c r="D121" s="148" t="s">
        <v>38</v>
      </c>
      <c r="E121" s="149" t="s">
        <v>13</v>
      </c>
      <c r="F121" s="148" t="s">
        <v>38</v>
      </c>
      <c r="G121" s="148" t="s">
        <v>38</v>
      </c>
      <c r="H121" s="148" t="s">
        <v>38</v>
      </c>
      <c r="I121" s="148" t="s">
        <v>38</v>
      </c>
    </row>
    <row r="122" spans="1:14" ht="11.25" thickBot="1">
      <c r="A122" s="146" t="s">
        <v>39</v>
      </c>
      <c r="D122" s="153">
        <f>D115+D90+D76+D120-D16</f>
        <v>570340348.08000004</v>
      </c>
      <c r="E122" s="154" t="s">
        <v>13</v>
      </c>
      <c r="F122" s="153">
        <f>F115+F90+F76+F120-F16</f>
        <v>14496055.994147979</v>
      </c>
      <c r="G122" s="153">
        <f>G115+G90+G76+G120-G16</f>
        <v>13560261.501317143</v>
      </c>
      <c r="H122" s="153">
        <f>H115+H90+H76+H120-H16</f>
        <v>305451584.56999999</v>
      </c>
      <c r="I122" s="153">
        <f>I115+I90+I76+I120-I16</f>
        <v>236832446.01453489</v>
      </c>
      <c r="K122" s="152">
        <v>0</v>
      </c>
      <c r="L122" s="151" t="s">
        <v>40</v>
      </c>
      <c r="M122" s="150">
        <f>D122-SUM(F122:I122)</f>
        <v>0</v>
      </c>
    </row>
    <row r="123" spans="1:14">
      <c r="D123" s="148" t="s">
        <v>38</v>
      </c>
      <c r="E123" s="149" t="s">
        <v>13</v>
      </c>
      <c r="F123" s="148" t="s">
        <v>38</v>
      </c>
      <c r="G123" s="148" t="s">
        <v>38</v>
      </c>
      <c r="H123" s="148" t="s">
        <v>38</v>
      </c>
      <c r="I123" s="148" t="s">
        <v>38</v>
      </c>
    </row>
  </sheetData>
  <mergeCells count="1">
    <mergeCell ref="A4:C4"/>
  </mergeCells>
  <pageMargins left="0.65" right="0.72" top="1" bottom="1" header="0.5" footer="0.5"/>
  <pageSetup scale="63" orientation="portrait" r:id="rId1"/>
  <headerFooter alignWithMargins="0">
    <oddHeader>&amp;L&amp;"Arial,Regular"&amp;10WA UE-130043
Bench Request 9&amp;R&amp;"Arial,Bold"&amp;10Attachment Bench Request 9</oddHeader>
    <oddFooter>&amp;L&amp;"Arial,Regular"&amp;10&amp;F&amp;C&amp;A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S132"/>
  <sheetViews>
    <sheetView view="pageBreakPreview" zoomScale="85" zoomScaleNormal="100" zoomScaleSheetLayoutView="85" workbookViewId="0">
      <pane xSplit="3" ySplit="6" topLeftCell="D22" activePane="bottomRight" state="frozen"/>
      <selection activeCell="T91" sqref="T91"/>
      <selection pane="topRight" activeCell="T91" sqref="T91"/>
      <selection pane="bottomLeft" activeCell="T91" sqref="T91"/>
      <selection pane="bottomRight" activeCell="T91" sqref="T91"/>
    </sheetView>
  </sheetViews>
  <sheetFormatPr defaultColWidth="11" defaultRowHeight="10.5"/>
  <cols>
    <col min="1" max="1" width="3" style="146" customWidth="1"/>
    <col min="2" max="2" width="2.6640625" style="146" customWidth="1"/>
    <col min="3" max="3" width="33.1640625" style="146" customWidth="1"/>
    <col min="4" max="4" width="13.83203125" style="146" customWidth="1"/>
    <col min="5" max="5" width="2.33203125" style="146" customWidth="1"/>
    <col min="6" max="6" width="15.83203125" style="146" customWidth="1"/>
    <col min="7" max="7" width="13.33203125" style="146" bestFit="1" customWidth="1"/>
    <col min="8" max="8" width="22.5" style="146" bestFit="1" customWidth="1"/>
    <col min="9" max="9" width="13.83203125" style="146" bestFit="1" customWidth="1"/>
    <col min="10" max="10" width="11" style="146" customWidth="1"/>
    <col min="11" max="11" width="14.5" style="146" customWidth="1"/>
    <col min="12" max="12" width="11" style="146" customWidth="1"/>
    <col min="13" max="13" width="14.1640625" style="146" bestFit="1" customWidth="1"/>
    <col min="14" max="14" width="20.1640625" style="147" bestFit="1" customWidth="1"/>
    <col min="15" max="16" width="14.6640625" style="146" bestFit="1" customWidth="1"/>
    <col min="17" max="16384" width="11" style="146"/>
  </cols>
  <sheetData>
    <row r="1" spans="1:14">
      <c r="A1" s="196" t="s">
        <v>118</v>
      </c>
      <c r="D1" s="156"/>
      <c r="E1" s="193"/>
      <c r="F1" s="186" t="s">
        <v>42</v>
      </c>
    </row>
    <row r="2" spans="1:14">
      <c r="A2" s="195"/>
      <c r="D2" s="156"/>
      <c r="E2" s="193"/>
      <c r="F2" s="193" t="s">
        <v>0</v>
      </c>
    </row>
    <row r="3" spans="1:14">
      <c r="A3" s="192" t="s">
        <v>52</v>
      </c>
      <c r="D3" s="194"/>
      <c r="E3" s="194"/>
      <c r="F3" s="186" t="s">
        <v>1</v>
      </c>
    </row>
    <row r="4" spans="1:14">
      <c r="A4" s="357">
        <v>41061</v>
      </c>
      <c r="B4" s="357"/>
      <c r="C4" s="357"/>
      <c r="D4" s="194"/>
      <c r="E4" s="194"/>
      <c r="F4" s="193"/>
    </row>
    <row r="5" spans="1:14">
      <c r="B5" s="192"/>
      <c r="D5" s="155" t="s">
        <v>2</v>
      </c>
      <c r="E5" s="155"/>
      <c r="F5" s="191" t="s">
        <v>3</v>
      </c>
      <c r="G5" s="191" t="s">
        <v>3</v>
      </c>
      <c r="H5" s="191"/>
      <c r="I5" s="191"/>
    </row>
    <row r="6" spans="1:14" s="155" customFormat="1">
      <c r="A6" s="146"/>
      <c r="B6" s="146"/>
      <c r="C6" s="146"/>
      <c r="D6" s="190" t="s">
        <v>185</v>
      </c>
      <c r="E6" s="189"/>
      <c r="F6" s="188" t="s">
        <v>4</v>
      </c>
      <c r="G6" s="188" t="s">
        <v>5</v>
      </c>
      <c r="H6" s="188" t="s">
        <v>6</v>
      </c>
      <c r="I6" s="188" t="s">
        <v>7</v>
      </c>
      <c r="N6" s="187"/>
    </row>
    <row r="7" spans="1:14">
      <c r="A7" s="146" t="s">
        <v>8</v>
      </c>
      <c r="F7" s="159"/>
      <c r="G7" s="159"/>
      <c r="H7" s="159"/>
      <c r="I7" s="159"/>
    </row>
    <row r="8" spans="1:14">
      <c r="B8" s="156" t="s">
        <v>9</v>
      </c>
      <c r="D8" s="153">
        <v>12964800</v>
      </c>
      <c r="E8" s="154"/>
      <c r="F8" s="153">
        <v>12964800</v>
      </c>
      <c r="G8" s="156"/>
      <c r="H8" s="156"/>
      <c r="I8" s="156"/>
    </row>
    <row r="9" spans="1:14" hidden="1">
      <c r="B9" s="156"/>
      <c r="D9" s="154"/>
      <c r="E9" s="154"/>
      <c r="F9" s="179"/>
      <c r="G9" s="159"/>
      <c r="H9" s="159"/>
      <c r="I9" s="159"/>
    </row>
    <row r="10" spans="1:14">
      <c r="B10" s="156" t="s">
        <v>10</v>
      </c>
      <c r="D10" s="153">
        <v>205950736.88999999</v>
      </c>
      <c r="E10" s="154"/>
      <c r="F10" s="179"/>
      <c r="G10" s="159"/>
      <c r="H10" s="159"/>
      <c r="I10" s="153">
        <v>205950736.88999999</v>
      </c>
    </row>
    <row r="11" spans="1:14" hidden="1">
      <c r="B11" s="156"/>
      <c r="D11" s="154"/>
      <c r="E11" s="154"/>
      <c r="F11" s="179"/>
      <c r="G11" s="159"/>
      <c r="H11" s="159"/>
      <c r="I11" s="159"/>
    </row>
    <row r="12" spans="1:14" hidden="1">
      <c r="B12" s="156" t="s">
        <v>11</v>
      </c>
      <c r="D12" s="153">
        <v>0</v>
      </c>
      <c r="E12" s="154"/>
      <c r="F12" s="153">
        <v>0</v>
      </c>
      <c r="G12" s="159"/>
      <c r="H12" s="159"/>
      <c r="I12" s="159"/>
    </row>
    <row r="13" spans="1:14" hidden="1">
      <c r="C13" s="156"/>
      <c r="D13" s="154"/>
      <c r="E13" s="154"/>
      <c r="F13" s="159"/>
      <c r="G13" s="159"/>
      <c r="H13" s="159"/>
      <c r="I13" s="159"/>
    </row>
    <row r="14" spans="1:14" hidden="1">
      <c r="B14" s="146" t="s">
        <v>12</v>
      </c>
      <c r="C14" s="156"/>
      <c r="D14" s="153">
        <v>0</v>
      </c>
      <c r="E14" s="154"/>
      <c r="F14" s="159"/>
      <c r="G14" s="159"/>
      <c r="H14" s="153">
        <v>0</v>
      </c>
      <c r="I14" s="159"/>
    </row>
    <row r="15" spans="1:14" ht="11.25" thickBot="1">
      <c r="D15" s="155" t="s">
        <v>14</v>
      </c>
      <c r="E15" s="149" t="s">
        <v>13</v>
      </c>
      <c r="F15" s="155" t="s">
        <v>14</v>
      </c>
      <c r="G15" s="155" t="s">
        <v>14</v>
      </c>
      <c r="H15" s="155" t="s">
        <v>14</v>
      </c>
      <c r="I15" s="155" t="s">
        <v>14</v>
      </c>
    </row>
    <row r="16" spans="1:14" ht="11.25" thickBot="1">
      <c r="A16" s="146" t="s">
        <v>15</v>
      </c>
      <c r="D16" s="153">
        <v>218915536.88999999</v>
      </c>
      <c r="E16" s="154"/>
      <c r="F16" s="153">
        <v>12964800</v>
      </c>
      <c r="G16" s="153">
        <v>0</v>
      </c>
      <c r="H16" s="153">
        <v>0</v>
      </c>
      <c r="I16" s="153">
        <v>205950736.88999999</v>
      </c>
      <c r="K16" s="152">
        <v>0</v>
      </c>
      <c r="L16" s="151" t="s">
        <v>40</v>
      </c>
      <c r="M16" s="150">
        <v>0</v>
      </c>
    </row>
    <row r="17" spans="1:19">
      <c r="D17" s="154"/>
      <c r="E17" s="154"/>
      <c r="F17" s="154"/>
      <c r="G17" s="154"/>
      <c r="H17" s="154"/>
      <c r="I17" s="154"/>
      <c r="P17" s="186" t="s">
        <v>67</v>
      </c>
    </row>
    <row r="18" spans="1:19">
      <c r="D18" s="156"/>
      <c r="E18" s="159"/>
      <c r="F18" s="159"/>
      <c r="G18" s="159"/>
      <c r="H18" s="159"/>
      <c r="I18" s="159"/>
      <c r="N18" s="185"/>
      <c r="O18" s="184"/>
      <c r="P18" s="183"/>
    </row>
    <row r="19" spans="1:19" ht="11.25">
      <c r="A19" s="146" t="s">
        <v>16</v>
      </c>
      <c r="D19" s="154"/>
      <c r="E19" s="154"/>
      <c r="F19" s="182"/>
      <c r="G19" s="159"/>
      <c r="H19" s="159"/>
      <c r="I19" s="159"/>
      <c r="N19" s="164" t="s">
        <v>56</v>
      </c>
      <c r="O19" s="181">
        <v>0</v>
      </c>
      <c r="P19" s="154"/>
      <c r="Q19" s="180"/>
      <c r="R19" s="172"/>
      <c r="S19" s="154"/>
    </row>
    <row r="20" spans="1:19" ht="11.25">
      <c r="B20" s="156"/>
      <c r="C20" s="146" t="s">
        <v>17</v>
      </c>
      <c r="D20" s="153">
        <v>9602500</v>
      </c>
      <c r="E20" s="154"/>
      <c r="F20" s="153">
        <v>9602500</v>
      </c>
      <c r="G20" s="159"/>
      <c r="H20" s="159"/>
      <c r="I20" s="159"/>
      <c r="N20" s="164" t="s">
        <v>58</v>
      </c>
      <c r="O20" s="181">
        <v>1</v>
      </c>
      <c r="P20" s="154"/>
      <c r="Q20" s="180"/>
      <c r="R20" s="172"/>
      <c r="S20" s="154"/>
    </row>
    <row r="21" spans="1:19" ht="11.25" hidden="1">
      <c r="B21" s="156"/>
      <c r="C21" s="146" t="s">
        <v>18</v>
      </c>
      <c r="D21" s="153">
        <v>0</v>
      </c>
      <c r="E21" s="154"/>
      <c r="F21" s="153">
        <v>0</v>
      </c>
      <c r="G21" s="153">
        <v>0</v>
      </c>
      <c r="H21" s="159"/>
      <c r="I21" s="159"/>
      <c r="N21" s="164" t="s">
        <v>57</v>
      </c>
      <c r="O21" s="181">
        <v>0</v>
      </c>
      <c r="P21" s="154"/>
      <c r="Q21" s="180"/>
      <c r="R21" s="172"/>
      <c r="S21" s="154"/>
    </row>
    <row r="22" spans="1:19" ht="11.25">
      <c r="B22" s="156"/>
      <c r="C22" s="146" t="s">
        <v>19</v>
      </c>
      <c r="D22" s="153">
        <v>3482835.1800000006</v>
      </c>
      <c r="E22" s="154"/>
      <c r="F22" s="153">
        <v>1044850.5540000001</v>
      </c>
      <c r="G22" s="153">
        <v>2437984.6260000002</v>
      </c>
      <c r="H22" s="159"/>
      <c r="I22" s="159"/>
      <c r="N22" s="164" t="s">
        <v>59</v>
      </c>
      <c r="O22" s="181">
        <v>1</v>
      </c>
      <c r="P22" s="154"/>
      <c r="Q22" s="180"/>
      <c r="R22" s="172"/>
      <c r="S22" s="154"/>
    </row>
    <row r="23" spans="1:19">
      <c r="B23" s="156"/>
      <c r="C23" s="146" t="s">
        <v>20</v>
      </c>
      <c r="D23" s="153">
        <v>6730940.7000000002</v>
      </c>
      <c r="E23" s="154"/>
      <c r="F23" s="153">
        <v>1395746.7101859602</v>
      </c>
      <c r="G23" s="153">
        <v>5335193.9898140403</v>
      </c>
      <c r="H23" s="159"/>
      <c r="I23" s="159"/>
    </row>
    <row r="24" spans="1:19">
      <c r="B24" s="156"/>
      <c r="C24" s="146" t="s">
        <v>21</v>
      </c>
      <c r="D24" s="153">
        <v>61888677.970000006</v>
      </c>
      <c r="E24" s="154"/>
      <c r="F24" s="176">
        <v>3025959.95323127</v>
      </c>
      <c r="G24" s="176">
        <v>14742917.986768732</v>
      </c>
      <c r="H24" s="159"/>
      <c r="I24" s="176">
        <v>44119800.030000001</v>
      </c>
      <c r="K24" s="175">
        <v>0.17029549999999999</v>
      </c>
      <c r="L24" s="175">
        <v>0.82970450000000007</v>
      </c>
      <c r="N24" s="153">
        <v>29241657.860000003</v>
      </c>
      <c r="O24" s="156" t="s">
        <v>53</v>
      </c>
    </row>
    <row r="25" spans="1:19">
      <c r="B25" s="170" t="s">
        <v>65</v>
      </c>
      <c r="C25" s="149"/>
      <c r="D25" s="155" t="s">
        <v>14</v>
      </c>
      <c r="E25" s="149" t="s">
        <v>13</v>
      </c>
      <c r="F25" s="155" t="s">
        <v>14</v>
      </c>
      <c r="G25" s="155" t="s">
        <v>14</v>
      </c>
      <c r="H25" s="155" t="s">
        <v>14</v>
      </c>
      <c r="I25" s="155" t="s">
        <v>14</v>
      </c>
      <c r="K25" s="175"/>
      <c r="L25" s="175"/>
      <c r="N25" s="153">
        <v>17768877.940000001</v>
      </c>
      <c r="O25" s="156" t="s">
        <v>50</v>
      </c>
    </row>
    <row r="26" spans="1:19">
      <c r="B26" s="146" t="s">
        <v>22</v>
      </c>
      <c r="C26" s="156"/>
      <c r="D26" s="153">
        <v>81704953.850000009</v>
      </c>
      <c r="E26" s="154"/>
      <c r="F26" s="153">
        <v>15069057.217417229</v>
      </c>
      <c r="G26" s="153">
        <v>22516096.602582771</v>
      </c>
      <c r="H26" s="153">
        <v>0</v>
      </c>
      <c r="I26" s="153">
        <v>44119800.030000001</v>
      </c>
      <c r="K26" s="175"/>
      <c r="L26" s="175"/>
      <c r="N26" s="174">
        <v>14878142.17</v>
      </c>
      <c r="O26" s="156" t="s">
        <v>49</v>
      </c>
    </row>
    <row r="27" spans="1:19">
      <c r="D27" s="179"/>
      <c r="E27" s="154"/>
      <c r="F27" s="179"/>
      <c r="G27" s="179"/>
      <c r="H27" s="159"/>
      <c r="I27" s="159"/>
      <c r="K27" s="175"/>
      <c r="L27" s="175"/>
      <c r="N27" s="153">
        <v>61888677.970000006</v>
      </c>
      <c r="O27" s="156"/>
    </row>
    <row r="28" spans="1:19" ht="12.75">
      <c r="B28" s="156"/>
      <c r="C28" s="146" t="s">
        <v>41</v>
      </c>
      <c r="D28" s="153">
        <v>0</v>
      </c>
      <c r="E28" s="154"/>
      <c r="F28" s="153"/>
      <c r="G28" s="153">
        <v>0</v>
      </c>
      <c r="H28" s="159"/>
      <c r="I28" s="159"/>
      <c r="K28" s="175"/>
      <c r="L28" s="175"/>
      <c r="N28" s="178"/>
      <c r="O28" s="163"/>
    </row>
    <row r="29" spans="1:19">
      <c r="B29" s="156"/>
      <c r="C29" s="146" t="s">
        <v>23</v>
      </c>
      <c r="D29" s="153">
        <v>0</v>
      </c>
      <c r="E29" s="154"/>
      <c r="F29" s="153"/>
      <c r="G29" s="153">
        <v>0</v>
      </c>
      <c r="H29" s="159"/>
      <c r="I29" s="159"/>
      <c r="K29" s="175"/>
      <c r="L29" s="175"/>
      <c r="M29" s="177"/>
      <c r="N29" s="153">
        <v>0</v>
      </c>
      <c r="O29" s="156" t="s">
        <v>54</v>
      </c>
    </row>
    <row r="30" spans="1:19">
      <c r="B30" s="156"/>
      <c r="C30" s="146" t="s">
        <v>24</v>
      </c>
      <c r="D30" s="153">
        <v>0</v>
      </c>
      <c r="E30" s="154"/>
      <c r="F30" s="176">
        <v>0</v>
      </c>
      <c r="G30" s="176">
        <v>0</v>
      </c>
      <c r="H30" s="159"/>
      <c r="I30" s="176">
        <v>0</v>
      </c>
      <c r="K30" s="175">
        <v>0.7</v>
      </c>
      <c r="L30" s="175">
        <v>0.30000000000000004</v>
      </c>
      <c r="N30" s="153">
        <v>0</v>
      </c>
      <c r="O30" s="156" t="s">
        <v>51</v>
      </c>
    </row>
    <row r="31" spans="1:19">
      <c r="B31" s="156"/>
      <c r="C31" s="146" t="s">
        <v>25</v>
      </c>
      <c r="D31" s="153">
        <v>0</v>
      </c>
      <c r="E31" s="154"/>
      <c r="F31" s="153">
        <v>0</v>
      </c>
      <c r="G31" s="153">
        <v>0</v>
      </c>
      <c r="H31" s="159"/>
      <c r="I31" s="159"/>
      <c r="N31" s="174">
        <v>0</v>
      </c>
      <c r="O31" s="156" t="s">
        <v>48</v>
      </c>
    </row>
    <row r="32" spans="1:19">
      <c r="B32" s="156"/>
      <c r="C32" s="146" t="s">
        <v>26</v>
      </c>
      <c r="D32" s="153">
        <v>0</v>
      </c>
      <c r="E32" s="154"/>
      <c r="F32" s="153">
        <v>0</v>
      </c>
      <c r="G32" s="153">
        <v>0</v>
      </c>
      <c r="H32" s="159"/>
      <c r="I32" s="159"/>
      <c r="N32" s="173">
        <v>0</v>
      </c>
      <c r="O32" s="156"/>
    </row>
    <row r="33" spans="2:18">
      <c r="B33" s="170" t="s">
        <v>65</v>
      </c>
      <c r="C33" s="149"/>
      <c r="D33" s="155" t="s">
        <v>14</v>
      </c>
      <c r="E33" s="149" t="s">
        <v>13</v>
      </c>
      <c r="F33" s="155" t="s">
        <v>14</v>
      </c>
      <c r="G33" s="155" t="s">
        <v>14</v>
      </c>
      <c r="H33" s="155" t="s">
        <v>14</v>
      </c>
      <c r="I33" s="155" t="s">
        <v>14</v>
      </c>
      <c r="R33" s="172"/>
    </row>
    <row r="34" spans="2:18">
      <c r="B34" s="146" t="s">
        <v>27</v>
      </c>
      <c r="C34" s="156"/>
      <c r="D34" s="153">
        <v>0</v>
      </c>
      <c r="E34" s="154"/>
      <c r="F34" s="153">
        <v>0</v>
      </c>
      <c r="G34" s="153">
        <v>0</v>
      </c>
      <c r="H34" s="153">
        <v>0</v>
      </c>
      <c r="I34" s="153">
        <v>0</v>
      </c>
    </row>
    <row r="35" spans="2:18">
      <c r="D35" s="154"/>
      <c r="E35" s="154"/>
      <c r="F35" s="159"/>
      <c r="G35" s="159"/>
      <c r="H35" s="159"/>
      <c r="I35" s="159"/>
    </row>
    <row r="36" spans="2:18">
      <c r="B36" s="156"/>
      <c r="C36" s="146" t="s">
        <v>68</v>
      </c>
      <c r="D36" s="153">
        <v>0</v>
      </c>
      <c r="E36" s="154"/>
      <c r="F36" s="159"/>
      <c r="G36" s="159"/>
      <c r="H36" s="159"/>
      <c r="I36" s="153">
        <v>0</v>
      </c>
      <c r="K36" s="146" t="s">
        <v>10</v>
      </c>
    </row>
    <row r="37" spans="2:18">
      <c r="B37" s="156"/>
      <c r="C37" s="146" t="s">
        <v>55</v>
      </c>
      <c r="D37" s="153">
        <v>0</v>
      </c>
      <c r="E37" s="154"/>
      <c r="F37" s="159"/>
      <c r="G37" s="159"/>
      <c r="H37" s="159"/>
      <c r="I37" s="153">
        <v>0</v>
      </c>
      <c r="K37" s="146" t="s">
        <v>10</v>
      </c>
    </row>
    <row r="38" spans="2:18">
      <c r="B38" s="156"/>
      <c r="C38" s="146" t="s">
        <v>69</v>
      </c>
      <c r="D38" s="153">
        <v>0</v>
      </c>
      <c r="E38" s="154"/>
      <c r="F38" s="159"/>
      <c r="G38" s="159"/>
      <c r="H38" s="159"/>
      <c r="I38" s="153">
        <v>0</v>
      </c>
      <c r="K38" s="146" t="s">
        <v>10</v>
      </c>
    </row>
    <row r="39" spans="2:18">
      <c r="B39" s="156"/>
      <c r="C39" s="146" t="s">
        <v>88</v>
      </c>
      <c r="D39" s="153">
        <v>244080</v>
      </c>
      <c r="E39" s="154"/>
      <c r="F39" s="159"/>
      <c r="G39" s="159"/>
      <c r="H39" s="159"/>
      <c r="I39" s="153">
        <v>244080</v>
      </c>
      <c r="K39" s="146" t="s">
        <v>10</v>
      </c>
    </row>
    <row r="40" spans="2:18">
      <c r="B40" s="156"/>
      <c r="C40" s="146" t="s">
        <v>70</v>
      </c>
      <c r="D40" s="153">
        <v>0</v>
      </c>
      <c r="E40" s="154"/>
      <c r="F40" s="159"/>
      <c r="G40" s="159"/>
      <c r="H40" s="159"/>
      <c r="I40" s="153">
        <v>0</v>
      </c>
      <c r="K40" s="146" t="s">
        <v>10</v>
      </c>
    </row>
    <row r="41" spans="2:18">
      <c r="B41" s="156"/>
      <c r="C41" s="146" t="s">
        <v>71</v>
      </c>
      <c r="D41" s="153">
        <v>4738669.24</v>
      </c>
      <c r="E41" s="154"/>
      <c r="F41" s="159"/>
      <c r="G41" s="159"/>
      <c r="H41" s="159"/>
      <c r="I41" s="153">
        <v>4738669.24</v>
      </c>
      <c r="K41" s="146" t="s">
        <v>10</v>
      </c>
    </row>
    <row r="42" spans="2:18" hidden="1">
      <c r="B42" s="156"/>
      <c r="C42" s="146" t="s">
        <v>184</v>
      </c>
      <c r="D42" s="153">
        <v>0</v>
      </c>
      <c r="E42" s="154"/>
      <c r="F42" s="159"/>
      <c r="G42" s="159"/>
      <c r="H42" s="159"/>
      <c r="I42" s="153">
        <v>0</v>
      </c>
      <c r="K42" s="146" t="s">
        <v>10</v>
      </c>
    </row>
    <row r="43" spans="2:18" hidden="1">
      <c r="B43" s="156"/>
      <c r="C43" s="146" t="s">
        <v>183</v>
      </c>
      <c r="D43" s="153">
        <v>0</v>
      </c>
      <c r="E43" s="154"/>
      <c r="F43" s="159"/>
      <c r="G43" s="159"/>
      <c r="H43" s="159"/>
      <c r="I43" s="153">
        <v>0</v>
      </c>
      <c r="K43" s="146" t="s">
        <v>10</v>
      </c>
    </row>
    <row r="44" spans="2:18" hidden="1">
      <c r="B44" s="156"/>
      <c r="C44" s="146" t="s">
        <v>182</v>
      </c>
      <c r="D44" s="153">
        <v>0</v>
      </c>
      <c r="E44" s="154"/>
      <c r="F44" s="159"/>
      <c r="G44" s="159"/>
      <c r="H44" s="159"/>
      <c r="I44" s="153">
        <v>0</v>
      </c>
      <c r="K44" s="146" t="s">
        <v>10</v>
      </c>
    </row>
    <row r="45" spans="2:18" hidden="1">
      <c r="B45" s="156"/>
      <c r="C45" s="146" t="s">
        <v>72</v>
      </c>
      <c r="D45" s="153">
        <v>0</v>
      </c>
      <c r="E45" s="154"/>
      <c r="F45" s="159"/>
      <c r="G45" s="159"/>
      <c r="H45" s="159"/>
      <c r="I45" s="153">
        <v>0</v>
      </c>
      <c r="K45" s="146" t="s">
        <v>10</v>
      </c>
    </row>
    <row r="46" spans="2:18">
      <c r="B46" s="156"/>
      <c r="C46" s="146" t="s">
        <v>46</v>
      </c>
      <c r="D46" s="153">
        <v>6699772.9199999999</v>
      </c>
      <c r="E46" s="154"/>
      <c r="F46" s="159"/>
      <c r="G46" s="159"/>
      <c r="H46" s="159"/>
      <c r="I46" s="153">
        <v>6699772.9199999999</v>
      </c>
      <c r="K46" s="146" t="s">
        <v>10</v>
      </c>
    </row>
    <row r="47" spans="2:18">
      <c r="B47" s="156"/>
      <c r="C47" s="146" t="s">
        <v>73</v>
      </c>
      <c r="D47" s="153">
        <v>91267996</v>
      </c>
      <c r="E47" s="154"/>
      <c r="F47" s="159"/>
      <c r="G47" s="159"/>
      <c r="H47" s="159"/>
      <c r="I47" s="153">
        <v>91267996</v>
      </c>
      <c r="K47" s="146" t="s">
        <v>10</v>
      </c>
    </row>
    <row r="48" spans="2:18" hidden="1">
      <c r="B48" s="156"/>
      <c r="C48" s="146" t="s">
        <v>74</v>
      </c>
      <c r="D48" s="153">
        <v>0</v>
      </c>
      <c r="E48" s="154"/>
      <c r="F48" s="159"/>
      <c r="G48" s="159"/>
      <c r="H48" s="159"/>
      <c r="I48" s="153">
        <v>0</v>
      </c>
      <c r="K48" s="146" t="s">
        <v>10</v>
      </c>
    </row>
    <row r="49" spans="2:11" hidden="1">
      <c r="B49" s="156"/>
      <c r="C49" s="146" t="s">
        <v>75</v>
      </c>
      <c r="D49" s="153">
        <v>0</v>
      </c>
      <c r="E49" s="154"/>
      <c r="F49" s="159"/>
      <c r="G49" s="159"/>
      <c r="H49" s="159"/>
      <c r="I49" s="153">
        <v>0</v>
      </c>
      <c r="K49" s="146" t="s">
        <v>10</v>
      </c>
    </row>
    <row r="50" spans="2:11" hidden="1">
      <c r="B50" s="156"/>
      <c r="C50" s="146" t="s">
        <v>45</v>
      </c>
      <c r="D50" s="153">
        <v>0</v>
      </c>
      <c r="E50" s="154"/>
      <c r="F50" s="159"/>
      <c r="G50" s="159"/>
      <c r="H50" s="159"/>
      <c r="I50" s="153">
        <v>0</v>
      </c>
      <c r="K50" s="146" t="s">
        <v>10</v>
      </c>
    </row>
    <row r="51" spans="2:11" hidden="1">
      <c r="B51" s="156"/>
      <c r="C51" s="171" t="s">
        <v>76</v>
      </c>
      <c r="D51" s="153">
        <v>0</v>
      </c>
      <c r="E51" s="154"/>
      <c r="F51" s="159"/>
      <c r="G51" s="159"/>
      <c r="H51" s="159"/>
      <c r="I51" s="153">
        <v>0</v>
      </c>
      <c r="K51" s="146" t="s">
        <v>10</v>
      </c>
    </row>
    <row r="52" spans="2:11" hidden="1">
      <c r="B52" s="156"/>
      <c r="C52" s="146" t="s">
        <v>77</v>
      </c>
      <c r="D52" s="153">
        <v>0</v>
      </c>
      <c r="E52" s="154"/>
      <c r="F52" s="159"/>
      <c r="G52" s="159"/>
      <c r="H52" s="159"/>
      <c r="I52" s="153">
        <v>0</v>
      </c>
      <c r="K52" s="146" t="s">
        <v>10</v>
      </c>
    </row>
    <row r="53" spans="2:11" hidden="1">
      <c r="B53" s="156"/>
      <c r="C53" s="146" t="s">
        <v>78</v>
      </c>
      <c r="D53" s="153">
        <v>0</v>
      </c>
      <c r="E53" s="154"/>
      <c r="F53" s="159"/>
      <c r="G53" s="159"/>
      <c r="H53" s="159"/>
      <c r="I53" s="153">
        <v>0</v>
      </c>
      <c r="K53" s="146" t="s">
        <v>10</v>
      </c>
    </row>
    <row r="54" spans="2:11">
      <c r="B54" s="156"/>
      <c r="C54" s="146" t="s">
        <v>181</v>
      </c>
      <c r="D54" s="153">
        <v>0</v>
      </c>
      <c r="E54" s="154"/>
      <c r="F54" s="159"/>
      <c r="G54" s="159"/>
      <c r="H54" s="159"/>
      <c r="I54" s="153">
        <v>0</v>
      </c>
      <c r="K54" s="146" t="s">
        <v>10</v>
      </c>
    </row>
    <row r="55" spans="2:11" hidden="1">
      <c r="B55" s="156"/>
      <c r="C55" s="146" t="s">
        <v>180</v>
      </c>
      <c r="D55" s="153">
        <v>0</v>
      </c>
      <c r="E55" s="154"/>
      <c r="F55" s="159"/>
      <c r="G55" s="159"/>
      <c r="H55" s="159"/>
      <c r="I55" s="153">
        <v>0</v>
      </c>
      <c r="K55" s="146" t="s">
        <v>10</v>
      </c>
    </row>
    <row r="56" spans="2:11" hidden="1">
      <c r="B56" s="156"/>
      <c r="C56" s="146" t="s">
        <v>179</v>
      </c>
      <c r="D56" s="153">
        <v>0</v>
      </c>
      <c r="E56" s="154"/>
      <c r="F56" s="159"/>
      <c r="G56" s="159"/>
      <c r="H56" s="159"/>
      <c r="I56" s="153">
        <v>0</v>
      </c>
      <c r="K56" s="146" t="s">
        <v>10</v>
      </c>
    </row>
    <row r="57" spans="2:11" hidden="1">
      <c r="B57" s="156"/>
      <c r="C57" s="146" t="s">
        <v>178</v>
      </c>
      <c r="D57" s="153">
        <v>0</v>
      </c>
      <c r="E57" s="154"/>
      <c r="F57" s="159"/>
      <c r="G57" s="159"/>
      <c r="H57" s="159"/>
      <c r="I57" s="153">
        <v>0</v>
      </c>
      <c r="K57" s="146" t="s">
        <v>10</v>
      </c>
    </row>
    <row r="58" spans="2:11" hidden="1">
      <c r="B58" s="156"/>
      <c r="C58" s="146" t="s">
        <v>79</v>
      </c>
      <c r="D58" s="153">
        <v>0</v>
      </c>
      <c r="E58" s="154"/>
      <c r="F58" s="159"/>
      <c r="G58" s="159"/>
      <c r="H58" s="159"/>
      <c r="I58" s="153">
        <v>0</v>
      </c>
      <c r="K58" s="146" t="s">
        <v>10</v>
      </c>
    </row>
    <row r="59" spans="2:11" hidden="1">
      <c r="B59" s="156"/>
      <c r="C59" s="146" t="s">
        <v>80</v>
      </c>
      <c r="D59" s="153">
        <v>0</v>
      </c>
      <c r="E59" s="154"/>
      <c r="F59" s="159"/>
      <c r="G59" s="159"/>
      <c r="H59" s="159"/>
      <c r="I59" s="153">
        <v>0</v>
      </c>
      <c r="K59" s="146" t="s">
        <v>10</v>
      </c>
    </row>
    <row r="60" spans="2:11" hidden="1">
      <c r="B60" s="156"/>
      <c r="C60" s="146" t="s">
        <v>81</v>
      </c>
      <c r="D60" s="153">
        <v>0</v>
      </c>
      <c r="E60" s="154"/>
      <c r="F60" s="159"/>
      <c r="G60" s="159"/>
      <c r="H60" s="159"/>
      <c r="I60" s="153">
        <v>0</v>
      </c>
      <c r="K60" s="146" t="s">
        <v>10</v>
      </c>
    </row>
    <row r="61" spans="2:11">
      <c r="B61" s="156"/>
      <c r="C61" s="146" t="s">
        <v>82</v>
      </c>
      <c r="D61" s="153">
        <v>859106.6</v>
      </c>
      <c r="E61" s="154"/>
      <c r="F61" s="159"/>
      <c r="G61" s="159"/>
      <c r="H61" s="159"/>
      <c r="I61" s="153">
        <v>859106.6</v>
      </c>
      <c r="K61" s="146" t="s">
        <v>10</v>
      </c>
    </row>
    <row r="62" spans="2:11" hidden="1">
      <c r="B62" s="156"/>
      <c r="C62" s="147" t="s">
        <v>83</v>
      </c>
      <c r="D62" s="153">
        <v>0</v>
      </c>
      <c r="E62" s="154"/>
      <c r="F62" s="159"/>
      <c r="G62" s="159"/>
      <c r="H62" s="159"/>
      <c r="I62" s="153">
        <v>0</v>
      </c>
      <c r="K62" s="146" t="s">
        <v>10</v>
      </c>
    </row>
    <row r="63" spans="2:11" hidden="1">
      <c r="B63" s="156"/>
      <c r="C63" s="147" t="s">
        <v>177</v>
      </c>
      <c r="D63" s="153">
        <v>0</v>
      </c>
      <c r="E63" s="154"/>
      <c r="F63" s="159"/>
      <c r="G63" s="159"/>
      <c r="H63" s="159"/>
      <c r="I63" s="153">
        <v>0</v>
      </c>
      <c r="K63" s="146" t="s">
        <v>10</v>
      </c>
    </row>
    <row r="64" spans="2:11" hidden="1">
      <c r="B64" s="156"/>
      <c r="C64" s="146" t="s">
        <v>84</v>
      </c>
      <c r="D64" s="153">
        <v>0</v>
      </c>
      <c r="E64" s="154"/>
      <c r="F64" s="159"/>
      <c r="G64" s="159"/>
      <c r="H64" s="159"/>
      <c r="I64" s="153">
        <v>0</v>
      </c>
      <c r="K64" s="146" t="s">
        <v>10</v>
      </c>
    </row>
    <row r="65" spans="2:13" hidden="1">
      <c r="B65" s="156"/>
      <c r="C65" s="146" t="s">
        <v>176</v>
      </c>
      <c r="D65" s="153">
        <v>0</v>
      </c>
      <c r="E65" s="154"/>
      <c r="F65" s="159"/>
      <c r="G65" s="159"/>
      <c r="H65" s="159"/>
      <c r="I65" s="153">
        <v>0</v>
      </c>
      <c r="K65" s="146" t="s">
        <v>10</v>
      </c>
    </row>
    <row r="66" spans="2:13" hidden="1">
      <c r="B66" s="156"/>
      <c r="C66" s="146" t="s">
        <v>85</v>
      </c>
      <c r="D66" s="153">
        <v>0</v>
      </c>
      <c r="E66" s="154"/>
      <c r="F66" s="159"/>
      <c r="G66" s="159"/>
      <c r="H66" s="159"/>
      <c r="I66" s="153">
        <v>0</v>
      </c>
      <c r="K66" s="146" t="s">
        <v>10</v>
      </c>
    </row>
    <row r="67" spans="2:13" hidden="1">
      <c r="B67" s="156"/>
      <c r="C67" s="146" t="s">
        <v>175</v>
      </c>
      <c r="D67" s="153">
        <v>0</v>
      </c>
      <c r="E67" s="154"/>
      <c r="F67" s="159"/>
      <c r="G67" s="159"/>
      <c r="H67" s="159"/>
      <c r="I67" s="153">
        <v>0</v>
      </c>
      <c r="K67" s="146" t="s">
        <v>10</v>
      </c>
      <c r="L67" s="146" t="s">
        <v>13</v>
      </c>
    </row>
    <row r="68" spans="2:13" hidden="1">
      <c r="B68" s="156"/>
      <c r="C68" s="146" t="s">
        <v>86</v>
      </c>
      <c r="D68" s="153">
        <v>0</v>
      </c>
      <c r="E68" s="154"/>
      <c r="F68" s="159"/>
      <c r="G68" s="159"/>
      <c r="H68" s="159"/>
      <c r="I68" s="153">
        <v>0</v>
      </c>
      <c r="K68" s="146" t="s">
        <v>10</v>
      </c>
    </row>
    <row r="69" spans="2:13" hidden="1">
      <c r="B69" s="156"/>
      <c r="C69" s="146" t="s">
        <v>174</v>
      </c>
      <c r="D69" s="153">
        <v>0</v>
      </c>
      <c r="E69" s="154"/>
      <c r="F69" s="159"/>
      <c r="G69" s="159"/>
      <c r="H69" s="159"/>
      <c r="I69" s="153">
        <v>0</v>
      </c>
      <c r="K69" s="146" t="s">
        <v>10</v>
      </c>
    </row>
    <row r="70" spans="2:13" hidden="1">
      <c r="B70" s="156"/>
      <c r="C70" s="147" t="s">
        <v>87</v>
      </c>
      <c r="D70" s="153">
        <v>0</v>
      </c>
      <c r="E70" s="154"/>
      <c r="F70" s="159"/>
      <c r="G70" s="159"/>
      <c r="H70" s="159"/>
      <c r="I70" s="153">
        <v>0</v>
      </c>
      <c r="K70" s="146" t="s">
        <v>10</v>
      </c>
    </row>
    <row r="71" spans="2:13">
      <c r="B71" s="156"/>
      <c r="C71" s="147" t="s">
        <v>90</v>
      </c>
      <c r="D71" s="153">
        <v>12121.15</v>
      </c>
      <c r="E71" s="154"/>
      <c r="F71" s="159"/>
      <c r="G71" s="159"/>
      <c r="H71" s="159"/>
      <c r="I71" s="153">
        <v>12121.15</v>
      </c>
      <c r="K71" s="146" t="s">
        <v>10</v>
      </c>
    </row>
    <row r="72" spans="2:13" ht="11.25" thickBot="1">
      <c r="B72" s="156"/>
      <c r="C72" s="147" t="s">
        <v>173</v>
      </c>
      <c r="D72" s="153">
        <v>0</v>
      </c>
      <c r="E72" s="154"/>
      <c r="F72" s="159"/>
      <c r="G72" s="159"/>
      <c r="H72" s="159"/>
      <c r="I72" s="153">
        <v>0</v>
      </c>
      <c r="K72" s="146" t="s">
        <v>10</v>
      </c>
    </row>
    <row r="73" spans="2:13" ht="11.25" hidden="1" thickBot="1">
      <c r="B73" s="156"/>
      <c r="C73" s="147"/>
      <c r="D73" s="153"/>
      <c r="E73" s="154"/>
      <c r="F73" s="159"/>
      <c r="G73" s="159"/>
      <c r="H73" s="159"/>
      <c r="I73" s="153"/>
    </row>
    <row r="74" spans="2:13" ht="11.25" hidden="1" thickBot="1">
      <c r="B74" s="171" t="s">
        <v>64</v>
      </c>
      <c r="C74" s="147"/>
      <c r="D74" s="153"/>
      <c r="E74" s="154"/>
      <c r="F74" s="159"/>
      <c r="G74" s="159"/>
      <c r="H74" s="159"/>
      <c r="I74" s="153"/>
    </row>
    <row r="75" spans="2:13" ht="11.25" hidden="1" thickBot="1">
      <c r="B75" s="156"/>
      <c r="C75" s="146" t="s">
        <v>172</v>
      </c>
      <c r="D75" s="153">
        <v>0</v>
      </c>
      <c r="E75" s="154"/>
      <c r="F75" s="159"/>
      <c r="G75" s="159"/>
      <c r="H75" s="159"/>
      <c r="I75" s="153">
        <v>0</v>
      </c>
      <c r="K75" s="146" t="s">
        <v>10</v>
      </c>
    </row>
    <row r="76" spans="2:13" ht="11.25" hidden="1" thickBot="1">
      <c r="B76" s="156"/>
      <c r="C76" s="146" t="s">
        <v>171</v>
      </c>
      <c r="D76" s="153">
        <v>0</v>
      </c>
      <c r="E76" s="154"/>
      <c r="F76" s="159"/>
      <c r="G76" s="159"/>
      <c r="H76" s="159"/>
      <c r="I76" s="153">
        <v>0</v>
      </c>
      <c r="K76" s="146" t="s">
        <v>10</v>
      </c>
    </row>
    <row r="77" spans="2:13" ht="11.25" hidden="1" thickBot="1">
      <c r="B77" s="156"/>
      <c r="C77" s="146" t="s">
        <v>170</v>
      </c>
      <c r="D77" s="153">
        <v>0</v>
      </c>
      <c r="E77" s="154"/>
      <c r="F77" s="159"/>
      <c r="G77" s="159"/>
      <c r="H77" s="159"/>
      <c r="I77" s="153">
        <v>0</v>
      </c>
      <c r="K77" s="146" t="s">
        <v>10</v>
      </c>
    </row>
    <row r="78" spans="2:13" ht="11.25" hidden="1" thickBot="1">
      <c r="B78" s="156"/>
      <c r="C78" s="146" t="s">
        <v>169</v>
      </c>
      <c r="D78" s="153">
        <v>0</v>
      </c>
      <c r="E78" s="154"/>
      <c r="F78" s="159"/>
      <c r="G78" s="159"/>
      <c r="H78" s="159"/>
      <c r="I78" s="153">
        <v>0</v>
      </c>
      <c r="K78" s="146" t="s">
        <v>10</v>
      </c>
    </row>
    <row r="79" spans="2:13" ht="11.25" thickBot="1">
      <c r="B79" s="156"/>
      <c r="D79" s="154"/>
      <c r="E79" s="154"/>
      <c r="F79" s="159"/>
      <c r="G79" s="159"/>
      <c r="H79" s="159"/>
      <c r="I79" s="159"/>
      <c r="K79" s="152">
        <v>0</v>
      </c>
      <c r="L79" s="151" t="s">
        <v>40</v>
      </c>
      <c r="M79" s="150">
        <v>0</v>
      </c>
    </row>
    <row r="80" spans="2:13">
      <c r="B80" s="156"/>
      <c r="C80" s="156" t="s">
        <v>115</v>
      </c>
      <c r="D80" s="153">
        <v>217860096.60000002</v>
      </c>
      <c r="E80" s="154"/>
      <c r="F80" s="159"/>
      <c r="G80" s="159"/>
      <c r="H80" s="159"/>
      <c r="I80" s="153">
        <v>217860096.60000002</v>
      </c>
    </row>
    <row r="81" spans="1:16" ht="11.25" thickBot="1">
      <c r="B81" s="170" t="s">
        <v>65</v>
      </c>
      <c r="C81" s="149"/>
      <c r="D81" s="155" t="s">
        <v>14</v>
      </c>
      <c r="E81" s="149" t="s">
        <v>13</v>
      </c>
      <c r="F81" s="155" t="s">
        <v>14</v>
      </c>
      <c r="G81" s="155" t="s">
        <v>14</v>
      </c>
      <c r="H81" s="155" t="s">
        <v>14</v>
      </c>
      <c r="I81" s="155" t="s">
        <v>14</v>
      </c>
    </row>
    <row r="82" spans="1:16" ht="11.25" thickBot="1">
      <c r="B82" s="146" t="s">
        <v>28</v>
      </c>
      <c r="C82" s="156"/>
      <c r="D82" s="153">
        <v>321681842.50999999</v>
      </c>
      <c r="E82" s="154"/>
      <c r="F82" s="153">
        <v>0</v>
      </c>
      <c r="G82" s="153">
        <v>0</v>
      </c>
      <c r="H82" s="153">
        <v>0</v>
      </c>
      <c r="I82" s="153">
        <v>321681842.50999999</v>
      </c>
      <c r="K82" s="152"/>
      <c r="L82" s="151" t="s">
        <v>40</v>
      </c>
      <c r="M82" s="150">
        <v>0</v>
      </c>
    </row>
    <row r="83" spans="1:16" hidden="1">
      <c r="B83" s="146" t="s">
        <v>168</v>
      </c>
      <c r="D83" s="153">
        <v>0</v>
      </c>
      <c r="E83" s="154"/>
      <c r="F83" s="149"/>
      <c r="H83" s="153">
        <v>0</v>
      </c>
      <c r="I83" s="157"/>
      <c r="J83" s="156"/>
      <c r="K83" s="156"/>
      <c r="L83" s="156"/>
      <c r="M83" s="156"/>
    </row>
    <row r="84" spans="1:16" hidden="1">
      <c r="B84" s="146" t="s">
        <v>29</v>
      </c>
      <c r="C84" s="156"/>
      <c r="D84" s="153">
        <v>0</v>
      </c>
      <c r="E84" s="154"/>
      <c r="F84" s="153"/>
      <c r="G84" s="153"/>
      <c r="H84" s="153">
        <v>0</v>
      </c>
      <c r="I84" s="159"/>
    </row>
    <row r="85" spans="1:16" ht="11.25" thickBot="1">
      <c r="D85" s="155" t="s">
        <v>14</v>
      </c>
      <c r="E85" s="149" t="s">
        <v>13</v>
      </c>
      <c r="F85" s="155" t="s">
        <v>14</v>
      </c>
      <c r="G85" s="155" t="s">
        <v>14</v>
      </c>
      <c r="H85" s="155" t="s">
        <v>14</v>
      </c>
      <c r="I85" s="155" t="s">
        <v>14</v>
      </c>
    </row>
    <row r="86" spans="1:16" ht="11.25" thickBot="1">
      <c r="A86" s="146" t="s">
        <v>30</v>
      </c>
      <c r="D86" s="153">
        <v>403386796.36000001</v>
      </c>
      <c r="E86" s="154"/>
      <c r="F86" s="153">
        <v>15069057.217417229</v>
      </c>
      <c r="G86" s="153">
        <v>22516096.602582771</v>
      </c>
      <c r="H86" s="153">
        <v>0</v>
      </c>
      <c r="I86" s="153">
        <v>365801642.54000002</v>
      </c>
      <c r="K86" s="152">
        <v>0</v>
      </c>
      <c r="L86" s="151" t="s">
        <v>40</v>
      </c>
      <c r="M86" s="150">
        <v>0</v>
      </c>
    </row>
    <row r="87" spans="1:16">
      <c r="D87" s="154"/>
      <c r="E87" s="154"/>
      <c r="F87" s="154"/>
      <c r="G87" s="154"/>
      <c r="H87" s="154"/>
      <c r="I87" s="154"/>
    </row>
    <row r="88" spans="1:16">
      <c r="D88" s="154"/>
      <c r="E88" s="154"/>
      <c r="F88" s="154"/>
      <c r="G88" s="154"/>
      <c r="H88" s="154"/>
      <c r="I88" s="154"/>
    </row>
    <row r="89" spans="1:16" ht="11.25">
      <c r="A89" s="146" t="s">
        <v>31</v>
      </c>
      <c r="F89" s="159"/>
      <c r="G89" s="159"/>
      <c r="H89" s="159"/>
      <c r="I89" s="159"/>
      <c r="N89" s="164" t="s">
        <v>60</v>
      </c>
      <c r="O89" s="163">
        <v>22190023.084799994</v>
      </c>
      <c r="P89" s="153"/>
    </row>
    <row r="90" spans="1:16" ht="11.25" hidden="1">
      <c r="F90" s="159"/>
      <c r="G90" s="159"/>
      <c r="H90" s="159"/>
      <c r="I90" s="159"/>
      <c r="N90" s="164" t="s">
        <v>61</v>
      </c>
      <c r="O90" s="169">
        <v>0</v>
      </c>
      <c r="P90" s="153"/>
    </row>
    <row r="91" spans="1:16" s="156" customFormat="1" ht="11.25">
      <c r="A91" s="146"/>
      <c r="B91" s="146" t="s">
        <v>32</v>
      </c>
      <c r="D91" s="153">
        <v>22190023.084799994</v>
      </c>
      <c r="E91" s="154"/>
      <c r="F91" s="153">
        <v>22190023.084799994</v>
      </c>
      <c r="G91" s="159"/>
      <c r="H91" s="159"/>
      <c r="I91" s="159"/>
      <c r="J91" s="146"/>
      <c r="K91" s="168"/>
      <c r="L91" s="146"/>
      <c r="M91" s="146"/>
      <c r="N91" s="164" t="s">
        <v>62</v>
      </c>
      <c r="O91" s="163">
        <v>82005091.189999998</v>
      </c>
      <c r="P91" s="167"/>
    </row>
    <row r="92" spans="1:16" ht="11.25" hidden="1">
      <c r="A92" s="156"/>
      <c r="B92" s="156"/>
      <c r="C92" s="156"/>
      <c r="D92" s="156"/>
      <c r="E92" s="156"/>
      <c r="F92" s="156"/>
      <c r="G92" s="156"/>
      <c r="H92" s="156"/>
      <c r="I92" s="156"/>
      <c r="J92" s="156"/>
      <c r="K92" s="166"/>
      <c r="L92" s="156"/>
      <c r="M92" s="156"/>
      <c r="N92" s="165"/>
      <c r="O92" s="163"/>
      <c r="P92" s="153"/>
    </row>
    <row r="93" spans="1:16" ht="12" thickBot="1">
      <c r="B93" s="146" t="s">
        <v>33</v>
      </c>
      <c r="C93" s="156"/>
      <c r="D93" s="153">
        <v>0</v>
      </c>
      <c r="E93" s="154"/>
      <c r="F93" s="153">
        <v>0</v>
      </c>
      <c r="G93" s="159"/>
      <c r="H93" s="159"/>
      <c r="I93" s="159"/>
      <c r="N93" s="164" t="s">
        <v>63</v>
      </c>
      <c r="O93" s="163">
        <v>1134518.2</v>
      </c>
      <c r="P93" s="153"/>
    </row>
    <row r="94" spans="1:16" ht="11.25" hidden="1" thickBot="1">
      <c r="C94" s="156"/>
      <c r="D94" s="154"/>
      <c r="E94" s="154"/>
      <c r="F94" s="159"/>
      <c r="G94" s="159"/>
      <c r="H94" s="159"/>
      <c r="I94" s="159"/>
      <c r="O94" s="163"/>
      <c r="P94" s="153"/>
    </row>
    <row r="95" spans="1:16" ht="11.25" thickBot="1">
      <c r="B95" s="146" t="s">
        <v>10</v>
      </c>
      <c r="C95" s="156"/>
      <c r="D95" s="153">
        <v>83139608.91520001</v>
      </c>
      <c r="E95" s="154"/>
      <c r="F95" s="162"/>
      <c r="G95" s="159"/>
      <c r="H95" s="159"/>
      <c r="I95" s="153">
        <v>83139608.91520001</v>
      </c>
      <c r="N95" s="161" t="s">
        <v>40</v>
      </c>
      <c r="O95" s="150">
        <v>0.4747999906539917</v>
      </c>
      <c r="P95" s="160"/>
    </row>
    <row r="96" spans="1:16" hidden="1">
      <c r="F96" s="159"/>
      <c r="G96" s="159"/>
      <c r="H96" s="159"/>
      <c r="I96" s="159"/>
    </row>
    <row r="97" spans="1:14" s="156" customFormat="1" hidden="1">
      <c r="A97" s="146"/>
      <c r="B97" s="156" t="s">
        <v>34</v>
      </c>
      <c r="C97" s="146"/>
      <c r="D97" s="153">
        <v>0</v>
      </c>
      <c r="E97" s="154"/>
      <c r="F97" s="159"/>
      <c r="H97" s="153">
        <v>0</v>
      </c>
      <c r="I97" s="159"/>
      <c r="J97" s="146"/>
      <c r="K97" s="146"/>
      <c r="L97" s="146"/>
      <c r="M97" s="146"/>
      <c r="N97" s="147"/>
    </row>
    <row r="98" spans="1:14" hidden="1">
      <c r="A98" s="156"/>
      <c r="B98" s="156"/>
      <c r="C98" s="156"/>
      <c r="D98" s="156"/>
      <c r="E98" s="156"/>
      <c r="F98" s="156"/>
      <c r="G98" s="156"/>
      <c r="H98" s="156"/>
      <c r="I98" s="156"/>
      <c r="J98" s="156"/>
      <c r="K98" s="156"/>
      <c r="L98" s="156"/>
      <c r="M98" s="156"/>
    </row>
    <row r="99" spans="1:14" ht="11.25" thickBot="1">
      <c r="D99" s="155" t="s">
        <v>14</v>
      </c>
      <c r="E99" s="149" t="s">
        <v>13</v>
      </c>
      <c r="F99" s="155" t="s">
        <v>14</v>
      </c>
      <c r="G99" s="155" t="s">
        <v>14</v>
      </c>
      <c r="H99" s="155" t="s">
        <v>14</v>
      </c>
      <c r="I99" s="155" t="s">
        <v>14</v>
      </c>
    </row>
    <row r="100" spans="1:14" s="156" customFormat="1" ht="11.25" thickBot="1">
      <c r="A100" s="146" t="s">
        <v>35</v>
      </c>
      <c r="B100" s="146"/>
      <c r="C100" s="146"/>
      <c r="D100" s="153">
        <v>105329632</v>
      </c>
      <c r="E100" s="154"/>
      <c r="F100" s="153">
        <v>22190023.084799994</v>
      </c>
      <c r="G100" s="153">
        <v>0</v>
      </c>
      <c r="H100" s="153">
        <v>0</v>
      </c>
      <c r="I100" s="153">
        <v>83139608.91520001</v>
      </c>
      <c r="J100" s="146"/>
      <c r="K100" s="152">
        <v>0</v>
      </c>
      <c r="L100" s="151" t="s">
        <v>40</v>
      </c>
      <c r="M100" s="150">
        <v>0</v>
      </c>
      <c r="N100" s="147"/>
    </row>
    <row r="101" spans="1:14" s="156" customFormat="1">
      <c r="A101" s="146"/>
      <c r="B101" s="146"/>
      <c r="C101" s="146"/>
      <c r="D101" s="146"/>
      <c r="E101" s="146"/>
      <c r="G101" s="146"/>
      <c r="H101" s="146"/>
      <c r="I101" s="146"/>
      <c r="N101" s="147"/>
    </row>
    <row r="102" spans="1:14" s="156" customFormat="1">
      <c r="A102" s="146" t="s">
        <v>36</v>
      </c>
      <c r="B102" s="146"/>
      <c r="C102" s="146"/>
      <c r="D102" s="146"/>
      <c r="E102" s="146"/>
      <c r="G102" s="146"/>
      <c r="H102" s="146"/>
      <c r="I102" s="146"/>
      <c r="N102" s="147"/>
    </row>
    <row r="103" spans="1:14" s="156" customFormat="1" hidden="1">
      <c r="A103" s="146"/>
      <c r="B103" s="154" t="s">
        <v>98</v>
      </c>
      <c r="C103" s="146"/>
      <c r="D103" s="153">
        <v>0</v>
      </c>
      <c r="E103" s="154"/>
      <c r="G103" s="146"/>
      <c r="H103" s="153">
        <v>0</v>
      </c>
      <c r="I103" s="157"/>
      <c r="N103" s="147"/>
    </row>
    <row r="104" spans="1:14" s="156" customFormat="1" hidden="1">
      <c r="A104" s="146"/>
      <c r="B104" s="154" t="s">
        <v>99</v>
      </c>
      <c r="C104" s="146"/>
      <c r="D104" s="153">
        <v>0</v>
      </c>
      <c r="E104" s="154"/>
      <c r="G104" s="146"/>
      <c r="H104" s="153">
        <v>0</v>
      </c>
      <c r="I104" s="157"/>
      <c r="N104" s="147"/>
    </row>
    <row r="105" spans="1:14" s="156" customFormat="1">
      <c r="A105" s="146"/>
      <c r="B105" s="154" t="s">
        <v>100</v>
      </c>
      <c r="C105" s="146"/>
      <c r="D105" s="153">
        <v>6422537.9299999997</v>
      </c>
      <c r="E105" s="154"/>
      <c r="G105" s="146"/>
      <c r="H105" s="153">
        <v>6422537.9299999997</v>
      </c>
      <c r="I105" s="157"/>
      <c r="N105" s="147"/>
    </row>
    <row r="106" spans="1:14" s="156" customFormat="1" hidden="1">
      <c r="A106" s="146"/>
      <c r="B106" s="154" t="s">
        <v>101</v>
      </c>
      <c r="C106" s="146"/>
      <c r="D106" s="153">
        <v>0</v>
      </c>
      <c r="E106" s="154"/>
      <c r="G106" s="146"/>
      <c r="H106" s="153">
        <v>0</v>
      </c>
      <c r="I106" s="157"/>
      <c r="N106" s="147"/>
    </row>
    <row r="107" spans="1:14" s="156" customFormat="1">
      <c r="A107" s="146"/>
      <c r="B107" s="154" t="s">
        <v>66</v>
      </c>
      <c r="C107" s="146"/>
      <c r="D107" s="153">
        <v>68827091.730000004</v>
      </c>
      <c r="E107" s="154"/>
      <c r="G107" s="146"/>
      <c r="H107" s="153">
        <v>68827091.730000004</v>
      </c>
      <c r="I107" s="157"/>
      <c r="N107" s="147"/>
    </row>
    <row r="108" spans="1:14" s="156" customFormat="1" hidden="1">
      <c r="A108" s="146"/>
      <c r="B108" s="154" t="s">
        <v>47</v>
      </c>
      <c r="C108" s="146"/>
      <c r="D108" s="153">
        <v>0</v>
      </c>
      <c r="E108" s="154"/>
      <c r="G108" s="146"/>
      <c r="H108" s="153">
        <v>0</v>
      </c>
      <c r="I108" s="157"/>
      <c r="N108" s="147"/>
    </row>
    <row r="109" spans="1:14" s="156" customFormat="1" hidden="1">
      <c r="A109" s="146"/>
      <c r="B109" s="154" t="s">
        <v>102</v>
      </c>
      <c r="C109" s="146"/>
      <c r="D109" s="153">
        <v>0</v>
      </c>
      <c r="E109" s="154"/>
      <c r="G109" s="146"/>
      <c r="H109" s="153">
        <v>0</v>
      </c>
      <c r="I109" s="157"/>
      <c r="N109" s="147"/>
    </row>
    <row r="110" spans="1:14" s="156" customFormat="1" hidden="1">
      <c r="A110" s="146"/>
      <c r="B110" s="154" t="s">
        <v>47</v>
      </c>
      <c r="C110" s="146"/>
      <c r="D110" s="153">
        <v>0</v>
      </c>
      <c r="E110" s="154"/>
      <c r="G110" s="146"/>
      <c r="H110" s="153">
        <v>0</v>
      </c>
      <c r="I110" s="157"/>
      <c r="N110" s="147"/>
    </row>
    <row r="111" spans="1:14" s="156" customFormat="1" hidden="1">
      <c r="A111" s="146"/>
      <c r="B111" s="154" t="s">
        <v>103</v>
      </c>
      <c r="C111" s="146"/>
      <c r="D111" s="153">
        <v>0</v>
      </c>
      <c r="E111" s="154"/>
      <c r="G111" s="146"/>
      <c r="H111" s="153">
        <v>0</v>
      </c>
      <c r="I111" s="157"/>
      <c r="N111" s="147"/>
    </row>
    <row r="112" spans="1:14" s="156" customFormat="1" hidden="1">
      <c r="A112" s="146"/>
      <c r="B112" s="154" t="s">
        <v>105</v>
      </c>
      <c r="C112" s="146"/>
      <c r="D112" s="153">
        <v>0</v>
      </c>
      <c r="E112" s="154"/>
      <c r="F112" s="149"/>
      <c r="G112" s="146"/>
      <c r="H112" s="153">
        <v>0</v>
      </c>
      <c r="I112" s="157"/>
      <c r="N112" s="147"/>
    </row>
    <row r="113" spans="1:14" s="156" customFormat="1" hidden="1">
      <c r="A113" s="146"/>
      <c r="B113" s="154" t="s">
        <v>104</v>
      </c>
      <c r="C113" s="146"/>
      <c r="D113" s="153">
        <v>0</v>
      </c>
      <c r="E113" s="154"/>
      <c r="F113" s="149"/>
      <c r="G113" s="146"/>
      <c r="H113" s="153">
        <v>0</v>
      </c>
      <c r="I113" s="157"/>
      <c r="N113" s="147"/>
    </row>
    <row r="114" spans="1:14" s="156" customFormat="1" hidden="1">
      <c r="A114" s="146"/>
      <c r="B114" s="154" t="s">
        <v>107</v>
      </c>
      <c r="C114" s="146"/>
      <c r="D114" s="153">
        <v>0</v>
      </c>
      <c r="E114" s="154"/>
      <c r="F114" s="149"/>
      <c r="G114" s="146"/>
      <c r="H114" s="153">
        <v>0</v>
      </c>
      <c r="I114" s="157"/>
      <c r="N114" s="147"/>
    </row>
    <row r="115" spans="1:14" s="156" customFormat="1" hidden="1">
      <c r="A115" s="146"/>
      <c r="B115" s="154" t="s">
        <v>108</v>
      </c>
      <c r="C115" s="146"/>
      <c r="D115" s="153">
        <v>0</v>
      </c>
      <c r="E115" s="154"/>
      <c r="F115" s="149"/>
      <c r="G115" s="146"/>
      <c r="H115" s="153">
        <v>0</v>
      </c>
      <c r="I115" s="157"/>
      <c r="N115" s="147"/>
    </row>
    <row r="116" spans="1:14" s="156" customFormat="1">
      <c r="A116" s="146"/>
      <c r="B116" s="154" t="s">
        <v>109</v>
      </c>
      <c r="C116" s="146"/>
      <c r="D116" s="153">
        <v>173398800.91</v>
      </c>
      <c r="E116" s="154"/>
      <c r="F116" s="149"/>
      <c r="G116" s="146"/>
      <c r="H116" s="153">
        <v>173398800.91</v>
      </c>
      <c r="I116" s="157"/>
      <c r="N116" s="147"/>
    </row>
    <row r="117" spans="1:14" s="156" customFormat="1">
      <c r="A117" s="146"/>
      <c r="B117" s="154" t="s">
        <v>106</v>
      </c>
      <c r="C117" s="146"/>
      <c r="D117" s="153">
        <v>54215680.259999998</v>
      </c>
      <c r="E117" s="154"/>
      <c r="F117" s="149"/>
      <c r="G117" s="146"/>
      <c r="H117" s="153">
        <v>54215680.259999998</v>
      </c>
      <c r="I117" s="157"/>
      <c r="N117" s="147"/>
    </row>
    <row r="118" spans="1:14" s="156" customFormat="1" hidden="1">
      <c r="A118" s="146"/>
      <c r="B118" s="154" t="s">
        <v>110</v>
      </c>
      <c r="C118" s="146"/>
      <c r="D118" s="153">
        <v>0</v>
      </c>
      <c r="E118" s="154"/>
      <c r="F118" s="149"/>
      <c r="G118" s="146"/>
      <c r="H118" s="153">
        <v>0</v>
      </c>
      <c r="I118" s="157"/>
      <c r="N118" s="147"/>
    </row>
    <row r="119" spans="1:14" s="156" customFormat="1" hidden="1">
      <c r="A119" s="146"/>
      <c r="B119" s="154" t="s">
        <v>113</v>
      </c>
      <c r="C119" s="146"/>
      <c r="D119" s="153">
        <v>0</v>
      </c>
      <c r="E119" s="154"/>
      <c r="F119" s="149"/>
      <c r="G119" s="146"/>
      <c r="H119" s="153">
        <v>0</v>
      </c>
      <c r="I119" s="157"/>
      <c r="N119" s="147"/>
    </row>
    <row r="120" spans="1:14" s="156" customFormat="1" hidden="1">
      <c r="A120" s="146"/>
      <c r="B120" s="154" t="s">
        <v>111</v>
      </c>
      <c r="C120" s="146"/>
      <c r="D120" s="153">
        <v>0</v>
      </c>
      <c r="E120" s="154"/>
      <c r="F120" s="149"/>
      <c r="G120" s="146"/>
      <c r="H120" s="153">
        <v>0</v>
      </c>
      <c r="I120" s="157"/>
      <c r="N120" s="147"/>
    </row>
    <row r="121" spans="1:14" s="156" customFormat="1" hidden="1">
      <c r="A121" s="146"/>
      <c r="B121" s="154" t="s">
        <v>114</v>
      </c>
      <c r="C121" s="146"/>
      <c r="D121" s="153">
        <v>0</v>
      </c>
      <c r="E121" s="154"/>
      <c r="F121" s="149"/>
      <c r="G121" s="146"/>
      <c r="H121" s="153">
        <v>0</v>
      </c>
      <c r="I121" s="157"/>
      <c r="N121" s="147"/>
    </row>
    <row r="122" spans="1:14" s="156" customFormat="1">
      <c r="A122" s="146"/>
      <c r="B122" s="154" t="s">
        <v>167</v>
      </c>
      <c r="C122" s="146"/>
      <c r="D122" s="153">
        <v>-125627.98</v>
      </c>
      <c r="E122" s="154"/>
      <c r="F122" s="149"/>
      <c r="G122" s="146"/>
      <c r="H122" s="153">
        <v>-125627.98</v>
      </c>
      <c r="I122" s="157"/>
      <c r="N122" s="147"/>
    </row>
    <row r="123" spans="1:14" s="156" customFormat="1" ht="11.25" thickBot="1">
      <c r="A123" s="146"/>
      <c r="B123" s="146"/>
      <c r="C123" s="146"/>
      <c r="D123" s="155" t="s">
        <v>14</v>
      </c>
      <c r="E123" s="149" t="s">
        <v>13</v>
      </c>
      <c r="F123" s="155" t="s">
        <v>14</v>
      </c>
      <c r="G123" s="155" t="s">
        <v>14</v>
      </c>
      <c r="H123" s="155" t="s">
        <v>14</v>
      </c>
      <c r="I123" s="155" t="s">
        <v>14</v>
      </c>
      <c r="N123" s="147"/>
    </row>
    <row r="124" spans="1:14" s="156" customFormat="1" ht="11.25" thickBot="1">
      <c r="A124" s="146" t="s">
        <v>37</v>
      </c>
      <c r="B124" s="146"/>
      <c r="C124" s="146"/>
      <c r="D124" s="153">
        <v>302738482.84999996</v>
      </c>
      <c r="E124" s="154"/>
      <c r="F124" s="153">
        <v>0</v>
      </c>
      <c r="G124" s="153">
        <v>0</v>
      </c>
      <c r="H124" s="153">
        <v>302738482.84999996</v>
      </c>
      <c r="I124" s="153">
        <v>0</v>
      </c>
      <c r="K124" s="152">
        <v>0</v>
      </c>
      <c r="L124" s="151" t="s">
        <v>40</v>
      </c>
      <c r="M124" s="150">
        <v>0</v>
      </c>
      <c r="N124" s="147"/>
    </row>
    <row r="125" spans="1:14" s="156" customFormat="1">
      <c r="A125" s="146"/>
      <c r="B125" s="146"/>
      <c r="C125" s="146"/>
      <c r="D125" s="158"/>
      <c r="E125" s="154"/>
      <c r="F125" s="154"/>
      <c r="G125" s="154"/>
      <c r="H125" s="154"/>
      <c r="I125" s="154"/>
      <c r="N125" s="147"/>
    </row>
    <row r="126" spans="1:14" s="156" customFormat="1">
      <c r="A126" s="146" t="s">
        <v>43</v>
      </c>
      <c r="B126" s="146"/>
      <c r="C126" s="146"/>
      <c r="D126" s="158"/>
      <c r="E126" s="154"/>
      <c r="F126" s="154"/>
      <c r="G126" s="154"/>
      <c r="H126" s="154"/>
      <c r="I126" s="154"/>
      <c r="N126" s="147"/>
    </row>
    <row r="127" spans="1:14" s="156" customFormat="1">
      <c r="A127" s="146"/>
      <c r="B127" s="154" t="s">
        <v>116</v>
      </c>
      <c r="C127" s="146"/>
      <c r="D127" s="153">
        <v>620611.67000000004</v>
      </c>
      <c r="E127" s="154"/>
      <c r="F127" s="149"/>
      <c r="G127" s="146"/>
      <c r="H127" s="153">
        <v>620611.67000000004</v>
      </c>
      <c r="I127" s="157"/>
      <c r="N127" s="147"/>
    </row>
    <row r="128" spans="1:14">
      <c r="D128" s="155" t="s">
        <v>14</v>
      </c>
      <c r="E128" s="149" t="s">
        <v>13</v>
      </c>
      <c r="F128" s="155" t="s">
        <v>14</v>
      </c>
      <c r="G128" s="155" t="s">
        <v>14</v>
      </c>
      <c r="H128" s="155" t="s">
        <v>14</v>
      </c>
      <c r="I128" s="155" t="s">
        <v>14</v>
      </c>
    </row>
    <row r="129" spans="1:13">
      <c r="A129" s="146" t="s">
        <v>44</v>
      </c>
      <c r="D129" s="153">
        <v>620611.67000000004</v>
      </c>
      <c r="E129" s="154"/>
      <c r="F129" s="153">
        <v>0</v>
      </c>
      <c r="G129" s="153">
        <v>0</v>
      </c>
      <c r="H129" s="153">
        <v>620611.67000000004</v>
      </c>
      <c r="I129" s="153">
        <v>0</v>
      </c>
    </row>
    <row r="130" spans="1:13" ht="11.25" thickBot="1">
      <c r="D130" s="148" t="s">
        <v>38</v>
      </c>
      <c r="E130" s="149" t="s">
        <v>13</v>
      </c>
      <c r="F130" s="148" t="s">
        <v>38</v>
      </c>
      <c r="G130" s="148" t="s">
        <v>38</v>
      </c>
      <c r="H130" s="148" t="s">
        <v>38</v>
      </c>
      <c r="I130" s="148" t="s">
        <v>38</v>
      </c>
    </row>
    <row r="131" spans="1:13" ht="11.25" thickBot="1">
      <c r="A131" s="146" t="s">
        <v>39</v>
      </c>
      <c r="D131" s="153">
        <v>593159985.99000001</v>
      </c>
      <c r="E131" s="154" t="s">
        <v>13</v>
      </c>
      <c r="F131" s="153">
        <v>24294280.302217223</v>
      </c>
      <c r="G131" s="153">
        <v>22516096.602582771</v>
      </c>
      <c r="H131" s="153">
        <v>303359094.51999998</v>
      </c>
      <c r="I131" s="153">
        <v>242990514.56520003</v>
      </c>
      <c r="K131" s="152">
        <v>0</v>
      </c>
      <c r="L131" s="151" t="s">
        <v>40</v>
      </c>
      <c r="M131" s="150">
        <v>0</v>
      </c>
    </row>
    <row r="132" spans="1:13">
      <c r="D132" s="148" t="s">
        <v>38</v>
      </c>
      <c r="E132" s="149" t="s">
        <v>13</v>
      </c>
      <c r="F132" s="148" t="s">
        <v>38</v>
      </c>
      <c r="G132" s="148" t="s">
        <v>38</v>
      </c>
      <c r="H132" s="148" t="s">
        <v>38</v>
      </c>
      <c r="I132" s="148" t="s">
        <v>38</v>
      </c>
    </row>
  </sheetData>
  <mergeCells count="1">
    <mergeCell ref="A4:C4"/>
  </mergeCells>
  <pageMargins left="0.65" right="0.72" top="1" bottom="1" header="0.5" footer="0.5"/>
  <pageSetup scale="79" orientation="portrait" r:id="rId1"/>
  <headerFooter alignWithMargins="0">
    <oddHeader>&amp;L&amp;"Arial,Regular"&amp;10WA UE-130043
Bench Request 9&amp;R&amp;"Arial,Bold"&amp;10Attachment Bench Request 9</oddHeader>
    <oddFooter>&amp;L&amp;"Arial,Regular"&amp;10&amp;F&amp;C&amp;A</oddFooter>
  </headerFooter>
  <rowBreaks count="1" manualBreakCount="1">
    <brk id="81"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0"/>
  <sheetViews>
    <sheetView topLeftCell="A2" zoomScale="85" zoomScaleNormal="85" workbookViewId="0">
      <selection activeCell="T91" sqref="T91"/>
    </sheetView>
  </sheetViews>
  <sheetFormatPr defaultRowHeight="12.75"/>
  <cols>
    <col min="1" max="1" width="4.83203125" style="275" customWidth="1"/>
    <col min="2" max="2" width="8" style="275" customWidth="1"/>
    <col min="3" max="3" width="32.83203125" style="275" customWidth="1"/>
    <col min="4" max="4" width="12.33203125" style="275" customWidth="1"/>
    <col min="5" max="5" width="9.33203125" style="275"/>
    <col min="6" max="6" width="17" style="106" customWidth="1"/>
    <col min="7" max="7" width="9.33203125" style="276"/>
    <col min="8" max="8" width="12.1640625" style="276" bestFit="1" customWidth="1"/>
    <col min="9" max="9" width="15.33203125" style="276" bestFit="1" customWidth="1"/>
    <col min="10" max="16384" width="9.33203125" style="275"/>
  </cols>
  <sheetData>
    <row r="1" spans="1:10">
      <c r="A1" s="274" t="s">
        <v>118</v>
      </c>
      <c r="B1" s="274"/>
      <c r="I1" s="277" t="s">
        <v>272</v>
      </c>
      <c r="J1" s="278">
        <v>9.4</v>
      </c>
    </row>
    <row r="2" spans="1:10">
      <c r="A2" s="274" t="s">
        <v>186</v>
      </c>
      <c r="B2" s="274"/>
    </row>
    <row r="3" spans="1:10">
      <c r="A3" s="274" t="s">
        <v>377</v>
      </c>
      <c r="B3" s="274"/>
    </row>
    <row r="5" spans="1:10">
      <c r="F5" s="105" t="s">
        <v>274</v>
      </c>
      <c r="I5" s="276" t="s">
        <v>126</v>
      </c>
    </row>
    <row r="6" spans="1:10" ht="15">
      <c r="D6" s="279" t="s">
        <v>275</v>
      </c>
      <c r="E6" s="279" t="s">
        <v>276</v>
      </c>
      <c r="F6" s="280" t="s">
        <v>277</v>
      </c>
      <c r="G6" s="279" t="s">
        <v>278</v>
      </c>
      <c r="H6" s="279" t="s">
        <v>134</v>
      </c>
      <c r="I6" s="279" t="s">
        <v>279</v>
      </c>
      <c r="J6" s="279" t="s">
        <v>280</v>
      </c>
    </row>
    <row r="7" spans="1:10" ht="15">
      <c r="B7" s="274" t="s">
        <v>281</v>
      </c>
      <c r="D7" s="279"/>
      <c r="E7" s="279"/>
      <c r="F7" s="280"/>
      <c r="G7" s="279"/>
      <c r="H7" s="279"/>
      <c r="I7" s="279"/>
      <c r="J7" s="279"/>
    </row>
    <row r="8" spans="1:10" ht="15">
      <c r="B8" s="274"/>
      <c r="C8" s="281"/>
      <c r="D8" s="279"/>
      <c r="E8" s="279"/>
      <c r="F8" s="280"/>
      <c r="G8" s="279"/>
      <c r="H8" s="279"/>
      <c r="I8" s="279"/>
      <c r="J8" s="279"/>
    </row>
    <row r="9" spans="1:10">
      <c r="B9" s="274" t="s">
        <v>137</v>
      </c>
      <c r="C9" s="281"/>
    </row>
    <row r="10" spans="1:10">
      <c r="B10" s="281" t="s">
        <v>138</v>
      </c>
      <c r="C10" s="281"/>
      <c r="D10" s="282" t="s">
        <v>139</v>
      </c>
      <c r="E10" s="283" t="s">
        <v>286</v>
      </c>
      <c r="F10" s="106">
        <f>'9.1 - Summary '!N15</f>
        <v>0</v>
      </c>
      <c r="G10" s="276" t="s">
        <v>140</v>
      </c>
      <c r="H10" s="284">
        <v>0.2262649010137</v>
      </c>
      <c r="I10" s="276">
        <f>F10*H10</f>
        <v>0</v>
      </c>
      <c r="J10" s="276"/>
    </row>
    <row r="11" spans="1:10">
      <c r="B11" s="281" t="s">
        <v>141</v>
      </c>
      <c r="C11" s="281"/>
      <c r="D11" s="282" t="s">
        <v>139</v>
      </c>
      <c r="E11" s="283" t="s">
        <v>286</v>
      </c>
      <c r="F11" s="106">
        <f>'9.1 - Summary '!N16</f>
        <v>-101735020.57999998</v>
      </c>
      <c r="G11" s="276" t="s">
        <v>140</v>
      </c>
      <c r="H11" s="284">
        <v>0.2262649010137</v>
      </c>
      <c r="I11" s="276">
        <f t="shared" ref="I11:I12" si="0">F11*H11</f>
        <v>-23019064.361160427</v>
      </c>
      <c r="J11" s="276"/>
    </row>
    <row r="12" spans="1:10">
      <c r="B12" s="281" t="s">
        <v>142</v>
      </c>
      <c r="C12" s="281"/>
      <c r="D12" s="282" t="s">
        <v>139</v>
      </c>
      <c r="E12" s="283" t="s">
        <v>286</v>
      </c>
      <c r="F12" s="106">
        <f>'9.1 - Summary '!N17</f>
        <v>0</v>
      </c>
      <c r="G12" s="276" t="s">
        <v>143</v>
      </c>
      <c r="H12" s="284">
        <v>0.22648067236840891</v>
      </c>
      <c r="I12" s="276">
        <f t="shared" si="0"/>
        <v>0</v>
      </c>
      <c r="J12" s="276"/>
    </row>
    <row r="13" spans="1:10">
      <c r="B13" s="281" t="s">
        <v>144</v>
      </c>
      <c r="C13" s="281"/>
      <c r="D13" s="282"/>
      <c r="E13" s="283"/>
      <c r="F13" s="285">
        <f>SUM(F10:F12)</f>
        <v>-101735020.57999998</v>
      </c>
      <c r="H13" s="284"/>
      <c r="I13" s="285">
        <f>SUM(I10:I12)</f>
        <v>-23019064.361160427</v>
      </c>
      <c r="J13" s="282" t="s">
        <v>332</v>
      </c>
    </row>
    <row r="14" spans="1:10">
      <c r="B14" s="281"/>
      <c r="C14" s="286"/>
      <c r="D14" s="282"/>
      <c r="E14" s="283"/>
      <c r="H14" s="284"/>
    </row>
    <row r="15" spans="1:10">
      <c r="B15" s="274" t="s">
        <v>145</v>
      </c>
      <c r="C15" s="286"/>
      <c r="D15" s="282"/>
      <c r="E15" s="283"/>
      <c r="H15" s="284"/>
    </row>
    <row r="16" spans="1:10">
      <c r="B16" s="281" t="s">
        <v>146</v>
      </c>
      <c r="C16" s="286"/>
      <c r="D16" s="282" t="s">
        <v>147</v>
      </c>
      <c r="E16" s="283" t="s">
        <v>286</v>
      </c>
      <c r="F16" s="106">
        <f>'9.1 - Summary '!N21</f>
        <v>-15057543.304417228</v>
      </c>
      <c r="G16" s="276" t="s">
        <v>140</v>
      </c>
      <c r="H16" s="284">
        <v>0.2262649010137</v>
      </c>
      <c r="I16" s="276">
        <f t="shared" ref="I16:I20" si="1">F16*H16</f>
        <v>-3406993.5452834656</v>
      </c>
      <c r="J16" s="276"/>
    </row>
    <row r="17" spans="2:10">
      <c r="B17" s="281" t="s">
        <v>148</v>
      </c>
      <c r="C17" s="286"/>
      <c r="D17" s="282" t="s">
        <v>147</v>
      </c>
      <c r="E17" s="283" t="s">
        <v>286</v>
      </c>
      <c r="F17" s="106">
        <f>'9.1 - Summary '!N22</f>
        <v>-22405857.325582772</v>
      </c>
      <c r="G17" s="276" t="s">
        <v>143</v>
      </c>
      <c r="H17" s="284">
        <v>0.22648067236840891</v>
      </c>
      <c r="I17" s="276">
        <f t="shared" si="1"/>
        <v>-5074493.6320886267</v>
      </c>
      <c r="J17" s="276"/>
    </row>
    <row r="18" spans="2:10">
      <c r="B18" s="281" t="s">
        <v>149</v>
      </c>
      <c r="C18" s="286"/>
      <c r="D18" s="282" t="s">
        <v>147</v>
      </c>
      <c r="E18" s="283" t="s">
        <v>286</v>
      </c>
      <c r="F18" s="106">
        <f>'9.1 - Summary '!N23</f>
        <v>-44119800.030000001</v>
      </c>
      <c r="G18" s="276" t="s">
        <v>140</v>
      </c>
      <c r="H18" s="284">
        <v>0.2262649010137</v>
      </c>
      <c r="I18" s="276">
        <f t="shared" si="1"/>
        <v>-9982762.1865321882</v>
      </c>
      <c r="J18" s="276"/>
    </row>
    <row r="19" spans="2:10">
      <c r="B19" s="281" t="s">
        <v>150</v>
      </c>
      <c r="C19" s="286"/>
      <c r="D19" s="282" t="s">
        <v>147</v>
      </c>
      <c r="E19" s="283" t="s">
        <v>286</v>
      </c>
      <c r="F19" s="106">
        <f>'9.1 - Summary '!N24</f>
        <v>-86986543.290000021</v>
      </c>
      <c r="G19" s="276" t="s">
        <v>140</v>
      </c>
      <c r="H19" s="284">
        <v>0.2262649010137</v>
      </c>
      <c r="I19" s="276">
        <f t="shared" si="1"/>
        <v>-19682001.607035786</v>
      </c>
      <c r="J19" s="276"/>
    </row>
    <row r="20" spans="2:10">
      <c r="B20" s="281" t="s">
        <v>151</v>
      </c>
      <c r="C20" s="281"/>
      <c r="D20" s="282" t="s">
        <v>147</v>
      </c>
      <c r="E20" s="283" t="s">
        <v>286</v>
      </c>
      <c r="F20" s="106">
        <f>'9.1 - Summary '!N25</f>
        <v>-62867.040000000037</v>
      </c>
      <c r="G20" s="276" t="s">
        <v>140</v>
      </c>
      <c r="H20" s="284">
        <v>0.2262649010137</v>
      </c>
      <c r="I20" s="276">
        <f t="shared" si="1"/>
        <v>-14224.604582624326</v>
      </c>
      <c r="J20" s="276"/>
    </row>
    <row r="21" spans="2:10">
      <c r="B21" s="281" t="s">
        <v>152</v>
      </c>
      <c r="C21" s="281"/>
      <c r="D21" s="282"/>
      <c r="E21" s="283"/>
      <c r="F21" s="285">
        <f>SUM(F16:F20)</f>
        <v>-168632610.99000001</v>
      </c>
      <c r="H21" s="284"/>
      <c r="I21" s="285">
        <f>SUM(I16:I20)</f>
        <v>-38160475.575522691</v>
      </c>
      <c r="J21" s="282" t="s">
        <v>332</v>
      </c>
    </row>
    <row r="22" spans="2:10">
      <c r="B22" s="281"/>
      <c r="C22" s="281"/>
      <c r="D22" s="282"/>
      <c r="E22" s="283"/>
      <c r="H22" s="284"/>
    </row>
    <row r="23" spans="2:10">
      <c r="B23" s="274" t="s">
        <v>153</v>
      </c>
      <c r="C23" s="281"/>
      <c r="D23" s="282"/>
      <c r="E23" s="283"/>
      <c r="H23" s="284"/>
      <c r="J23" s="276"/>
    </row>
    <row r="24" spans="2:10">
      <c r="B24" s="281" t="s">
        <v>154</v>
      </c>
      <c r="C24" s="281"/>
      <c r="D24" s="282" t="s">
        <v>155</v>
      </c>
      <c r="E24" s="283" t="s">
        <v>286</v>
      </c>
      <c r="F24" s="106">
        <f>'9.1 - Summary '!N29</f>
        <v>2809812.8886688538</v>
      </c>
      <c r="G24" s="276" t="s">
        <v>140</v>
      </c>
      <c r="H24" s="284">
        <v>0.2262649010137</v>
      </c>
      <c r="I24" s="276">
        <f t="shared" ref="I24:I26" si="2">F24*H24</f>
        <v>635762.03512167663</v>
      </c>
      <c r="J24" s="276"/>
    </row>
    <row r="25" spans="2:10">
      <c r="B25" s="281" t="s">
        <v>156</v>
      </c>
      <c r="C25" s="286"/>
      <c r="D25" s="282" t="s">
        <v>155</v>
      </c>
      <c r="E25" s="283" t="s">
        <v>286</v>
      </c>
      <c r="F25" s="106">
        <f>'9.1 - Summary '!N30</f>
        <v>-928807.88866885006</v>
      </c>
      <c r="G25" s="276" t="s">
        <v>140</v>
      </c>
      <c r="H25" s="284">
        <v>0.2262649010137</v>
      </c>
      <c r="I25" s="276">
        <f t="shared" si="2"/>
        <v>-210156.62499040106</v>
      </c>
      <c r="J25" s="276"/>
    </row>
    <row r="26" spans="2:10">
      <c r="B26" s="281" t="s">
        <v>157</v>
      </c>
      <c r="C26" s="286"/>
      <c r="D26" s="282" t="s">
        <v>155</v>
      </c>
      <c r="E26" s="283" t="s">
        <v>286</v>
      </c>
      <c r="F26" s="106">
        <f>'9.1 - Summary '!N31</f>
        <v>0</v>
      </c>
      <c r="G26" s="276" t="s">
        <v>143</v>
      </c>
      <c r="H26" s="284">
        <v>0.22648067236840891</v>
      </c>
      <c r="I26" s="276">
        <f t="shared" si="2"/>
        <v>0</v>
      </c>
      <c r="J26" s="276"/>
    </row>
    <row r="27" spans="2:10">
      <c r="B27" s="281" t="s">
        <v>158</v>
      </c>
      <c r="C27" s="281"/>
      <c r="D27" s="282"/>
      <c r="E27" s="283"/>
      <c r="F27" s="285">
        <f>SUM(F24:F26)</f>
        <v>1881005.0000000037</v>
      </c>
      <c r="H27" s="284"/>
      <c r="I27" s="285">
        <f>SUM(I24:I26)</f>
        <v>425605.41013127554</v>
      </c>
      <c r="J27" s="282" t="s">
        <v>332</v>
      </c>
    </row>
    <row r="28" spans="2:10">
      <c r="B28" s="281"/>
      <c r="C28" s="281"/>
      <c r="D28" s="282"/>
      <c r="E28" s="283"/>
      <c r="H28" s="284"/>
    </row>
    <row r="29" spans="2:10">
      <c r="B29" s="274" t="s">
        <v>159</v>
      </c>
      <c r="C29" s="274"/>
      <c r="D29" s="282"/>
      <c r="E29" s="283"/>
      <c r="H29" s="284"/>
      <c r="J29" s="276"/>
    </row>
    <row r="30" spans="2:10">
      <c r="B30" s="281" t="s">
        <v>160</v>
      </c>
      <c r="C30" s="274"/>
      <c r="D30" s="282" t="s">
        <v>161</v>
      </c>
      <c r="E30" s="283" t="s">
        <v>286</v>
      </c>
      <c r="F30" s="106">
        <f>'9.1 - Summary '!N35</f>
        <v>30095787.210000008</v>
      </c>
      <c r="G30" s="276" t="s">
        <v>143</v>
      </c>
      <c r="H30" s="284">
        <v>0.22648067236840891</v>
      </c>
      <c r="I30" s="276">
        <f t="shared" ref="I30:I31" si="3">F30*H30</f>
        <v>6816114.1227773633</v>
      </c>
      <c r="J30" s="276"/>
    </row>
    <row r="31" spans="2:10">
      <c r="B31" s="281" t="s">
        <v>162</v>
      </c>
      <c r="C31" s="274"/>
      <c r="D31" s="282" t="s">
        <v>163</v>
      </c>
      <c r="E31" s="283" t="s">
        <v>286</v>
      </c>
      <c r="F31" s="106">
        <f>'9.1 - Summary '!N36</f>
        <v>-25149149.660000011</v>
      </c>
      <c r="G31" s="276" t="s">
        <v>143</v>
      </c>
      <c r="H31" s="284">
        <v>0.22648067236840891</v>
      </c>
      <c r="I31" s="276">
        <f t="shared" si="3"/>
        <v>-5695796.3244905453</v>
      </c>
      <c r="J31" s="276"/>
    </row>
    <row r="32" spans="2:10">
      <c r="B32" s="281" t="s">
        <v>164</v>
      </c>
      <c r="C32" s="274"/>
      <c r="D32" s="282"/>
      <c r="E32" s="283"/>
      <c r="F32" s="285">
        <f>SUM(F30:F31)</f>
        <v>4946637.549999997</v>
      </c>
      <c r="H32" s="287"/>
      <c r="I32" s="285">
        <f>SUM(I30:I31)</f>
        <v>1120317.798286818</v>
      </c>
      <c r="J32" s="282" t="s">
        <v>332</v>
      </c>
    </row>
    <row r="33" spans="1:11">
      <c r="B33" s="281"/>
      <c r="C33" s="274"/>
      <c r="D33" s="282"/>
      <c r="E33" s="283"/>
      <c r="H33" s="287"/>
      <c r="I33" s="106"/>
      <c r="J33" s="276"/>
    </row>
    <row r="34" spans="1:11">
      <c r="B34" s="288" t="s">
        <v>284</v>
      </c>
      <c r="C34" s="274"/>
      <c r="D34" s="282"/>
      <c r="E34" s="283"/>
      <c r="F34" s="285">
        <f>-F13+F21+F27+F32</f>
        <v>-60069947.860000029</v>
      </c>
      <c r="H34" s="287"/>
      <c r="I34" s="285">
        <f>-I13+I21+I27+I32</f>
        <v>-13595488.00594417</v>
      </c>
      <c r="J34" s="282" t="s">
        <v>332</v>
      </c>
    </row>
    <row r="35" spans="1:11">
      <c r="C35" s="274"/>
      <c r="F35" s="289"/>
      <c r="J35" s="276"/>
    </row>
    <row r="36" spans="1:11">
      <c r="C36" s="274"/>
      <c r="F36" s="289"/>
      <c r="J36" s="276"/>
    </row>
    <row r="37" spans="1:11">
      <c r="C37" s="274"/>
      <c r="F37" s="289"/>
      <c r="J37" s="276"/>
    </row>
    <row r="42" spans="1:11" ht="13.5" thickBot="1">
      <c r="B42" s="290" t="s">
        <v>283</v>
      </c>
    </row>
    <row r="43" spans="1:11">
      <c r="A43" s="347" t="s">
        <v>417</v>
      </c>
      <c r="B43" s="348"/>
      <c r="C43" s="348"/>
      <c r="D43" s="348"/>
      <c r="E43" s="348"/>
      <c r="F43" s="348"/>
      <c r="G43" s="348"/>
      <c r="H43" s="348"/>
      <c r="I43" s="348"/>
      <c r="J43" s="348"/>
      <c r="K43" s="349"/>
    </row>
    <row r="44" spans="1:11">
      <c r="A44" s="350"/>
      <c r="B44" s="351"/>
      <c r="C44" s="351"/>
      <c r="D44" s="351"/>
      <c r="E44" s="351"/>
      <c r="F44" s="351"/>
      <c r="G44" s="351"/>
      <c r="H44" s="351"/>
      <c r="I44" s="351"/>
      <c r="J44" s="351"/>
      <c r="K44" s="352"/>
    </row>
    <row r="45" spans="1:11">
      <c r="A45" s="350"/>
      <c r="B45" s="351"/>
      <c r="C45" s="351"/>
      <c r="D45" s="351"/>
      <c r="E45" s="351"/>
      <c r="F45" s="351"/>
      <c r="G45" s="351"/>
      <c r="H45" s="351"/>
      <c r="I45" s="351"/>
      <c r="J45" s="351"/>
      <c r="K45" s="352"/>
    </row>
    <row r="46" spans="1:11">
      <c r="A46" s="350"/>
      <c r="B46" s="351"/>
      <c r="C46" s="351"/>
      <c r="D46" s="351"/>
      <c r="E46" s="351"/>
      <c r="F46" s="351"/>
      <c r="G46" s="351"/>
      <c r="H46" s="351"/>
      <c r="I46" s="351"/>
      <c r="J46" s="351"/>
      <c r="K46" s="352"/>
    </row>
    <row r="47" spans="1:11">
      <c r="A47" s="350"/>
      <c r="B47" s="351"/>
      <c r="C47" s="351"/>
      <c r="D47" s="351"/>
      <c r="E47" s="351"/>
      <c r="F47" s="351"/>
      <c r="G47" s="351"/>
      <c r="H47" s="351"/>
      <c r="I47" s="351"/>
      <c r="J47" s="351"/>
      <c r="K47" s="352"/>
    </row>
    <row r="48" spans="1:11">
      <c r="A48" s="350"/>
      <c r="B48" s="351"/>
      <c r="C48" s="351"/>
      <c r="D48" s="351"/>
      <c r="E48" s="351"/>
      <c r="F48" s="351"/>
      <c r="G48" s="351"/>
      <c r="H48" s="351"/>
      <c r="I48" s="351"/>
      <c r="J48" s="351"/>
      <c r="K48" s="352"/>
    </row>
    <row r="49" spans="1:11">
      <c r="A49" s="350"/>
      <c r="B49" s="351"/>
      <c r="C49" s="351"/>
      <c r="D49" s="351"/>
      <c r="E49" s="351"/>
      <c r="F49" s="351"/>
      <c r="G49" s="351"/>
      <c r="H49" s="351"/>
      <c r="I49" s="351"/>
      <c r="J49" s="351"/>
      <c r="K49" s="352"/>
    </row>
    <row r="50" spans="1:11" ht="13.5" thickBot="1">
      <c r="A50" s="353"/>
      <c r="B50" s="354"/>
      <c r="C50" s="354"/>
      <c r="D50" s="354"/>
      <c r="E50" s="354"/>
      <c r="F50" s="354"/>
      <c r="G50" s="354"/>
      <c r="H50" s="354"/>
      <c r="I50" s="354"/>
      <c r="J50" s="354"/>
      <c r="K50" s="355"/>
    </row>
  </sheetData>
  <mergeCells count="1">
    <mergeCell ref="A43:K50"/>
  </mergeCells>
  <conditionalFormatting sqref="B9:B26">
    <cfRule type="cellIs" dxfId="68" priority="3" stopIfTrue="1" operator="equal">
      <formula>"Adjustment to Income/Expense/Rate Base:"</formula>
    </cfRule>
  </conditionalFormatting>
  <conditionalFormatting sqref="B20:B22">
    <cfRule type="cellIs" dxfId="67" priority="2" stopIfTrue="1" operator="equal">
      <formula>"Title"</formula>
    </cfRule>
  </conditionalFormatting>
  <conditionalFormatting sqref="B27:B34">
    <cfRule type="cellIs" dxfId="66" priority="1" stopIfTrue="1" operator="equal">
      <formula>"Adjustment to Income/Expense/Rate Base:"</formula>
    </cfRule>
  </conditionalFormatting>
  <pageMargins left="0.65" right="0.72" top="1" bottom="1" header="0.5" footer="0.5"/>
  <pageSetup scale="72" orientation="portrait" r:id="rId1"/>
  <headerFooter alignWithMargins="0">
    <oddHeader>&amp;L&amp;"Arial,Regular"&amp;10WA UE-130043
Bench Request 9&amp;R&amp;"Arial,Bold"&amp;10Attachment Bench Request 9</oddHeader>
    <oddFooter>&amp;L&amp;"Arial,Regular"&amp;10&amp;F&amp;C&amp;A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0"/>
  <sheetViews>
    <sheetView zoomScale="85" zoomScaleNormal="85" workbookViewId="0">
      <selection activeCell="T91" sqref="T91"/>
    </sheetView>
  </sheetViews>
  <sheetFormatPr defaultRowHeight="12.75"/>
  <cols>
    <col min="1" max="1" width="4.83203125" style="275" customWidth="1"/>
    <col min="2" max="2" width="8" style="275" customWidth="1"/>
    <col min="3" max="3" width="32.83203125" style="275" customWidth="1"/>
    <col min="4" max="4" width="12.33203125" style="275" customWidth="1"/>
    <col min="5" max="5" width="9.33203125" style="275"/>
    <col min="6" max="6" width="17" style="106" customWidth="1"/>
    <col min="7" max="7" width="9.33203125" style="276"/>
    <col min="8" max="8" width="12.1640625" style="276" bestFit="1" customWidth="1"/>
    <col min="9" max="9" width="15.33203125" style="276" bestFit="1" customWidth="1"/>
    <col min="10" max="16384" width="9.33203125" style="275"/>
  </cols>
  <sheetData>
    <row r="1" spans="1:10">
      <c r="A1" s="274" t="s">
        <v>118</v>
      </c>
      <c r="B1" s="274"/>
      <c r="I1" s="277" t="s">
        <v>272</v>
      </c>
      <c r="J1" s="330">
        <v>9.5</v>
      </c>
    </row>
    <row r="2" spans="1:10">
      <c r="A2" s="274" t="s">
        <v>186</v>
      </c>
      <c r="B2" s="274"/>
    </row>
    <row r="3" spans="1:10">
      <c r="A3" s="274" t="s">
        <v>370</v>
      </c>
      <c r="B3" s="274"/>
    </row>
    <row r="5" spans="1:10">
      <c r="F5" s="105" t="s">
        <v>274</v>
      </c>
      <c r="I5" s="276" t="s">
        <v>126</v>
      </c>
    </row>
    <row r="6" spans="1:10" ht="15">
      <c r="D6" s="279" t="s">
        <v>275</v>
      </c>
      <c r="E6" s="279" t="s">
        <v>276</v>
      </c>
      <c r="F6" s="280" t="s">
        <v>277</v>
      </c>
      <c r="G6" s="279" t="s">
        <v>278</v>
      </c>
      <c r="H6" s="279" t="s">
        <v>134</v>
      </c>
      <c r="I6" s="279" t="s">
        <v>279</v>
      </c>
      <c r="J6" s="279" t="s">
        <v>280</v>
      </c>
    </row>
    <row r="7" spans="1:10" ht="15">
      <c r="B7" s="274" t="s">
        <v>281</v>
      </c>
      <c r="D7" s="279"/>
      <c r="E7" s="279"/>
      <c r="F7" s="280"/>
      <c r="G7" s="279"/>
      <c r="H7" s="279"/>
      <c r="I7" s="279"/>
      <c r="J7" s="279"/>
    </row>
    <row r="8" spans="1:10" ht="15">
      <c r="B8" s="274"/>
      <c r="C8" s="281"/>
      <c r="D8" s="279"/>
      <c r="E8" s="279"/>
      <c r="F8" s="280"/>
      <c r="G8" s="279"/>
      <c r="H8" s="279"/>
      <c r="I8" s="279"/>
      <c r="J8" s="279"/>
    </row>
    <row r="9" spans="1:10">
      <c r="B9" s="274" t="s">
        <v>137</v>
      </c>
      <c r="C9" s="281"/>
    </row>
    <row r="10" spans="1:10">
      <c r="B10" s="281" t="s">
        <v>138</v>
      </c>
      <c r="C10" s="281"/>
      <c r="D10" s="282" t="s">
        <v>139</v>
      </c>
      <c r="E10" s="283" t="s">
        <v>286</v>
      </c>
      <c r="F10" s="106">
        <f>'9.1 - Summary '!T15</f>
        <v>0</v>
      </c>
      <c r="G10" s="276" t="s">
        <v>140</v>
      </c>
      <c r="H10" s="284">
        <v>0.2262649010137</v>
      </c>
      <c r="I10" s="276">
        <f>F10*H10</f>
        <v>0</v>
      </c>
      <c r="J10" s="276"/>
    </row>
    <row r="11" spans="1:10">
      <c r="B11" s="281" t="s">
        <v>141</v>
      </c>
      <c r="C11" s="281"/>
      <c r="D11" s="282" t="s">
        <v>139</v>
      </c>
      <c r="E11" s="283" t="s">
        <v>286</v>
      </c>
      <c r="F11" s="106">
        <f>'9.1 - Summary '!T16</f>
        <v>1986520.8500000015</v>
      </c>
      <c r="G11" s="276" t="s">
        <v>140</v>
      </c>
      <c r="H11" s="284">
        <v>0.2262649010137</v>
      </c>
      <c r="I11" s="276">
        <f t="shared" ref="I11:I12" si="0">F11*H11</f>
        <v>449479.94348690152</v>
      </c>
      <c r="J11" s="276"/>
    </row>
    <row r="12" spans="1:10">
      <c r="B12" s="281" t="s">
        <v>142</v>
      </c>
      <c r="C12" s="281"/>
      <c r="D12" s="282" t="s">
        <v>139</v>
      </c>
      <c r="E12" s="283" t="s">
        <v>286</v>
      </c>
      <c r="F12" s="106">
        <f>'9.1 - Summary '!T17</f>
        <v>0</v>
      </c>
      <c r="G12" s="276" t="s">
        <v>143</v>
      </c>
      <c r="H12" s="284">
        <v>0.22648067236840891</v>
      </c>
      <c r="I12" s="276">
        <f t="shared" si="0"/>
        <v>0</v>
      </c>
      <c r="J12" s="276"/>
    </row>
    <row r="13" spans="1:10">
      <c r="B13" s="281" t="s">
        <v>144</v>
      </c>
      <c r="C13" s="281"/>
      <c r="D13" s="282"/>
      <c r="E13" s="283"/>
      <c r="F13" s="285">
        <f>SUM(F10:F12)</f>
        <v>1986520.8500000015</v>
      </c>
      <c r="H13" s="284"/>
      <c r="I13" s="285">
        <f>SUM(I10:I12)</f>
        <v>449479.94348690152</v>
      </c>
      <c r="J13" s="332" t="s">
        <v>333</v>
      </c>
    </row>
    <row r="14" spans="1:10">
      <c r="B14" s="281"/>
      <c r="C14" s="286"/>
      <c r="D14" s="282"/>
      <c r="E14" s="283"/>
      <c r="H14" s="284"/>
    </row>
    <row r="15" spans="1:10">
      <c r="B15" s="274" t="s">
        <v>145</v>
      </c>
      <c r="C15" s="286"/>
      <c r="D15" s="282"/>
      <c r="E15" s="283"/>
      <c r="H15" s="284"/>
    </row>
    <row r="16" spans="1:10">
      <c r="B16" s="281" t="s">
        <v>146</v>
      </c>
      <c r="C16" s="286"/>
      <c r="D16" s="282" t="s">
        <v>147</v>
      </c>
      <c r="E16" s="283" t="s">
        <v>286</v>
      </c>
      <c r="F16" s="106">
        <f>'9.1 - Summary '!T21</f>
        <v>2517906.851172646</v>
      </c>
      <c r="G16" s="276" t="s">
        <v>140</v>
      </c>
      <c r="H16" s="284">
        <v>0.2262649010137</v>
      </c>
      <c r="I16" s="276">
        <f t="shared" ref="I16:I20" si="1">F16*H16</f>
        <v>569713.94444229582</v>
      </c>
      <c r="J16" s="276"/>
    </row>
    <row r="17" spans="2:10">
      <c r="B17" s="281" t="s">
        <v>148</v>
      </c>
      <c r="C17" s="286"/>
      <c r="D17" s="282" t="s">
        <v>147</v>
      </c>
      <c r="E17" s="283" t="s">
        <v>286</v>
      </c>
      <c r="F17" s="106">
        <f>'9.1 - Summary '!T22</f>
        <v>12267609.214563949</v>
      </c>
      <c r="G17" s="276" t="s">
        <v>143</v>
      </c>
      <c r="H17" s="284">
        <v>0.22648067236840891</v>
      </c>
      <c r="I17" s="276">
        <f t="shared" si="1"/>
        <v>2778376.3832673319</v>
      </c>
      <c r="J17" s="276"/>
    </row>
    <row r="18" spans="2:10">
      <c r="B18" s="281" t="s">
        <v>149</v>
      </c>
      <c r="C18" s="286"/>
      <c r="D18" s="282" t="s">
        <v>147</v>
      </c>
      <c r="E18" s="283" t="s">
        <v>286</v>
      </c>
      <c r="F18" s="106">
        <f>'9.1 - Summary '!T23</f>
        <v>62111789.894263402</v>
      </c>
      <c r="G18" s="276" t="s">
        <v>140</v>
      </c>
      <c r="H18" s="284">
        <v>0.2262649010137</v>
      </c>
      <c r="I18" s="276">
        <f t="shared" si="1"/>
        <v>14053717.992209241</v>
      </c>
      <c r="J18" s="276"/>
    </row>
    <row r="19" spans="2:10">
      <c r="B19" s="281" t="s">
        <v>150</v>
      </c>
      <c r="C19" s="286"/>
      <c r="D19" s="282" t="s">
        <v>147</v>
      </c>
      <c r="E19" s="283" t="s">
        <v>286</v>
      </c>
      <c r="F19" s="106">
        <f>'9.1 - Summary '!T24</f>
        <v>-22417736.889999986</v>
      </c>
      <c r="G19" s="276" t="s">
        <v>140</v>
      </c>
      <c r="H19" s="284">
        <v>0.2262649010137</v>
      </c>
      <c r="I19" s="276">
        <f t="shared" si="1"/>
        <v>-5072347.0183670176</v>
      </c>
      <c r="J19" s="276"/>
    </row>
    <row r="20" spans="2:10">
      <c r="B20" s="281" t="s">
        <v>151</v>
      </c>
      <c r="C20" s="281"/>
      <c r="D20" s="282" t="s">
        <v>147</v>
      </c>
      <c r="E20" s="283" t="s">
        <v>286</v>
      </c>
      <c r="F20" s="106">
        <f>'9.1 - Summary '!T25</f>
        <v>105421.68000000005</v>
      </c>
      <c r="G20" s="276" t="s">
        <v>140</v>
      </c>
      <c r="H20" s="284">
        <v>0.2262649010137</v>
      </c>
      <c r="I20" s="276">
        <f t="shared" si="1"/>
        <v>23853.225989897968</v>
      </c>
      <c r="J20" s="276"/>
    </row>
    <row r="21" spans="2:10">
      <c r="B21" s="281" t="s">
        <v>152</v>
      </c>
      <c r="C21" s="281"/>
      <c r="D21" s="282"/>
      <c r="E21" s="283"/>
      <c r="F21" s="285">
        <f>SUM(F16:F20)</f>
        <v>54584990.750000007</v>
      </c>
      <c r="H21" s="284"/>
      <c r="I21" s="285">
        <f>SUM(I16:I20)</f>
        <v>12353314.527541747</v>
      </c>
      <c r="J21" s="332" t="s">
        <v>333</v>
      </c>
    </row>
    <row r="22" spans="2:10">
      <c r="B22" s="281"/>
      <c r="C22" s="281"/>
      <c r="D22" s="282"/>
      <c r="E22" s="283"/>
      <c r="H22" s="284"/>
    </row>
    <row r="23" spans="2:10">
      <c r="B23" s="274" t="s">
        <v>153</v>
      </c>
      <c r="C23" s="281"/>
      <c r="D23" s="282"/>
      <c r="E23" s="283"/>
      <c r="H23" s="284"/>
      <c r="J23" s="276"/>
    </row>
    <row r="24" spans="2:10">
      <c r="B24" s="281" t="s">
        <v>154</v>
      </c>
      <c r="C24" s="281"/>
      <c r="D24" s="282" t="s">
        <v>155</v>
      </c>
      <c r="E24" s="283" t="s">
        <v>286</v>
      </c>
      <c r="F24" s="106">
        <f>'9.1 - Summary '!T29</f>
        <v>0</v>
      </c>
      <c r="G24" s="276" t="s">
        <v>140</v>
      </c>
      <c r="H24" s="284">
        <v>0.2262649010137</v>
      </c>
      <c r="I24" s="276">
        <f t="shared" ref="I24:I26" si="2">F24*H24</f>
        <v>0</v>
      </c>
      <c r="J24" s="276"/>
    </row>
    <row r="25" spans="2:10">
      <c r="B25" s="281" t="s">
        <v>156</v>
      </c>
      <c r="C25" s="286"/>
      <c r="D25" s="282" t="s">
        <v>155</v>
      </c>
      <c r="E25" s="283" t="s">
        <v>286</v>
      </c>
      <c r="F25" s="106">
        <f>'9.1 - Summary '!T30</f>
        <v>0</v>
      </c>
      <c r="G25" s="276" t="s">
        <v>140</v>
      </c>
      <c r="H25" s="284">
        <v>0.2262649010137</v>
      </c>
      <c r="I25" s="276">
        <f t="shared" si="2"/>
        <v>0</v>
      </c>
      <c r="J25" s="276"/>
    </row>
    <row r="26" spans="2:10">
      <c r="B26" s="281" t="s">
        <v>157</v>
      </c>
      <c r="C26" s="286"/>
      <c r="D26" s="282" t="s">
        <v>155</v>
      </c>
      <c r="E26" s="283" t="s">
        <v>286</v>
      </c>
      <c r="F26" s="106">
        <f>'9.1 - Summary '!T31</f>
        <v>0</v>
      </c>
      <c r="G26" s="276" t="s">
        <v>143</v>
      </c>
      <c r="H26" s="284">
        <v>0.22648067236840891</v>
      </c>
      <c r="I26" s="276">
        <f t="shared" si="2"/>
        <v>0</v>
      </c>
      <c r="J26" s="276"/>
    </row>
    <row r="27" spans="2:10">
      <c r="B27" s="281" t="s">
        <v>158</v>
      </c>
      <c r="C27" s="281"/>
      <c r="D27" s="282"/>
      <c r="E27" s="283"/>
      <c r="F27" s="285">
        <f>SUM(F24:F26)</f>
        <v>0</v>
      </c>
      <c r="H27" s="284"/>
      <c r="I27" s="285">
        <f>SUM(I24:I26)</f>
        <v>0</v>
      </c>
      <c r="J27" s="332" t="s">
        <v>333</v>
      </c>
    </row>
    <row r="28" spans="2:10">
      <c r="B28" s="281"/>
      <c r="C28" s="281"/>
      <c r="D28" s="282"/>
      <c r="E28" s="283"/>
      <c r="H28" s="284"/>
    </row>
    <row r="29" spans="2:10">
      <c r="B29" s="274" t="s">
        <v>159</v>
      </c>
      <c r="C29" s="274"/>
      <c r="D29" s="282"/>
      <c r="E29" s="283"/>
      <c r="H29" s="284"/>
      <c r="J29" s="276"/>
    </row>
    <row r="30" spans="2:10">
      <c r="B30" s="281" t="s">
        <v>160</v>
      </c>
      <c r="C30" s="274"/>
      <c r="D30" s="282" t="s">
        <v>161</v>
      </c>
      <c r="E30" s="283" t="s">
        <v>286</v>
      </c>
      <c r="F30" s="106">
        <f>'9.1 - Summary '!T35</f>
        <v>-4247001.4799999893</v>
      </c>
      <c r="G30" s="276" t="s">
        <v>143</v>
      </c>
      <c r="H30" s="284">
        <v>0.22648067236840891</v>
      </c>
      <c r="I30" s="276">
        <f t="shared" ref="I30:I31" si="3">F30*H30</f>
        <v>-961863.75074002531</v>
      </c>
      <c r="J30" s="276"/>
    </row>
    <row r="31" spans="2:10">
      <c r="B31" s="281" t="s">
        <v>162</v>
      </c>
      <c r="C31" s="274"/>
      <c r="D31" s="282" t="s">
        <v>163</v>
      </c>
      <c r="E31" s="283" t="s">
        <v>286</v>
      </c>
      <c r="F31" s="106">
        <f>'9.1 - Summary '!T36</f>
        <v>-1066463.7199999988</v>
      </c>
      <c r="G31" s="276" t="s">
        <v>143</v>
      </c>
      <c r="H31" s="284">
        <v>0.22648067236840891</v>
      </c>
      <c r="I31" s="276">
        <f t="shared" si="3"/>
        <v>-241533.4203621143</v>
      </c>
      <c r="J31" s="276"/>
    </row>
    <row r="32" spans="2:10">
      <c r="B32" s="281" t="s">
        <v>164</v>
      </c>
      <c r="C32" s="274"/>
      <c r="D32" s="282"/>
      <c r="E32" s="283"/>
      <c r="F32" s="285">
        <f>SUM(F30:F31)</f>
        <v>-5313465.1999999881</v>
      </c>
      <c r="H32" s="287"/>
      <c r="I32" s="285">
        <f>SUM(I30:I31)</f>
        <v>-1203397.1711021396</v>
      </c>
      <c r="J32" s="332" t="s">
        <v>333</v>
      </c>
    </row>
    <row r="33" spans="1:11">
      <c r="B33" s="281"/>
      <c r="C33" s="274"/>
      <c r="D33" s="282"/>
      <c r="E33" s="283"/>
      <c r="H33" s="287"/>
      <c r="I33" s="106"/>
      <c r="J33" s="276"/>
    </row>
    <row r="34" spans="1:11">
      <c r="B34" s="288" t="s">
        <v>284</v>
      </c>
      <c r="C34" s="274"/>
      <c r="D34" s="282"/>
      <c r="E34" s="283"/>
      <c r="F34" s="285">
        <f>-F13+F21+F27+F32</f>
        <v>47285004.700000018</v>
      </c>
      <c r="H34" s="287"/>
      <c r="I34" s="285">
        <f>-I13+I21+I27+I32</f>
        <v>10700437.412952706</v>
      </c>
      <c r="J34" s="332" t="s">
        <v>333</v>
      </c>
    </row>
    <row r="35" spans="1:11">
      <c r="C35" s="274"/>
      <c r="F35" s="289"/>
      <c r="J35" s="276"/>
    </row>
    <row r="36" spans="1:11">
      <c r="C36" s="274"/>
      <c r="F36" s="289"/>
      <c r="J36" s="276"/>
    </row>
    <row r="37" spans="1:11">
      <c r="C37" s="274"/>
      <c r="F37" s="289"/>
      <c r="J37" s="276"/>
    </row>
    <row r="42" spans="1:11" ht="13.5" thickBot="1">
      <c r="B42" s="290" t="s">
        <v>283</v>
      </c>
    </row>
    <row r="43" spans="1:11">
      <c r="A43" s="347" t="s">
        <v>382</v>
      </c>
      <c r="B43" s="348"/>
      <c r="C43" s="348"/>
      <c r="D43" s="348"/>
      <c r="E43" s="348"/>
      <c r="F43" s="348"/>
      <c r="G43" s="348"/>
      <c r="H43" s="348"/>
      <c r="I43" s="348"/>
      <c r="J43" s="348"/>
      <c r="K43" s="349"/>
    </row>
    <row r="44" spans="1:11">
      <c r="A44" s="350"/>
      <c r="B44" s="351"/>
      <c r="C44" s="351"/>
      <c r="D44" s="351"/>
      <c r="E44" s="351"/>
      <c r="F44" s="351"/>
      <c r="G44" s="351"/>
      <c r="H44" s="351"/>
      <c r="I44" s="351"/>
      <c r="J44" s="351"/>
      <c r="K44" s="352"/>
    </row>
    <row r="45" spans="1:11">
      <c r="A45" s="350"/>
      <c r="B45" s="351"/>
      <c r="C45" s="351"/>
      <c r="D45" s="351"/>
      <c r="E45" s="351"/>
      <c r="F45" s="351"/>
      <c r="G45" s="351"/>
      <c r="H45" s="351"/>
      <c r="I45" s="351"/>
      <c r="J45" s="351"/>
      <c r="K45" s="352"/>
    </row>
    <row r="46" spans="1:11">
      <c r="A46" s="350"/>
      <c r="B46" s="351"/>
      <c r="C46" s="351"/>
      <c r="D46" s="351"/>
      <c r="E46" s="351"/>
      <c r="F46" s="351"/>
      <c r="G46" s="351"/>
      <c r="H46" s="351"/>
      <c r="I46" s="351"/>
      <c r="J46" s="351"/>
      <c r="K46" s="352"/>
    </row>
    <row r="47" spans="1:11">
      <c r="A47" s="350"/>
      <c r="B47" s="351"/>
      <c r="C47" s="351"/>
      <c r="D47" s="351"/>
      <c r="E47" s="351"/>
      <c r="F47" s="351"/>
      <c r="G47" s="351"/>
      <c r="H47" s="351"/>
      <c r="I47" s="351"/>
      <c r="J47" s="351"/>
      <c r="K47" s="352"/>
    </row>
    <row r="48" spans="1:11">
      <c r="A48" s="350"/>
      <c r="B48" s="351"/>
      <c r="C48" s="351"/>
      <c r="D48" s="351"/>
      <c r="E48" s="351"/>
      <c r="F48" s="351"/>
      <c r="G48" s="351"/>
      <c r="H48" s="351"/>
      <c r="I48" s="351"/>
      <c r="J48" s="351"/>
      <c r="K48" s="352"/>
    </row>
    <row r="49" spans="1:11">
      <c r="A49" s="350"/>
      <c r="B49" s="351"/>
      <c r="C49" s="351"/>
      <c r="D49" s="351"/>
      <c r="E49" s="351"/>
      <c r="F49" s="351"/>
      <c r="G49" s="351"/>
      <c r="H49" s="351"/>
      <c r="I49" s="351"/>
      <c r="J49" s="351"/>
      <c r="K49" s="352"/>
    </row>
    <row r="50" spans="1:11" ht="13.5" thickBot="1">
      <c r="A50" s="353"/>
      <c r="B50" s="354"/>
      <c r="C50" s="354"/>
      <c r="D50" s="354"/>
      <c r="E50" s="354"/>
      <c r="F50" s="354"/>
      <c r="G50" s="354"/>
      <c r="H50" s="354"/>
      <c r="I50" s="354"/>
      <c r="J50" s="354"/>
      <c r="K50" s="355"/>
    </row>
  </sheetData>
  <mergeCells count="1">
    <mergeCell ref="A43:K50"/>
  </mergeCells>
  <conditionalFormatting sqref="B9:B26">
    <cfRule type="cellIs" dxfId="65" priority="3" stopIfTrue="1" operator="equal">
      <formula>"Adjustment to Income/Expense/Rate Base:"</formula>
    </cfRule>
  </conditionalFormatting>
  <conditionalFormatting sqref="B20:B22">
    <cfRule type="cellIs" dxfId="64" priority="2" stopIfTrue="1" operator="equal">
      <formula>"Title"</formula>
    </cfRule>
  </conditionalFormatting>
  <conditionalFormatting sqref="B27:B34">
    <cfRule type="cellIs" dxfId="63" priority="1" stopIfTrue="1" operator="equal">
      <formula>"Adjustment to Income/Expense/Rate Base:"</formula>
    </cfRule>
  </conditionalFormatting>
  <pageMargins left="0.65" right="0.72" top="1" bottom="1" header="0.5" footer="0.5"/>
  <pageSetup scale="72" orientation="portrait" r:id="rId1"/>
  <headerFooter alignWithMargins="0">
    <oddHeader>&amp;L&amp;"Arial,Regular"&amp;10WA UE-130043
Bench Request 9&amp;R&amp;"Arial,Bold"&amp;10Attachment Bench Request 9</oddHeader>
    <oddFooter>&amp;L&amp;"Arial,Regular"&amp;10&amp;F&amp;C&amp;A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23"/>
  <sheetViews>
    <sheetView view="pageBreakPreview" zoomScale="85" zoomScaleNormal="85" zoomScaleSheetLayoutView="85" workbookViewId="0">
      <pane xSplit="3" ySplit="6" topLeftCell="D7" activePane="bottomRight" state="frozen"/>
      <selection activeCell="T91" sqref="T91"/>
      <selection pane="topRight" activeCell="T91" sqref="T91"/>
      <selection pane="bottomLeft" activeCell="T91" sqref="T91"/>
      <selection pane="bottomRight" activeCell="T91" sqref="T91"/>
    </sheetView>
  </sheetViews>
  <sheetFormatPr defaultColWidth="11" defaultRowHeight="10.5"/>
  <cols>
    <col min="1" max="1" width="3" style="3" customWidth="1"/>
    <col min="2" max="2" width="2.6640625" style="3" customWidth="1"/>
    <col min="3" max="3" width="33.1640625" style="3" customWidth="1"/>
    <col min="4" max="4" width="13.83203125" style="3" customWidth="1"/>
    <col min="5" max="5" width="2.33203125" style="3" customWidth="1"/>
    <col min="6" max="6" width="15.83203125" style="3" customWidth="1"/>
    <col min="7" max="8" width="13.33203125" style="3" bestFit="1" customWidth="1"/>
    <col min="9" max="9" width="13.83203125" style="3" bestFit="1" customWidth="1"/>
    <col min="10" max="10" width="11" style="3" customWidth="1"/>
    <col min="11" max="11" width="14.5" style="3" customWidth="1"/>
    <col min="12" max="12" width="11" style="3" customWidth="1"/>
    <col min="13" max="13" width="14.1640625" style="3" bestFit="1" customWidth="1"/>
    <col min="14" max="14" width="20.1640625" style="27" bestFit="1" customWidth="1"/>
    <col min="15" max="15" width="15" style="3" bestFit="1" customWidth="1"/>
    <col min="16" max="16" width="14.6640625" style="3" bestFit="1" customWidth="1"/>
    <col min="17" max="16384" width="11" style="3"/>
  </cols>
  <sheetData>
    <row r="1" spans="1:14">
      <c r="A1" s="4" t="s">
        <v>118</v>
      </c>
      <c r="D1"/>
      <c r="E1" s="9"/>
      <c r="F1" s="8" t="s">
        <v>42</v>
      </c>
    </row>
    <row r="2" spans="1:14">
      <c r="A2" s="20"/>
      <c r="D2"/>
      <c r="E2" s="9"/>
      <c r="F2" s="9" t="s">
        <v>0</v>
      </c>
      <c r="K2" s="50"/>
    </row>
    <row r="3" spans="1:14">
      <c r="A3" s="5" t="s">
        <v>52</v>
      </c>
      <c r="D3" s="10"/>
      <c r="E3" s="10"/>
      <c r="F3" s="8" t="s">
        <v>1</v>
      </c>
    </row>
    <row r="4" spans="1:14">
      <c r="A4" s="358">
        <v>41974</v>
      </c>
      <c r="B4" s="358"/>
      <c r="C4" s="358"/>
      <c r="D4" s="10"/>
      <c r="E4" s="10"/>
      <c r="F4" s="9"/>
    </row>
    <row r="5" spans="1:14">
      <c r="B5" s="5"/>
      <c r="D5" s="11" t="s">
        <v>2</v>
      </c>
      <c r="E5" s="11"/>
      <c r="F5" s="12" t="s">
        <v>3</v>
      </c>
      <c r="G5" s="12" t="s">
        <v>3</v>
      </c>
      <c r="H5" s="12"/>
      <c r="I5" s="12"/>
    </row>
    <row r="6" spans="1:14" s="11" customFormat="1">
      <c r="A6" s="3"/>
      <c r="B6" s="3"/>
      <c r="C6" s="3"/>
      <c r="D6" s="41" t="s">
        <v>117</v>
      </c>
      <c r="E6" s="15"/>
      <c r="F6" s="13" t="s">
        <v>4</v>
      </c>
      <c r="G6" s="13" t="s">
        <v>5</v>
      </c>
      <c r="H6" s="13" t="s">
        <v>6</v>
      </c>
      <c r="I6" s="13" t="s">
        <v>7</v>
      </c>
      <c r="N6" s="28"/>
    </row>
    <row r="7" spans="1:14">
      <c r="A7" s="3" t="s">
        <v>8</v>
      </c>
      <c r="F7" s="6"/>
      <c r="G7" s="6"/>
      <c r="H7" s="6"/>
      <c r="I7" s="6"/>
    </row>
    <row r="8" spans="1:14">
      <c r="B8" t="s">
        <v>9</v>
      </c>
      <c r="D8" s="26">
        <v>12964800</v>
      </c>
      <c r="E8" s="16"/>
      <c r="F8" s="26">
        <f>D8</f>
        <v>12964800</v>
      </c>
      <c r="G8"/>
      <c r="H8"/>
      <c r="I8"/>
    </row>
    <row r="9" spans="1:14" hidden="1">
      <c r="B9"/>
      <c r="D9" s="16"/>
      <c r="E9" s="16"/>
      <c r="F9" s="1"/>
      <c r="G9" s="6"/>
      <c r="H9" s="6"/>
      <c r="I9" s="6"/>
    </row>
    <row r="10" spans="1:14">
      <c r="B10" t="s">
        <v>10</v>
      </c>
      <c r="D10" s="26">
        <v>58877285.899999999</v>
      </c>
      <c r="E10" s="16"/>
      <c r="F10" s="1"/>
      <c r="G10" s="6"/>
      <c r="H10" s="6"/>
      <c r="I10" s="26">
        <f>D10</f>
        <v>58877285.899999999</v>
      </c>
    </row>
    <row r="11" spans="1:14" hidden="1">
      <c r="B11"/>
      <c r="D11" s="16"/>
      <c r="E11" s="16"/>
      <c r="F11" s="1"/>
      <c r="G11" s="6"/>
      <c r="H11" s="6"/>
      <c r="I11" s="6"/>
    </row>
    <row r="12" spans="1:14" hidden="1">
      <c r="B12" t="s">
        <v>11</v>
      </c>
      <c r="D12" s="26">
        <v>0</v>
      </c>
      <c r="E12" s="16"/>
      <c r="F12" s="26">
        <f>D12</f>
        <v>0</v>
      </c>
      <c r="G12" s="6"/>
      <c r="H12" s="6"/>
      <c r="I12" s="6"/>
    </row>
    <row r="13" spans="1:14" hidden="1">
      <c r="C13"/>
      <c r="D13" s="16"/>
      <c r="E13" s="16"/>
      <c r="F13" s="6"/>
      <c r="G13" s="6"/>
      <c r="H13" s="6"/>
      <c r="I13" s="6"/>
    </row>
    <row r="14" spans="1:14" hidden="1">
      <c r="B14" s="3" t="s">
        <v>12</v>
      </c>
      <c r="C14"/>
      <c r="D14" s="26">
        <v>0</v>
      </c>
      <c r="E14" s="16"/>
      <c r="F14" s="6"/>
      <c r="G14" s="6"/>
      <c r="H14" s="26">
        <f>D14</f>
        <v>0</v>
      </c>
      <c r="I14" s="6"/>
    </row>
    <row r="15" spans="1:14" ht="11.25" thickBot="1">
      <c r="D15" s="11" t="s">
        <v>14</v>
      </c>
      <c r="E15" s="14" t="s">
        <v>13</v>
      </c>
      <c r="F15" s="11" t="s">
        <v>14</v>
      </c>
      <c r="G15" s="11" t="s">
        <v>14</v>
      </c>
      <c r="H15" s="11" t="s">
        <v>14</v>
      </c>
      <c r="I15" s="11" t="s">
        <v>14</v>
      </c>
    </row>
    <row r="16" spans="1:14" ht="11.25" thickBot="1">
      <c r="A16" s="3" t="s">
        <v>15</v>
      </c>
      <c r="D16" s="26">
        <f>SUM(D8:D14)</f>
        <v>71842085.900000006</v>
      </c>
      <c r="E16" s="16"/>
      <c r="F16" s="26">
        <f>SUM(F8:F14)</f>
        <v>12964800</v>
      </c>
      <c r="G16" s="26">
        <f>SUM(G8:G14)</f>
        <v>0</v>
      </c>
      <c r="H16" s="26">
        <f>SUM(H8:H14)</f>
        <v>0</v>
      </c>
      <c r="I16" s="26">
        <f>SUM(I8:I14)</f>
        <v>58877285.899999999</v>
      </c>
      <c r="K16" s="36">
        <v>0</v>
      </c>
      <c r="L16" s="24" t="s">
        <v>40</v>
      </c>
      <c r="M16" s="37">
        <f>D16-SUM(F16:I16)</f>
        <v>0</v>
      </c>
    </row>
    <row r="17" spans="1:19">
      <c r="D17" s="16"/>
      <c r="E17" s="16"/>
      <c r="F17" s="16"/>
      <c r="G17" s="16"/>
      <c r="H17" s="16"/>
      <c r="I17" s="16"/>
      <c r="P17" s="8" t="s">
        <v>67</v>
      </c>
    </row>
    <row r="18" spans="1:19">
      <c r="D18"/>
      <c r="E18" s="6"/>
      <c r="F18" s="6"/>
      <c r="G18" s="6"/>
      <c r="H18" s="6"/>
      <c r="I18" s="6"/>
      <c r="N18" s="39"/>
      <c r="O18" s="35"/>
      <c r="P18" s="48">
        <f>+A4</f>
        <v>41974</v>
      </c>
    </row>
    <row r="19" spans="1:19" ht="11.25">
      <c r="A19" s="3" t="s">
        <v>16</v>
      </c>
      <c r="D19" s="16"/>
      <c r="E19" s="16"/>
      <c r="F19" s="45"/>
      <c r="G19" s="6"/>
      <c r="H19" s="6"/>
      <c r="I19" s="6"/>
      <c r="N19" s="29" t="s">
        <v>56</v>
      </c>
      <c r="O19" s="42">
        <v>0</v>
      </c>
      <c r="P19" s="16">
        <v>0</v>
      </c>
      <c r="Q19" s="44"/>
      <c r="R19" s="30"/>
      <c r="S19" s="16"/>
    </row>
    <row r="20" spans="1:19" ht="11.25" hidden="1">
      <c r="B20"/>
      <c r="C20" s="3" t="s">
        <v>17</v>
      </c>
      <c r="D20" s="26">
        <v>0</v>
      </c>
      <c r="E20" s="16"/>
      <c r="F20" s="26">
        <f>D20</f>
        <v>0</v>
      </c>
      <c r="G20" s="6"/>
      <c r="H20" s="6"/>
      <c r="I20" s="6"/>
      <c r="N20" s="29" t="s">
        <v>58</v>
      </c>
      <c r="O20" s="42">
        <f>1-O19</f>
        <v>1</v>
      </c>
      <c r="P20" s="16">
        <v>0</v>
      </c>
      <c r="Q20" s="44"/>
      <c r="R20" s="30"/>
      <c r="S20" s="16"/>
    </row>
    <row r="21" spans="1:19" ht="11.25" hidden="1">
      <c r="B21"/>
      <c r="C21" s="3" t="s">
        <v>18</v>
      </c>
      <c r="D21" s="26">
        <v>0</v>
      </c>
      <c r="E21" s="16"/>
      <c r="F21" s="26">
        <f>D21-G21</f>
        <v>0</v>
      </c>
      <c r="G21" s="26">
        <v>0</v>
      </c>
      <c r="H21" s="6"/>
      <c r="I21" s="6"/>
      <c r="N21" s="29" t="s">
        <v>57</v>
      </c>
      <c r="O21" s="42">
        <f>IFERROR(P21/(P21+P22),0)</f>
        <v>0</v>
      </c>
      <c r="P21" s="16">
        <v>0</v>
      </c>
      <c r="Q21" s="44"/>
      <c r="R21" s="30"/>
      <c r="S21" s="16"/>
    </row>
    <row r="22" spans="1:19" ht="11.25">
      <c r="B22"/>
      <c r="C22" s="3" t="s">
        <v>19</v>
      </c>
      <c r="D22" s="26">
        <v>-148246.80999999959</v>
      </c>
      <c r="E22" s="16"/>
      <c r="F22" s="26">
        <f>D22*0.3</f>
        <v>-44474.042999999874</v>
      </c>
      <c r="G22" s="26">
        <f>D22*0.7</f>
        <v>-103772.7669999997</v>
      </c>
      <c r="H22" s="6"/>
      <c r="I22" s="6"/>
      <c r="N22" s="29" t="s">
        <v>59</v>
      </c>
      <c r="O22" s="42">
        <f>1-O21</f>
        <v>1</v>
      </c>
      <c r="P22" s="16">
        <v>0</v>
      </c>
      <c r="Q22" s="44"/>
      <c r="R22" s="30"/>
      <c r="S22" s="16"/>
    </row>
    <row r="23" spans="1:19">
      <c r="B23"/>
      <c r="C23" s="3" t="s">
        <v>20</v>
      </c>
      <c r="D23" s="26">
        <v>270000</v>
      </c>
      <c r="E23" s="16"/>
      <c r="F23" s="26">
        <f>D23*0.2073628</f>
        <v>55987.956000000006</v>
      </c>
      <c r="G23" s="26">
        <f>D23-F23</f>
        <v>214012.04399999999</v>
      </c>
      <c r="H23" s="6"/>
      <c r="I23" s="6"/>
    </row>
    <row r="24" spans="1:19">
      <c r="B24"/>
      <c r="C24" s="3" t="s">
        <v>21</v>
      </c>
      <c r="D24" s="26">
        <f>N27</f>
        <v>0</v>
      </c>
      <c r="E24" s="16"/>
      <c r="F24" s="31">
        <f>(N25+N24*O19)*K24</f>
        <v>0</v>
      </c>
      <c r="G24" s="31">
        <f>(N25+N24*O19)*L24</f>
        <v>0</v>
      </c>
      <c r="H24" s="6"/>
      <c r="I24" s="31">
        <f>(N26+N24*O20)</f>
        <v>0</v>
      </c>
      <c r="K24" s="25">
        <v>0.17029549999999999</v>
      </c>
      <c r="L24" s="25">
        <f>1-K24</f>
        <v>0.82970450000000007</v>
      </c>
      <c r="N24" s="26">
        <v>0</v>
      </c>
      <c r="O24" t="s">
        <v>53</v>
      </c>
    </row>
    <row r="25" spans="1:19">
      <c r="B25"/>
      <c r="C25" s="49" t="s">
        <v>90</v>
      </c>
      <c r="D25" s="26">
        <v>0</v>
      </c>
      <c r="E25" s="16"/>
      <c r="F25" s="6"/>
      <c r="G25" s="26">
        <f>D25</f>
        <v>0</v>
      </c>
      <c r="H25" s="6"/>
      <c r="I25" s="26"/>
      <c r="N25" s="26">
        <v>0</v>
      </c>
      <c r="O25" t="s">
        <v>50</v>
      </c>
    </row>
    <row r="26" spans="1:19">
      <c r="B26" s="40" t="s">
        <v>65</v>
      </c>
      <c r="C26" s="14"/>
      <c r="D26" s="11" t="s">
        <v>14</v>
      </c>
      <c r="E26" s="14" t="s">
        <v>13</v>
      </c>
      <c r="F26" s="11" t="s">
        <v>14</v>
      </c>
      <c r="G26" s="11" t="s">
        <v>14</v>
      </c>
      <c r="H26" s="11" t="s">
        <v>14</v>
      </c>
      <c r="I26" s="11" t="s">
        <v>14</v>
      </c>
      <c r="K26" s="25"/>
      <c r="L26" s="25"/>
      <c r="N26" s="43">
        <v>0</v>
      </c>
      <c r="O26" t="s">
        <v>49</v>
      </c>
    </row>
    <row r="27" spans="1:19">
      <c r="B27" s="3" t="s">
        <v>22</v>
      </c>
      <c r="C27"/>
      <c r="D27" s="26">
        <f>SUM(D20:D26)</f>
        <v>121753.19000000041</v>
      </c>
      <c r="E27" s="16"/>
      <c r="F27" s="26">
        <f t="shared" ref="F27:I27" si="0">SUM(F20:F26)</f>
        <v>11513.913000000131</v>
      </c>
      <c r="G27" s="26">
        <f t="shared" si="0"/>
        <v>110239.27700000029</v>
      </c>
      <c r="H27" s="26">
        <f t="shared" si="0"/>
        <v>0</v>
      </c>
      <c r="I27" s="26">
        <f t="shared" si="0"/>
        <v>0</v>
      </c>
      <c r="K27" s="25"/>
      <c r="L27" s="25"/>
      <c r="N27" s="26">
        <f>SUM(N24:N26)</f>
        <v>0</v>
      </c>
      <c r="O27"/>
    </row>
    <row r="28" spans="1:19" ht="12.75">
      <c r="D28" s="1"/>
      <c r="E28" s="16"/>
      <c r="F28" s="1"/>
      <c r="G28" s="1"/>
      <c r="H28" s="6"/>
      <c r="I28" s="6"/>
      <c r="K28" s="25"/>
      <c r="L28" s="25"/>
      <c r="N28" s="34"/>
      <c r="O28" s="32"/>
    </row>
    <row r="29" spans="1:19" hidden="1">
      <c r="B29"/>
      <c r="C29" s="3" t="s">
        <v>41</v>
      </c>
      <c r="D29" s="26">
        <v>0</v>
      </c>
      <c r="E29" s="16"/>
      <c r="F29" s="26"/>
      <c r="G29" s="26">
        <f>D29</f>
        <v>0</v>
      </c>
      <c r="H29" s="6"/>
      <c r="I29" s="6"/>
      <c r="K29" s="25"/>
      <c r="L29" s="25"/>
      <c r="N29" s="26">
        <v>0</v>
      </c>
      <c r="O29" t="s">
        <v>54</v>
      </c>
    </row>
    <row r="30" spans="1:19" hidden="1">
      <c r="B30"/>
      <c r="C30" s="3" t="s">
        <v>23</v>
      </c>
      <c r="D30" s="26">
        <v>0</v>
      </c>
      <c r="E30" s="16"/>
      <c r="F30" s="26"/>
      <c r="G30" s="26">
        <f>D30</f>
        <v>0</v>
      </c>
      <c r="H30" s="6"/>
      <c r="I30" s="6"/>
      <c r="K30" s="25"/>
      <c r="L30" s="25"/>
      <c r="M30" s="21"/>
      <c r="N30" s="26">
        <v>0</v>
      </c>
      <c r="O30" t="s">
        <v>51</v>
      </c>
    </row>
    <row r="31" spans="1:19" hidden="1">
      <c r="B31"/>
      <c r="C31" s="3" t="s">
        <v>24</v>
      </c>
      <c r="D31" s="26">
        <f>N32</f>
        <v>0</v>
      </c>
      <c r="E31" s="16"/>
      <c r="F31" s="31">
        <f>(N30+N29*O21)*K31</f>
        <v>0</v>
      </c>
      <c r="G31" s="31">
        <f>(N30+N29*O21)*L31</f>
        <v>0</v>
      </c>
      <c r="H31" s="6"/>
      <c r="I31" s="31">
        <f>(N31+N29*O22)</f>
        <v>0</v>
      </c>
      <c r="K31" s="25">
        <v>0.7</v>
      </c>
      <c r="L31" s="25">
        <f>1-K31</f>
        <v>0.30000000000000004</v>
      </c>
      <c r="N31" s="43">
        <v>0</v>
      </c>
      <c r="O31" t="s">
        <v>48</v>
      </c>
    </row>
    <row r="32" spans="1:19" hidden="1">
      <c r="B32"/>
      <c r="C32" s="3" t="s">
        <v>25</v>
      </c>
      <c r="D32" s="26">
        <v>0</v>
      </c>
      <c r="E32" s="16"/>
      <c r="F32" s="26">
        <f>D32</f>
        <v>0</v>
      </c>
      <c r="G32" s="26">
        <v>0</v>
      </c>
      <c r="H32" s="6"/>
      <c r="I32" s="6"/>
      <c r="N32" s="33">
        <f>SUM(N29:N31)</f>
        <v>0</v>
      </c>
      <c r="O32"/>
    </row>
    <row r="33" spans="2:18" hidden="1">
      <c r="B33"/>
      <c r="C33" s="3" t="s">
        <v>89</v>
      </c>
      <c r="D33" s="26">
        <v>0</v>
      </c>
      <c r="E33" s="16"/>
      <c r="F33" s="6"/>
      <c r="G33" s="26">
        <f>D33</f>
        <v>0</v>
      </c>
      <c r="H33" s="6"/>
      <c r="I33" s="6"/>
      <c r="N33" s="33"/>
      <c r="O33"/>
    </row>
    <row r="34" spans="2:18" hidden="1">
      <c r="B34"/>
      <c r="C34" s="3" t="s">
        <v>26</v>
      </c>
      <c r="D34" s="26">
        <v>0</v>
      </c>
      <c r="E34" s="16"/>
      <c r="F34" s="26">
        <v>0</v>
      </c>
      <c r="G34" s="26">
        <v>0</v>
      </c>
      <c r="H34" s="6"/>
      <c r="I34" s="6"/>
    </row>
    <row r="35" spans="2:18" hidden="1">
      <c r="B35" s="40" t="s">
        <v>65</v>
      </c>
      <c r="C35" s="14"/>
      <c r="D35" s="11" t="s">
        <v>14</v>
      </c>
      <c r="E35" s="14" t="s">
        <v>13</v>
      </c>
      <c r="F35" s="11" t="s">
        <v>14</v>
      </c>
      <c r="G35" s="11" t="s">
        <v>14</v>
      </c>
      <c r="H35" s="11" t="s">
        <v>14</v>
      </c>
      <c r="I35" s="11" t="s">
        <v>14</v>
      </c>
      <c r="R35" s="30"/>
    </row>
    <row r="36" spans="2:18" hidden="1">
      <c r="B36" s="3" t="s">
        <v>27</v>
      </c>
      <c r="C36"/>
      <c r="D36" s="26">
        <f>SUM(D29:D35)</f>
        <v>0</v>
      </c>
      <c r="E36" s="16"/>
      <c r="F36" s="26">
        <f t="shared" ref="F36:I36" si="1">SUM(F29:F35)</f>
        <v>0</v>
      </c>
      <c r="G36" s="26">
        <f t="shared" si="1"/>
        <v>0</v>
      </c>
      <c r="H36" s="26">
        <f t="shared" si="1"/>
        <v>0</v>
      </c>
      <c r="I36" s="26">
        <f t="shared" si="1"/>
        <v>0</v>
      </c>
    </row>
    <row r="37" spans="2:18">
      <c r="D37" s="16"/>
      <c r="E37" s="16"/>
      <c r="F37" s="6"/>
      <c r="G37" s="6"/>
      <c r="H37" s="6"/>
      <c r="I37" s="6"/>
      <c r="N37" s="3"/>
    </row>
    <row r="38" spans="2:18" hidden="1">
      <c r="B38"/>
      <c r="C38" s="3" t="s">
        <v>68</v>
      </c>
      <c r="D38" s="26">
        <v>0</v>
      </c>
      <c r="E38" s="16"/>
      <c r="F38" s="6"/>
      <c r="G38" s="6"/>
      <c r="H38" s="6"/>
      <c r="I38" s="26">
        <f t="shared" ref="I38:I63" si="2">IF(K38="Post Merger",D38,0)</f>
        <v>0</v>
      </c>
      <c r="K38" s="3" t="s">
        <v>10</v>
      </c>
    </row>
    <row r="39" spans="2:18" hidden="1">
      <c r="B39"/>
      <c r="C39" s="3" t="s">
        <v>55</v>
      </c>
      <c r="D39" s="26">
        <v>0</v>
      </c>
      <c r="E39" s="16"/>
      <c r="F39" s="6"/>
      <c r="G39" s="6"/>
      <c r="H39" s="6"/>
      <c r="I39" s="26">
        <f t="shared" si="2"/>
        <v>0</v>
      </c>
      <c r="K39" s="3" t="s">
        <v>10</v>
      </c>
    </row>
    <row r="40" spans="2:18" hidden="1">
      <c r="B40"/>
      <c r="C40" s="3" t="s">
        <v>69</v>
      </c>
      <c r="D40" s="26">
        <v>0</v>
      </c>
      <c r="E40" s="16"/>
      <c r="F40" s="6"/>
      <c r="G40" s="6"/>
      <c r="H40" s="6"/>
      <c r="I40" s="26">
        <f>IF(K40="Post Merger",D40,0)</f>
        <v>0</v>
      </c>
      <c r="K40" s="3" t="s">
        <v>10</v>
      </c>
    </row>
    <row r="41" spans="2:18" hidden="1">
      <c r="B41"/>
      <c r="C41" s="3" t="s">
        <v>88</v>
      </c>
      <c r="D41" s="26">
        <v>0</v>
      </c>
      <c r="E41" s="16"/>
      <c r="F41" s="6"/>
      <c r="G41" s="6"/>
      <c r="H41" s="6"/>
      <c r="I41" s="26">
        <f>IF(K41="Post Merger",D41,0)</f>
        <v>0</v>
      </c>
      <c r="K41" s="3" t="s">
        <v>10</v>
      </c>
    </row>
    <row r="42" spans="2:18" hidden="1">
      <c r="B42"/>
      <c r="C42" s="3" t="s">
        <v>70</v>
      </c>
      <c r="D42" s="26">
        <v>0</v>
      </c>
      <c r="E42" s="16"/>
      <c r="F42" s="6"/>
      <c r="G42" s="6"/>
      <c r="H42" s="6"/>
      <c r="I42" s="26">
        <f>IF(K42="Post Merger",D42,0)</f>
        <v>0</v>
      </c>
      <c r="K42" s="3" t="s">
        <v>10</v>
      </c>
    </row>
    <row r="43" spans="2:18">
      <c r="B43"/>
      <c r="C43" s="3" t="s">
        <v>71</v>
      </c>
      <c r="D43" s="26">
        <v>4575693.2</v>
      </c>
      <c r="E43" s="16"/>
      <c r="F43" s="6"/>
      <c r="G43" s="6"/>
      <c r="H43" s="6"/>
      <c r="I43" s="26">
        <f t="shared" si="2"/>
        <v>4575693.2</v>
      </c>
      <c r="K43" s="3" t="s">
        <v>10</v>
      </c>
    </row>
    <row r="44" spans="2:18" hidden="1">
      <c r="B44"/>
      <c r="C44" s="3" t="s">
        <v>72</v>
      </c>
      <c r="D44" s="26">
        <v>0</v>
      </c>
      <c r="E44" s="16"/>
      <c r="F44" s="6"/>
      <c r="G44" s="6"/>
      <c r="H44" s="6"/>
      <c r="I44" s="26">
        <f t="shared" si="2"/>
        <v>0</v>
      </c>
      <c r="K44" s="3" t="s">
        <v>10</v>
      </c>
    </row>
    <row r="45" spans="2:18">
      <c r="B45"/>
      <c r="C45" s="3" t="s">
        <v>46</v>
      </c>
      <c r="D45" s="26">
        <v>8005931.2199999997</v>
      </c>
      <c r="E45" s="16"/>
      <c r="F45" s="6"/>
      <c r="G45" s="6"/>
      <c r="H45" s="6"/>
      <c r="I45" s="26">
        <f t="shared" si="2"/>
        <v>8005931.2199999997</v>
      </c>
      <c r="K45" s="3" t="s">
        <v>10</v>
      </c>
    </row>
    <row r="46" spans="2:18" ht="11.25" thickBot="1">
      <c r="B46"/>
      <c r="C46" s="3" t="s">
        <v>73</v>
      </c>
      <c r="D46" s="26">
        <v>84829041.859999999</v>
      </c>
      <c r="E46" s="16"/>
      <c r="F46" s="6"/>
      <c r="G46" s="6"/>
      <c r="H46" s="6"/>
      <c r="I46" s="26">
        <f t="shared" si="2"/>
        <v>84829041.859999999</v>
      </c>
      <c r="K46" s="3" t="s">
        <v>10</v>
      </c>
    </row>
    <row r="47" spans="2:18" hidden="1">
      <c r="B47"/>
      <c r="C47" s="3" t="s">
        <v>74</v>
      </c>
      <c r="D47" s="26">
        <v>0</v>
      </c>
      <c r="E47" s="16"/>
      <c r="F47" s="6"/>
      <c r="G47" s="6"/>
      <c r="H47" s="6"/>
      <c r="I47" s="26">
        <f t="shared" si="2"/>
        <v>0</v>
      </c>
      <c r="K47" s="3" t="s">
        <v>10</v>
      </c>
    </row>
    <row r="48" spans="2:18" hidden="1">
      <c r="B48"/>
      <c r="C48" s="3" t="s">
        <v>75</v>
      </c>
      <c r="D48" s="26">
        <v>0</v>
      </c>
      <c r="E48" s="16"/>
      <c r="F48" s="6"/>
      <c r="G48" s="6"/>
      <c r="H48" s="6"/>
      <c r="I48" s="26">
        <f t="shared" si="2"/>
        <v>0</v>
      </c>
      <c r="K48" s="3" t="s">
        <v>10</v>
      </c>
    </row>
    <row r="49" spans="2:11" hidden="1">
      <c r="B49"/>
      <c r="C49" s="3" t="s">
        <v>45</v>
      </c>
      <c r="D49" s="26">
        <v>0</v>
      </c>
      <c r="E49" s="16"/>
      <c r="F49" s="6"/>
      <c r="G49" s="6"/>
      <c r="H49" s="6"/>
      <c r="I49" s="26">
        <f t="shared" si="2"/>
        <v>0</v>
      </c>
      <c r="K49" s="3" t="s">
        <v>10</v>
      </c>
    </row>
    <row r="50" spans="2:11" hidden="1">
      <c r="B50"/>
      <c r="C50" s="22" t="s">
        <v>76</v>
      </c>
      <c r="D50" s="26">
        <v>0</v>
      </c>
      <c r="E50" s="16"/>
      <c r="F50" s="6"/>
      <c r="G50" s="6"/>
      <c r="H50" s="6"/>
      <c r="I50" s="26">
        <f>IF(K50="Post Merger",D50,0)</f>
        <v>0</v>
      </c>
      <c r="K50" s="3" t="s">
        <v>10</v>
      </c>
    </row>
    <row r="51" spans="2:11" hidden="1">
      <c r="B51"/>
      <c r="C51" s="3" t="s">
        <v>77</v>
      </c>
      <c r="D51" s="26">
        <v>0</v>
      </c>
      <c r="E51" s="16"/>
      <c r="F51" s="6"/>
      <c r="G51" s="6"/>
      <c r="H51" s="6"/>
      <c r="I51" s="26">
        <f t="shared" si="2"/>
        <v>0</v>
      </c>
      <c r="K51" s="3" t="s">
        <v>10</v>
      </c>
    </row>
    <row r="52" spans="2:11" hidden="1">
      <c r="B52"/>
      <c r="C52" s="3" t="s">
        <v>78</v>
      </c>
      <c r="D52" s="26">
        <v>0</v>
      </c>
      <c r="E52" s="16"/>
      <c r="F52" s="6"/>
      <c r="G52" s="6"/>
      <c r="H52" s="6"/>
      <c r="I52" s="26">
        <f t="shared" si="2"/>
        <v>0</v>
      </c>
      <c r="K52" s="3" t="s">
        <v>10</v>
      </c>
    </row>
    <row r="53" spans="2:11" hidden="1">
      <c r="B53"/>
      <c r="C53" s="3" t="s">
        <v>79</v>
      </c>
      <c r="D53" s="26">
        <v>0</v>
      </c>
      <c r="E53" s="16"/>
      <c r="F53" s="6"/>
      <c r="G53" s="6"/>
      <c r="H53" s="6"/>
      <c r="I53" s="26">
        <f t="shared" si="2"/>
        <v>0</v>
      </c>
      <c r="K53" s="3" t="s">
        <v>10</v>
      </c>
    </row>
    <row r="54" spans="2:11" hidden="1">
      <c r="B54"/>
      <c r="C54" s="3" t="s">
        <v>80</v>
      </c>
      <c r="D54" s="26">
        <v>0</v>
      </c>
      <c r="E54" s="16"/>
      <c r="F54" s="6"/>
      <c r="G54" s="6"/>
      <c r="H54" s="6"/>
      <c r="I54" s="26">
        <f t="shared" si="2"/>
        <v>0</v>
      </c>
      <c r="K54" s="3" t="s">
        <v>10</v>
      </c>
    </row>
    <row r="55" spans="2:11" hidden="1">
      <c r="B55"/>
      <c r="C55" s="3" t="s">
        <v>81</v>
      </c>
      <c r="D55" s="26">
        <v>0</v>
      </c>
      <c r="E55" s="16"/>
      <c r="F55" s="6"/>
      <c r="G55" s="6"/>
      <c r="H55" s="6"/>
      <c r="I55" s="26">
        <f t="shared" si="2"/>
        <v>0</v>
      </c>
      <c r="K55" s="3" t="s">
        <v>10</v>
      </c>
    </row>
    <row r="56" spans="2:11" hidden="1">
      <c r="B56"/>
      <c r="C56" s="3" t="s">
        <v>82</v>
      </c>
      <c r="D56" s="26">
        <v>0</v>
      </c>
      <c r="E56" s="16"/>
      <c r="F56" s="6"/>
      <c r="G56" s="6"/>
      <c r="H56" s="6"/>
      <c r="I56" s="26">
        <f t="shared" si="2"/>
        <v>0</v>
      </c>
      <c r="K56" s="3" t="s">
        <v>10</v>
      </c>
    </row>
    <row r="57" spans="2:11" hidden="1">
      <c r="B57"/>
      <c r="C57" s="27" t="s">
        <v>83</v>
      </c>
      <c r="D57" s="26">
        <v>0</v>
      </c>
      <c r="E57" s="16"/>
      <c r="F57" s="6"/>
      <c r="G57" s="6"/>
      <c r="H57" s="6"/>
      <c r="I57" s="26">
        <f>IF(K57="Post Merger",D57,0)</f>
        <v>0</v>
      </c>
      <c r="K57" s="3" t="s">
        <v>10</v>
      </c>
    </row>
    <row r="58" spans="2:11" hidden="1">
      <c r="B58"/>
      <c r="C58" s="27" t="s">
        <v>92</v>
      </c>
      <c r="D58" s="26">
        <v>0</v>
      </c>
      <c r="E58" s="16"/>
      <c r="F58" s="6"/>
      <c r="G58" s="6"/>
      <c r="H58" s="6"/>
      <c r="I58" s="26">
        <f>IF(K58="Post Merger",D58,0)</f>
        <v>0</v>
      </c>
      <c r="K58" s="3" t="s">
        <v>10</v>
      </c>
    </row>
    <row r="59" spans="2:11" hidden="1">
      <c r="B59"/>
      <c r="C59" s="3" t="s">
        <v>84</v>
      </c>
      <c r="D59" s="26">
        <v>0</v>
      </c>
      <c r="E59" s="16"/>
      <c r="F59" s="6"/>
      <c r="G59" s="6"/>
      <c r="H59" s="6"/>
      <c r="I59" s="26">
        <f t="shared" si="2"/>
        <v>0</v>
      </c>
      <c r="K59" s="3" t="s">
        <v>10</v>
      </c>
    </row>
    <row r="60" spans="2:11" hidden="1">
      <c r="B60"/>
      <c r="C60" s="3" t="s">
        <v>95</v>
      </c>
      <c r="D60" s="26">
        <v>0</v>
      </c>
      <c r="E60" s="16"/>
      <c r="F60" s="6"/>
      <c r="G60" s="6"/>
      <c r="H60" s="6"/>
      <c r="I60" s="26">
        <f t="shared" si="2"/>
        <v>0</v>
      </c>
      <c r="K60" s="3" t="s">
        <v>10</v>
      </c>
    </row>
    <row r="61" spans="2:11" hidden="1">
      <c r="B61"/>
      <c r="C61" s="3" t="s">
        <v>85</v>
      </c>
      <c r="D61" s="26">
        <v>0</v>
      </c>
      <c r="E61" s="16"/>
      <c r="F61" s="6"/>
      <c r="G61" s="6"/>
      <c r="H61" s="6"/>
      <c r="I61" s="26">
        <f t="shared" si="2"/>
        <v>0</v>
      </c>
      <c r="K61" s="3" t="s">
        <v>10</v>
      </c>
    </row>
    <row r="62" spans="2:11" hidden="1">
      <c r="B62"/>
      <c r="C62" s="3" t="s">
        <v>86</v>
      </c>
      <c r="D62" s="26">
        <v>0</v>
      </c>
      <c r="E62" s="16"/>
      <c r="F62" s="6"/>
      <c r="G62" s="6"/>
      <c r="H62" s="6"/>
      <c r="I62" s="26">
        <f t="shared" si="2"/>
        <v>0</v>
      </c>
      <c r="K62" s="3" t="s">
        <v>10</v>
      </c>
    </row>
    <row r="63" spans="2:11" hidden="1">
      <c r="B63"/>
      <c r="C63" s="3" t="s">
        <v>94</v>
      </c>
      <c r="D63" s="26">
        <v>0</v>
      </c>
      <c r="E63" s="16"/>
      <c r="F63" s="6"/>
      <c r="G63" s="6"/>
      <c r="H63" s="6"/>
      <c r="I63" s="26">
        <f t="shared" si="2"/>
        <v>0</v>
      </c>
      <c r="K63" s="3" t="s">
        <v>10</v>
      </c>
    </row>
    <row r="64" spans="2:11" hidden="1">
      <c r="B64"/>
      <c r="C64" s="27" t="s">
        <v>87</v>
      </c>
      <c r="D64" s="26">
        <v>0</v>
      </c>
      <c r="E64" s="16"/>
      <c r="F64" s="6"/>
      <c r="G64" s="6"/>
      <c r="H64" s="6"/>
      <c r="I64" s="26">
        <f>IF(K64="Post Merger",D64,0)</f>
        <v>0</v>
      </c>
      <c r="K64" s="3" t="s">
        <v>10</v>
      </c>
    </row>
    <row r="65" spans="1:16" hidden="1">
      <c r="B65"/>
      <c r="C65" s="3" t="s">
        <v>93</v>
      </c>
      <c r="D65" s="26">
        <v>0</v>
      </c>
      <c r="E65" s="16"/>
      <c r="F65" s="6"/>
      <c r="G65" s="6"/>
      <c r="H65" s="6"/>
      <c r="I65" s="26">
        <f>IF(K65="Post Merger",D65,0)</f>
        <v>0</v>
      </c>
      <c r="K65" s="3" t="s">
        <v>10</v>
      </c>
    </row>
    <row r="66" spans="1:16" hidden="1">
      <c r="B66"/>
      <c r="C66" s="27"/>
      <c r="D66" s="26"/>
      <c r="E66" s="16"/>
      <c r="F66" s="6"/>
      <c r="G66" s="6"/>
      <c r="H66" s="6"/>
      <c r="I66" s="26"/>
    </row>
    <row r="67" spans="1:16" hidden="1">
      <c r="B67" s="22" t="s">
        <v>64</v>
      </c>
      <c r="C67" s="27"/>
      <c r="D67" s="26"/>
      <c r="E67" s="16"/>
      <c r="F67" s="6"/>
      <c r="G67" s="6"/>
      <c r="H67" s="6"/>
      <c r="I67" s="26"/>
    </row>
    <row r="68" spans="1:16" ht="11.25" hidden="1" thickBot="1">
      <c r="B68"/>
      <c r="C68" s="3" t="s">
        <v>96</v>
      </c>
      <c r="D68" s="26">
        <v>0</v>
      </c>
      <c r="E68" s="16"/>
      <c r="F68" s="6"/>
      <c r="G68" s="6"/>
      <c r="H68" s="6"/>
      <c r="I68" s="26">
        <f>IF(K68="Post Merger",D68,0)</f>
        <v>0</v>
      </c>
      <c r="K68" s="3" t="s">
        <v>10</v>
      </c>
    </row>
    <row r="69" spans="1:16" ht="11.25" thickBot="1">
      <c r="B69"/>
      <c r="D69" s="16"/>
      <c r="E69" s="16"/>
      <c r="F69" s="6"/>
      <c r="G69" s="6"/>
      <c r="H69" s="6"/>
      <c r="I69" s="6"/>
      <c r="K69" s="36">
        <v>0</v>
      </c>
      <c r="L69" s="24" t="s">
        <v>40</v>
      </c>
      <c r="M69" s="37">
        <v>0</v>
      </c>
    </row>
    <row r="70" spans="1:16">
      <c r="B70"/>
      <c r="C70" t="s">
        <v>115</v>
      </c>
      <c r="D70" s="26">
        <v>89234502.519999996</v>
      </c>
      <c r="E70" s="16"/>
      <c r="F70" s="6"/>
      <c r="G70" s="6"/>
      <c r="H70" s="6"/>
      <c r="I70" s="26">
        <f>D70</f>
        <v>89234502.519999996</v>
      </c>
    </row>
    <row r="71" spans="1:16" ht="11.25" thickBot="1">
      <c r="B71" s="40" t="s">
        <v>65</v>
      </c>
      <c r="C71" s="14"/>
      <c r="D71" s="11" t="s">
        <v>14</v>
      </c>
      <c r="E71" s="14" t="s">
        <v>13</v>
      </c>
      <c r="F71" s="11" t="s">
        <v>14</v>
      </c>
      <c r="G71" s="11" t="s">
        <v>14</v>
      </c>
      <c r="H71" s="11" t="s">
        <v>14</v>
      </c>
      <c r="I71" s="11" t="s">
        <v>14</v>
      </c>
    </row>
    <row r="72" spans="1:16" ht="11.25" thickBot="1">
      <c r="B72" s="3" t="s">
        <v>28</v>
      </c>
      <c r="C72"/>
      <c r="D72" s="26">
        <f>SUM(D38:D70)</f>
        <v>186645168.80000001</v>
      </c>
      <c r="E72" s="16"/>
      <c r="F72" s="26">
        <f>SUM(F38:F70)</f>
        <v>0</v>
      </c>
      <c r="G72" s="26">
        <f>SUM(G38:G70)</f>
        <v>0</v>
      </c>
      <c r="H72" s="26">
        <f>SUM(H38:H70)</f>
        <v>0</v>
      </c>
      <c r="I72" s="26">
        <f>SUM(I38:I70)</f>
        <v>186645168.80000001</v>
      </c>
      <c r="K72" s="36"/>
      <c r="L72" s="24" t="s">
        <v>40</v>
      </c>
      <c r="M72" s="37">
        <f>D72-SUM(F72:I72)</f>
        <v>0</v>
      </c>
    </row>
    <row r="73" spans="1:16">
      <c r="B73" s="3" t="s">
        <v>116</v>
      </c>
      <c r="D73" s="26">
        <v>557744.63</v>
      </c>
      <c r="E73" s="16"/>
      <c r="F73" s="14"/>
      <c r="H73" s="26"/>
      <c r="I73" s="26">
        <f>D73</f>
        <v>557744.63</v>
      </c>
      <c r="J73"/>
      <c r="K73"/>
      <c r="L73"/>
      <c r="M73"/>
    </row>
    <row r="74" spans="1:16">
      <c r="B74" s="3" t="s">
        <v>29</v>
      </c>
      <c r="C74"/>
      <c r="D74" s="26">
        <v>0</v>
      </c>
      <c r="E74" s="16"/>
      <c r="F74" s="26"/>
      <c r="G74" s="26"/>
      <c r="H74" s="26">
        <f>D74</f>
        <v>0</v>
      </c>
      <c r="I74" s="6"/>
    </row>
    <row r="75" spans="1:16" ht="11.25" thickBot="1">
      <c r="D75" s="11" t="s">
        <v>14</v>
      </c>
      <c r="E75" s="14" t="s">
        <v>13</v>
      </c>
      <c r="F75" s="11" t="s">
        <v>14</v>
      </c>
      <c r="G75" s="11" t="s">
        <v>14</v>
      </c>
      <c r="H75" s="11" t="s">
        <v>14</v>
      </c>
      <c r="I75" s="11" t="s">
        <v>14</v>
      </c>
    </row>
    <row r="76" spans="1:16" ht="11.25" thickBot="1">
      <c r="A76" s="3" t="s">
        <v>30</v>
      </c>
      <c r="D76" s="26">
        <f>D72+D73+D74+D36+D27</f>
        <v>187324666.62</v>
      </c>
      <c r="E76" s="16"/>
      <c r="F76" s="26">
        <f>F72+F73+F74+F36+F27</f>
        <v>11513.913000000131</v>
      </c>
      <c r="G76" s="26">
        <f>G72+G73+G74+G36+G27</f>
        <v>110239.27700000029</v>
      </c>
      <c r="H76" s="26">
        <f>H72+H73+H74+H36+H27</f>
        <v>0</v>
      </c>
      <c r="I76" s="26">
        <f>I72+I73+I74+I36+I27</f>
        <v>187202913.43000001</v>
      </c>
      <c r="K76" s="36">
        <v>0</v>
      </c>
      <c r="L76" s="24" t="s">
        <v>40</v>
      </c>
      <c r="M76" s="37">
        <f>D76-SUM(F76:I76)</f>
        <v>0</v>
      </c>
    </row>
    <row r="77" spans="1:16">
      <c r="D77" s="16"/>
      <c r="E77" s="16"/>
      <c r="F77" s="16"/>
      <c r="G77" s="16"/>
      <c r="H77" s="16"/>
      <c r="I77" s="16"/>
    </row>
    <row r="78" spans="1:16">
      <c r="D78" s="16"/>
      <c r="E78" s="16"/>
      <c r="F78" s="16"/>
      <c r="G78" s="16"/>
      <c r="H78" s="16"/>
      <c r="I78" s="16"/>
    </row>
    <row r="79" spans="1:16" ht="11.25">
      <c r="A79" s="3" t="s">
        <v>31</v>
      </c>
      <c r="F79" s="6"/>
      <c r="G79" s="6"/>
      <c r="H79" s="6"/>
      <c r="I79" s="6"/>
      <c r="N79" s="29" t="s">
        <v>60</v>
      </c>
      <c r="O79" s="32">
        <v>24999835.973468848</v>
      </c>
      <c r="P79" s="26"/>
    </row>
    <row r="80" spans="1:16" ht="11.25">
      <c r="F80" s="6"/>
      <c r="G80" s="6"/>
      <c r="H80" s="6"/>
      <c r="I80" s="6"/>
      <c r="N80" s="29" t="s">
        <v>61</v>
      </c>
      <c r="O80" s="32">
        <v>0</v>
      </c>
      <c r="P80" s="26"/>
    </row>
    <row r="81" spans="1:16" customFormat="1" ht="12" thickBot="1">
      <c r="A81" s="3"/>
      <c r="B81" s="3" t="s">
        <v>32</v>
      </c>
      <c r="D81" s="26">
        <f>SUM(F81:I81)</f>
        <v>24999835.973468848</v>
      </c>
      <c r="E81" s="16"/>
      <c r="F81" s="26">
        <f>O79</f>
        <v>24999835.973468848</v>
      </c>
      <c r="G81" s="6"/>
      <c r="H81" s="6"/>
      <c r="I81" s="6"/>
      <c r="J81" s="3"/>
      <c r="K81" s="18"/>
      <c r="L81" s="3"/>
      <c r="M81" s="3"/>
      <c r="N81" s="29" t="s">
        <v>62</v>
      </c>
      <c r="O81" s="32">
        <v>83304574.000558719</v>
      </c>
      <c r="P81" s="38"/>
    </row>
    <row r="82" spans="1:16" ht="11.25" hidden="1">
      <c r="A82"/>
      <c r="B82"/>
      <c r="C82"/>
      <c r="D82"/>
      <c r="E82"/>
      <c r="F82"/>
      <c r="G82"/>
      <c r="H82"/>
      <c r="I82"/>
      <c r="J82"/>
      <c r="K82" s="23"/>
      <c r="L82"/>
      <c r="M82"/>
      <c r="N82" s="29" t="s">
        <v>91</v>
      </c>
      <c r="O82" s="32">
        <v>0</v>
      </c>
      <c r="P82" s="26"/>
    </row>
    <row r="83" spans="1:16" ht="11.25" hidden="1">
      <c r="B83" s="3" t="s">
        <v>33</v>
      </c>
      <c r="C83"/>
      <c r="D83" s="26">
        <f>SUM(F83:I83)</f>
        <v>0</v>
      </c>
      <c r="E83" s="16"/>
      <c r="F83" s="26">
        <f>O80</f>
        <v>0</v>
      </c>
      <c r="G83" s="6"/>
      <c r="H83" s="6"/>
      <c r="I83" s="6"/>
      <c r="N83" s="29" t="s">
        <v>63</v>
      </c>
      <c r="O83" s="32">
        <v>1038267.1499999999</v>
      </c>
      <c r="P83" s="26"/>
    </row>
    <row r="84" spans="1:16" ht="11.25" hidden="1" thickBot="1">
      <c r="C84"/>
      <c r="D84" s="16"/>
      <c r="E84" s="16"/>
      <c r="F84" s="6"/>
      <c r="G84" s="6"/>
      <c r="H84" s="6"/>
      <c r="I84" s="6"/>
      <c r="O84" s="32">
        <f>SUM(O79:O83)</f>
        <v>109342677.12402758</v>
      </c>
      <c r="P84" s="26"/>
    </row>
    <row r="85" spans="1:16" ht="11.25" thickBot="1">
      <c r="B85" s="3" t="s">
        <v>10</v>
      </c>
      <c r="C85"/>
      <c r="D85" s="26">
        <f>D90-(D81+D83+D87)</f>
        <v>84342841.02653116</v>
      </c>
      <c r="E85" s="16"/>
      <c r="F85" s="17"/>
      <c r="G85" s="6"/>
      <c r="H85" s="6"/>
      <c r="I85" s="26">
        <f>D85</f>
        <v>84342841.02653116</v>
      </c>
      <c r="N85" s="47" t="s">
        <v>40</v>
      </c>
      <c r="O85" s="37">
        <v>0</v>
      </c>
      <c r="P85" s="46"/>
    </row>
    <row r="86" spans="1:16" hidden="1">
      <c r="F86" s="6"/>
      <c r="G86" s="6"/>
      <c r="H86" s="6"/>
      <c r="I86" s="6"/>
    </row>
    <row r="87" spans="1:16" customFormat="1" hidden="1">
      <c r="A87" s="3"/>
      <c r="B87" t="s">
        <v>34</v>
      </c>
      <c r="C87" s="3"/>
      <c r="D87" s="26">
        <v>0</v>
      </c>
      <c r="E87" s="16"/>
      <c r="F87" s="6"/>
      <c r="H87" s="26">
        <f>D87</f>
        <v>0</v>
      </c>
      <c r="I87" s="6"/>
      <c r="J87" s="3"/>
      <c r="K87" s="3"/>
      <c r="L87" s="3"/>
      <c r="M87" s="3"/>
      <c r="N87" s="27"/>
    </row>
    <row r="88" spans="1:16">
      <c r="A88"/>
      <c r="B88"/>
      <c r="C88"/>
      <c r="D88"/>
      <c r="E88"/>
      <c r="F88"/>
      <c r="G88"/>
      <c r="H88"/>
      <c r="I88"/>
      <c r="J88"/>
      <c r="K88"/>
      <c r="L88"/>
      <c r="M88"/>
    </row>
    <row r="89" spans="1:16" ht="11.25" thickBot="1">
      <c r="D89" s="11" t="s">
        <v>14</v>
      </c>
      <c r="E89" s="14" t="s">
        <v>13</v>
      </c>
      <c r="F89" s="11" t="s">
        <v>14</v>
      </c>
      <c r="G89" s="11" t="s">
        <v>14</v>
      </c>
      <c r="H89" s="11" t="s">
        <v>14</v>
      </c>
      <c r="I89" s="11" t="s">
        <v>14</v>
      </c>
    </row>
    <row r="90" spans="1:16" customFormat="1" ht="11.25" thickBot="1">
      <c r="A90" s="3" t="s">
        <v>35</v>
      </c>
      <c r="B90" s="3"/>
      <c r="C90" s="3"/>
      <c r="D90" s="26">
        <v>109342677</v>
      </c>
      <c r="E90" s="16"/>
      <c r="F90" s="26">
        <f>SUM(F81:F87)</f>
        <v>24999835.973468848</v>
      </c>
      <c r="G90" s="26">
        <f>SUM(G81:G87)</f>
        <v>0</v>
      </c>
      <c r="H90" s="26">
        <f>SUM(H81:H87)</f>
        <v>0</v>
      </c>
      <c r="I90" s="26">
        <f>SUM(I81:I87)</f>
        <v>84342841.02653116</v>
      </c>
      <c r="J90" s="3"/>
      <c r="K90" s="36">
        <f>D90-(D81+D83+D85+D87)</f>
        <v>0</v>
      </c>
      <c r="L90" s="24" t="s">
        <v>40</v>
      </c>
      <c r="M90" s="37">
        <f>D90-SUM(F90:I90)</f>
        <v>0</v>
      </c>
      <c r="N90" s="27"/>
    </row>
    <row r="91" spans="1:16" customFormat="1">
      <c r="A91" s="3"/>
      <c r="B91" s="3"/>
      <c r="C91" s="3"/>
      <c r="D91" s="3"/>
      <c r="E91" s="3"/>
      <c r="G91" s="3"/>
      <c r="H91" s="3"/>
      <c r="I91" s="3"/>
      <c r="N91" s="27"/>
    </row>
    <row r="92" spans="1:16" customFormat="1">
      <c r="A92" s="3" t="s">
        <v>36</v>
      </c>
      <c r="B92" s="3"/>
      <c r="C92" s="3"/>
      <c r="D92" s="3"/>
      <c r="E92" s="3"/>
      <c r="G92" s="3"/>
      <c r="H92" s="3"/>
      <c r="I92" s="3"/>
      <c r="N92" s="27"/>
    </row>
    <row r="93" spans="1:16" customFormat="1" hidden="1">
      <c r="A93" s="3"/>
      <c r="B93" s="16" t="s">
        <v>98</v>
      </c>
      <c r="C93" s="3"/>
      <c r="D93" s="26">
        <v>0</v>
      </c>
      <c r="E93" s="16"/>
      <c r="G93" s="3"/>
      <c r="H93" s="26">
        <f t="shared" ref="H93:H113" si="3">D93</f>
        <v>0</v>
      </c>
      <c r="I93" s="2"/>
      <c r="N93" s="27"/>
    </row>
    <row r="94" spans="1:16" customFormat="1" hidden="1">
      <c r="A94" s="3"/>
      <c r="B94" s="16" t="s">
        <v>99</v>
      </c>
      <c r="C94" s="3"/>
      <c r="D94" s="26">
        <v>0</v>
      </c>
      <c r="E94" s="16"/>
      <c r="G94" s="3"/>
      <c r="H94" s="26">
        <f t="shared" si="3"/>
        <v>0</v>
      </c>
      <c r="I94" s="2"/>
      <c r="N94" s="27"/>
    </row>
    <row r="95" spans="1:16" customFormat="1">
      <c r="A95" s="3"/>
      <c r="B95" s="16" t="s">
        <v>100</v>
      </c>
      <c r="C95" s="3"/>
      <c r="D95" s="26">
        <v>8054697.6299999999</v>
      </c>
      <c r="E95" s="16"/>
      <c r="G95" s="3"/>
      <c r="H95" s="26">
        <f t="shared" si="3"/>
        <v>8054697.6299999999</v>
      </c>
      <c r="I95" s="2"/>
      <c r="N95" s="27"/>
    </row>
    <row r="96" spans="1:16" customFormat="1" hidden="1">
      <c r="A96" s="3"/>
      <c r="B96" s="16" t="s">
        <v>101</v>
      </c>
      <c r="C96" s="3"/>
      <c r="D96" s="26">
        <v>0</v>
      </c>
      <c r="E96" s="16"/>
      <c r="G96" s="3"/>
      <c r="H96" s="26">
        <f t="shared" si="3"/>
        <v>0</v>
      </c>
      <c r="I96" s="2"/>
      <c r="N96" s="27"/>
    </row>
    <row r="97" spans="1:14" customFormat="1">
      <c r="A97" s="3"/>
      <c r="B97" s="16" t="s">
        <v>66</v>
      </c>
      <c r="C97" s="3"/>
      <c r="D97" s="26">
        <v>51328661.049999997</v>
      </c>
      <c r="E97" s="16"/>
      <c r="G97" s="3"/>
      <c r="H97" s="26">
        <f>D97</f>
        <v>51328661.049999997</v>
      </c>
      <c r="I97" s="2"/>
      <c r="N97" s="27"/>
    </row>
    <row r="98" spans="1:14" customFormat="1" hidden="1">
      <c r="A98" s="3"/>
      <c r="B98" s="16" t="s">
        <v>47</v>
      </c>
      <c r="C98" s="3"/>
      <c r="D98" s="26">
        <v>0</v>
      </c>
      <c r="E98" s="16"/>
      <c r="G98" s="3"/>
      <c r="H98" s="26">
        <f>D98</f>
        <v>0</v>
      </c>
      <c r="I98" s="2"/>
      <c r="N98" s="27"/>
    </row>
    <row r="99" spans="1:14" customFormat="1" hidden="1">
      <c r="A99" s="3"/>
      <c r="B99" s="16" t="s">
        <v>102</v>
      </c>
      <c r="C99" s="3"/>
      <c r="D99" s="26">
        <v>0</v>
      </c>
      <c r="E99" s="16"/>
      <c r="G99" s="3"/>
      <c r="H99" s="26">
        <f t="shared" si="3"/>
        <v>0</v>
      </c>
      <c r="I99" s="2"/>
      <c r="N99" s="27"/>
    </row>
    <row r="100" spans="1:14" customFormat="1" hidden="1">
      <c r="A100" s="3"/>
      <c r="B100" s="16" t="s">
        <v>103</v>
      </c>
      <c r="C100" s="3"/>
      <c r="D100" s="26">
        <v>0</v>
      </c>
      <c r="E100" s="16"/>
      <c r="G100" s="3"/>
      <c r="H100" s="26">
        <f t="shared" si="3"/>
        <v>0</v>
      </c>
      <c r="I100" s="2"/>
      <c r="N100" s="27"/>
    </row>
    <row r="101" spans="1:14" customFormat="1" hidden="1">
      <c r="A101" s="3"/>
      <c r="B101" s="16" t="s">
        <v>104</v>
      </c>
      <c r="C101" s="3"/>
      <c r="D101" s="26">
        <v>0</v>
      </c>
      <c r="E101" s="16"/>
      <c r="G101" s="3"/>
      <c r="H101" s="26">
        <f t="shared" si="3"/>
        <v>0</v>
      </c>
      <c r="I101" s="2"/>
      <c r="N101" s="27"/>
    </row>
    <row r="102" spans="1:14" customFormat="1" hidden="1">
      <c r="A102" s="3"/>
      <c r="B102" s="16" t="s">
        <v>105</v>
      </c>
      <c r="C102" s="3"/>
      <c r="D102" s="26">
        <v>0</v>
      </c>
      <c r="E102" s="16"/>
      <c r="F102" s="14"/>
      <c r="G102" s="3"/>
      <c r="H102" s="26">
        <f t="shared" si="3"/>
        <v>0</v>
      </c>
      <c r="I102" s="2"/>
      <c r="N102" s="27"/>
    </row>
    <row r="103" spans="1:14" customFormat="1">
      <c r="A103" s="3"/>
      <c r="B103" s="16" t="s">
        <v>106</v>
      </c>
      <c r="C103" s="3"/>
      <c r="D103" s="26">
        <v>46660033.769999996</v>
      </c>
      <c r="E103" s="16"/>
      <c r="F103" s="14"/>
      <c r="G103" s="3"/>
      <c r="H103" s="26">
        <f t="shared" si="3"/>
        <v>46660033.769999996</v>
      </c>
      <c r="I103" s="2"/>
      <c r="N103" s="27"/>
    </row>
    <row r="104" spans="1:14" customFormat="1" hidden="1">
      <c r="A104" s="3"/>
      <c r="B104" s="16" t="s">
        <v>107</v>
      </c>
      <c r="C104" s="3"/>
      <c r="D104" s="26">
        <v>0</v>
      </c>
      <c r="E104" s="16"/>
      <c r="F104" s="14"/>
      <c r="G104" s="3"/>
      <c r="H104" s="26">
        <f t="shared" si="3"/>
        <v>0</v>
      </c>
      <c r="I104" s="2"/>
      <c r="N104" s="27"/>
    </row>
    <row r="105" spans="1:14" customFormat="1" hidden="1">
      <c r="A105" s="3"/>
      <c r="B105" s="16" t="s">
        <v>108</v>
      </c>
      <c r="C105" s="3"/>
      <c r="D105" s="26">
        <v>0</v>
      </c>
      <c r="E105" s="16"/>
      <c r="F105" s="14"/>
      <c r="G105" s="3"/>
      <c r="H105" s="26">
        <f>D105</f>
        <v>0</v>
      </c>
      <c r="I105" s="2"/>
      <c r="N105" s="27"/>
    </row>
    <row r="106" spans="1:14" customFormat="1">
      <c r="A106" s="3"/>
      <c r="B106" s="16" t="s">
        <v>109</v>
      </c>
      <c r="C106" s="3"/>
      <c r="D106" s="26">
        <v>202488907.97999999</v>
      </c>
      <c r="E106" s="16"/>
      <c r="F106" s="14"/>
      <c r="G106" s="3"/>
      <c r="H106" s="26">
        <f t="shared" si="3"/>
        <v>202488907.97999999</v>
      </c>
      <c r="I106" s="2"/>
      <c r="N106" s="27"/>
    </row>
    <row r="107" spans="1:14" customFormat="1" hidden="1">
      <c r="A107" s="3"/>
      <c r="B107" s="16" t="s">
        <v>110</v>
      </c>
      <c r="C107" s="3"/>
      <c r="D107" s="26">
        <v>0</v>
      </c>
      <c r="E107" s="16"/>
      <c r="F107" s="14"/>
      <c r="G107" s="3"/>
      <c r="H107" s="26">
        <f t="shared" si="3"/>
        <v>0</v>
      </c>
      <c r="I107" s="2"/>
      <c r="N107" s="27"/>
    </row>
    <row r="108" spans="1:14" customFormat="1" hidden="1">
      <c r="A108" s="3"/>
      <c r="B108" s="16"/>
      <c r="C108" s="3"/>
      <c r="D108" s="26"/>
      <c r="E108" s="16"/>
      <c r="F108" s="14"/>
      <c r="G108" s="3"/>
      <c r="H108" s="26"/>
      <c r="I108" s="2"/>
      <c r="N108" s="27"/>
    </row>
    <row r="109" spans="1:14" customFormat="1" hidden="1">
      <c r="A109" s="3"/>
      <c r="B109" s="16" t="s">
        <v>111</v>
      </c>
      <c r="C109" s="3"/>
      <c r="D109" s="26">
        <v>0</v>
      </c>
      <c r="E109" s="16"/>
      <c r="F109" s="14"/>
      <c r="G109" s="3"/>
      <c r="H109" s="26">
        <f t="shared" ref="H109:H110" si="4">D109</f>
        <v>0</v>
      </c>
      <c r="I109" s="2"/>
      <c r="N109" s="27"/>
    </row>
    <row r="110" spans="1:14" customFormat="1" hidden="1">
      <c r="A110" s="3"/>
      <c r="B110" s="16" t="s">
        <v>112</v>
      </c>
      <c r="C110" s="3"/>
      <c r="D110" s="26">
        <v>0</v>
      </c>
      <c r="E110" s="16"/>
      <c r="F110" s="14"/>
      <c r="G110" s="3"/>
      <c r="H110" s="26">
        <f t="shared" si="4"/>
        <v>0</v>
      </c>
      <c r="I110" s="2"/>
      <c r="N110" s="27"/>
    </row>
    <row r="111" spans="1:14" customFormat="1" hidden="1">
      <c r="A111" s="3"/>
      <c r="B111" s="16" t="s">
        <v>113</v>
      </c>
      <c r="C111" s="3"/>
      <c r="D111" s="26">
        <v>0</v>
      </c>
      <c r="E111" s="16"/>
      <c r="F111" s="14"/>
      <c r="G111" s="3"/>
      <c r="H111" s="26">
        <f t="shared" si="3"/>
        <v>0</v>
      </c>
      <c r="I111" s="2"/>
      <c r="N111" s="27"/>
    </row>
    <row r="112" spans="1:14" customFormat="1" hidden="1">
      <c r="A112" s="3"/>
      <c r="B112" s="16"/>
      <c r="C112" s="3"/>
      <c r="D112" s="26"/>
      <c r="E112" s="16"/>
      <c r="F112" s="14"/>
      <c r="G112" s="3"/>
      <c r="H112" s="26"/>
      <c r="I112" s="2"/>
      <c r="N112" s="27"/>
    </row>
    <row r="113" spans="1:14" customFormat="1" hidden="1">
      <c r="A113" s="3"/>
      <c r="B113" s="16" t="s">
        <v>114</v>
      </c>
      <c r="C113" s="3"/>
      <c r="D113" s="26">
        <v>0</v>
      </c>
      <c r="E113" s="16"/>
      <c r="F113" s="14"/>
      <c r="G113" s="3"/>
      <c r="H113" s="26">
        <f t="shared" si="3"/>
        <v>0</v>
      </c>
      <c r="I113" s="2"/>
      <c r="N113" s="27"/>
    </row>
    <row r="114" spans="1:14" customFormat="1" ht="11.25" thickBot="1">
      <c r="A114" s="3"/>
      <c r="B114" s="3"/>
      <c r="C114" s="3"/>
      <c r="D114" s="11" t="s">
        <v>14</v>
      </c>
      <c r="E114" s="14" t="s">
        <v>13</v>
      </c>
      <c r="F114" s="11" t="s">
        <v>14</v>
      </c>
      <c r="G114" s="11" t="s">
        <v>14</v>
      </c>
      <c r="H114" s="11" t="s">
        <v>14</v>
      </c>
      <c r="I114" s="11" t="s">
        <v>14</v>
      </c>
      <c r="N114" s="27"/>
    </row>
    <row r="115" spans="1:14" customFormat="1" ht="11.25" thickBot="1">
      <c r="A115" s="3" t="s">
        <v>37</v>
      </c>
      <c r="B115" s="3"/>
      <c r="C115" s="3"/>
      <c r="D115" s="26">
        <f>SUM(D93:D113)</f>
        <v>308532300.42999995</v>
      </c>
      <c r="E115" s="16"/>
      <c r="F115" s="26">
        <f>SUM(F92:F113)</f>
        <v>0</v>
      </c>
      <c r="G115" s="26">
        <f>SUM(G92:G113)</f>
        <v>0</v>
      </c>
      <c r="H115" s="26">
        <f>SUM(H92:H113)</f>
        <v>308532300.42999995</v>
      </c>
      <c r="I115" s="26">
        <f>SUM(I92:I105)</f>
        <v>0</v>
      </c>
      <c r="K115" s="36">
        <v>0</v>
      </c>
      <c r="L115" s="24" t="s">
        <v>40</v>
      </c>
      <c r="M115" s="37">
        <f>D115-SUM(F115:I115)</f>
        <v>0</v>
      </c>
      <c r="N115" s="27"/>
    </row>
    <row r="116" spans="1:14" customFormat="1">
      <c r="A116" s="3"/>
      <c r="B116" s="3"/>
      <c r="C116" s="3"/>
      <c r="D116" s="7"/>
      <c r="E116" s="16"/>
      <c r="F116" s="16"/>
      <c r="G116" s="16"/>
      <c r="H116" s="16"/>
      <c r="I116" s="16"/>
      <c r="N116" s="27"/>
    </row>
    <row r="117" spans="1:14" customFormat="1">
      <c r="A117" s="3" t="s">
        <v>43</v>
      </c>
      <c r="B117" s="3"/>
      <c r="C117" s="3"/>
      <c r="D117" s="7"/>
      <c r="E117" s="16"/>
      <c r="F117" s="16"/>
      <c r="G117" s="16"/>
      <c r="H117" s="16"/>
      <c r="I117" s="16"/>
      <c r="N117" s="27"/>
    </row>
    <row r="118" spans="1:14" customFormat="1">
      <c r="A118" s="3"/>
      <c r="B118" s="16" t="s">
        <v>97</v>
      </c>
      <c r="C118" s="3"/>
      <c r="D118" s="26">
        <v>0</v>
      </c>
      <c r="E118" s="16"/>
      <c r="F118" s="14"/>
      <c r="G118" s="3"/>
      <c r="H118" s="26">
        <f>D118</f>
        <v>0</v>
      </c>
      <c r="I118" s="2"/>
      <c r="N118" s="27"/>
    </row>
    <row r="119" spans="1:14">
      <c r="D119" s="11" t="s">
        <v>14</v>
      </c>
      <c r="E119" s="14" t="s">
        <v>13</v>
      </c>
      <c r="F119" s="11" t="s">
        <v>14</v>
      </c>
      <c r="G119" s="11" t="s">
        <v>14</v>
      </c>
      <c r="H119" s="11" t="s">
        <v>14</v>
      </c>
      <c r="I119" s="11" t="s">
        <v>14</v>
      </c>
    </row>
    <row r="120" spans="1:14">
      <c r="A120" s="3" t="s">
        <v>44</v>
      </c>
      <c r="D120" s="26">
        <v>0</v>
      </c>
      <c r="E120" s="16"/>
      <c r="F120" s="26">
        <f>SUM(F118:F118)</f>
        <v>0</v>
      </c>
      <c r="G120" s="26">
        <f>SUM(G118:G118)</f>
        <v>0</v>
      </c>
      <c r="H120" s="26">
        <f>SUM(H118:H118)</f>
        <v>0</v>
      </c>
      <c r="I120" s="26">
        <f>SUM(I118:I118)</f>
        <v>0</v>
      </c>
    </row>
    <row r="121" spans="1:14" ht="11.25" thickBot="1">
      <c r="D121" s="19" t="s">
        <v>38</v>
      </c>
      <c r="E121" s="14" t="s">
        <v>13</v>
      </c>
      <c r="F121" s="19" t="s">
        <v>38</v>
      </c>
      <c r="G121" s="19" t="s">
        <v>38</v>
      </c>
      <c r="H121" s="19" t="s">
        <v>38</v>
      </c>
      <c r="I121" s="19" t="s">
        <v>38</v>
      </c>
    </row>
    <row r="122" spans="1:14" ht="11.25" thickBot="1">
      <c r="A122" s="3" t="s">
        <v>39</v>
      </c>
      <c r="D122" s="26">
        <f>D115+D90+D76+D120-D16</f>
        <v>533357558.14999998</v>
      </c>
      <c r="E122" s="16" t="s">
        <v>13</v>
      </c>
      <c r="F122" s="26">
        <f>F115+F90+F76+F120-F16</f>
        <v>12046549.886468846</v>
      </c>
      <c r="G122" s="26">
        <f>G115+G90+G76+G120-G16</f>
        <v>110239.27700000029</v>
      </c>
      <c r="H122" s="26">
        <f>H115+H90+H76+H120-H16</f>
        <v>308532300.42999995</v>
      </c>
      <c r="I122" s="26">
        <f>I115+I90+I76+I120-I16</f>
        <v>212668468.55653116</v>
      </c>
      <c r="K122" s="36">
        <v>0</v>
      </c>
      <c r="L122" s="24" t="s">
        <v>40</v>
      </c>
      <c r="M122" s="37">
        <f>D122-SUM(F122:I122)</f>
        <v>0</v>
      </c>
    </row>
    <row r="123" spans="1:14">
      <c r="D123" s="19" t="s">
        <v>38</v>
      </c>
      <c r="E123" s="14" t="s">
        <v>13</v>
      </c>
      <c r="F123" s="19" t="s">
        <v>38</v>
      </c>
      <c r="G123" s="19" t="s">
        <v>38</v>
      </c>
      <c r="H123" s="19" t="s">
        <v>38</v>
      </c>
      <c r="I123" s="19" t="s">
        <v>38</v>
      </c>
    </row>
  </sheetData>
  <mergeCells count="1">
    <mergeCell ref="A4:C4"/>
  </mergeCells>
  <pageMargins left="0.65" right="0.72" top="1" bottom="1" header="0.5" footer="0.5"/>
  <pageSetup scale="83" orientation="portrait" r:id="rId1"/>
  <headerFooter alignWithMargins="0">
    <oddHeader>&amp;L&amp;"Arial,Regular"&amp;10WA UE-130043
Bench Request 9&amp;R&amp;"Arial,Bold"&amp;10Attachment Bench Request 9</oddHeader>
    <oddFooter>&amp;L&amp;"Arial,Regular"&amp;10&amp;F&amp;C&amp;A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Response</DocumentSetType>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Appealed</CaseStatus>
    <OpenedDate xmlns="dc463f71-b30c-4ab2-9473-d307f9d35888">2013-01-11T08:00:00+00:00</OpenedDate>
    <Date1 xmlns="dc463f71-b30c-4ab2-9473-d307f9d35888">2013-09-26T07:00:00+00:00</Date1>
    <IsDocumentOrder xmlns="dc463f71-b30c-4ab2-9473-d307f9d35888" xsi:nil="true"/>
    <IsHighlyConfidential xmlns="dc463f71-b30c-4ab2-9473-d307f9d35888">false</IsHighlyConfidential>
    <CaseCompanyNames xmlns="dc463f71-b30c-4ab2-9473-d307f9d35888">Pacific Power &amp; Light Company</CaseCompanyNames>
    <DocketNumber xmlns="dc463f71-b30c-4ab2-9473-d307f9d35888">130043</DocketNumber>
    <DelegatedOrder xmlns="dc463f71-b30c-4ab2-9473-d307f9d35888">false</DelegatedOrder>
    <Visibility xmlns="dc463f71-b30c-4ab2-9473-d307f9d35888" xsi:nil="true"/>
    <Nickname xmlns="http://schemas.microsoft.com/sharepoint/v3" xsi:nil="true"/>
    <SignificantOrder xmlns="dc463f71-b30c-4ab2-9473-d307f9d35888">false</SignificantOrder>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haredContentType xmlns="Microsoft.SharePoint.Taxonomy.ContentTypeSync" SourceId="015f1b76-b32e-440f-80a7-f0ca4d8a872c" ContentTypeId="0x0101006E56B4D1795A2E4DB2F0B01679ED314A" PreviousValue="true"/>
</file>

<file path=customXml/item4.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A76616498D7811449987485091DF42B7" ma:contentTypeVersion="135" ma:contentTypeDescription="" ma:contentTypeScope="" ma:versionID="ea582effef2760cff9dab7cbb939c496">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4ccd4140794adb7bccf17b21b5812a9d"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FD7582C-D344-418C-B991-BCE8F86C2CB5}"/>
</file>

<file path=customXml/itemProps2.xml><?xml version="1.0" encoding="utf-8"?>
<ds:datastoreItem xmlns:ds="http://schemas.openxmlformats.org/officeDocument/2006/customXml" ds:itemID="{ED762B63-E39C-4C8E-B280-DCF58BB604E4}"/>
</file>

<file path=customXml/itemProps3.xml><?xml version="1.0" encoding="utf-8"?>
<ds:datastoreItem xmlns:ds="http://schemas.openxmlformats.org/officeDocument/2006/customXml" ds:itemID="{09B239CF-8800-4DD6-B684-F8D95D2F1146}"/>
</file>

<file path=customXml/itemProps4.xml><?xml version="1.0" encoding="utf-8"?>
<ds:datastoreItem xmlns:ds="http://schemas.openxmlformats.org/officeDocument/2006/customXml" ds:itemID="{C8EF8157-0DE8-4232-AE56-AB7AC6A23BA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50</vt:i4>
      </vt:variant>
      <vt:variant>
        <vt:lpstr>Named Ranges</vt:lpstr>
      </vt:variant>
      <vt:variant>
        <vt:i4>63</vt:i4>
      </vt:variant>
    </vt:vector>
  </HeadingPairs>
  <TitlesOfParts>
    <vt:vector size="113" baseType="lpstr">
      <vt:lpstr>9.0 - Columnar Summary</vt:lpstr>
      <vt:lpstr>9.1 - Summary </vt:lpstr>
      <vt:lpstr>9.2 - Per Books</vt:lpstr>
      <vt:lpstr>9.2.1 - Per Books</vt:lpstr>
      <vt:lpstr>9.3 - Restating</vt:lpstr>
      <vt:lpstr>9.3.2 - Restating</vt:lpstr>
      <vt:lpstr>9.4 - Pro Forma, No WCA Mods</vt:lpstr>
      <vt:lpstr>9.5 - QFs</vt:lpstr>
      <vt:lpstr>9.5.1 - QFs</vt:lpstr>
      <vt:lpstr>9.6 - ECA Sale</vt:lpstr>
      <vt:lpstr>9.6.1 - ECA Sale</vt:lpstr>
      <vt:lpstr>9.7 - ID P2P</vt:lpstr>
      <vt:lpstr>9.6.1 - ID P2P</vt:lpstr>
      <vt:lpstr>9.8 - Pro Forma Direct</vt:lpstr>
      <vt:lpstr>9.8.1 Pro Forma Direct</vt:lpstr>
      <vt:lpstr>9.9 - Wind Reserve</vt:lpstr>
      <vt:lpstr>9.9.1 - Wind Reserve</vt:lpstr>
      <vt:lpstr>9.10 - Hydro Median</vt:lpstr>
      <vt:lpstr>9.10.1 - Hydro Median</vt:lpstr>
      <vt:lpstr>9.11 - Coal Heat Rate</vt:lpstr>
      <vt:lpstr>9.11.1 - Coal Heat Rate</vt:lpstr>
      <vt:lpstr>9.12 - BPA Exchange</vt:lpstr>
      <vt:lpstr>9.12.1 - BPA Exchange</vt:lpstr>
      <vt:lpstr>9.13 - Chehalis Lateral</vt:lpstr>
      <vt:lpstr>9.13.1 - Chehalis Lateral</vt:lpstr>
      <vt:lpstr>9.14 - Stateline Losses</vt:lpstr>
      <vt:lpstr>9.14.1 - Stateline Losses</vt:lpstr>
      <vt:lpstr>9.15 - PGE Cove</vt:lpstr>
      <vt:lpstr>9.15.1 - PGE Cove</vt:lpstr>
      <vt:lpstr>9.16 - Butter Creek</vt:lpstr>
      <vt:lpstr>9.16.1 - Butter Creek</vt:lpstr>
      <vt:lpstr>9.17 - Small QF</vt:lpstr>
      <vt:lpstr>9.17.1 - Small QF</vt:lpstr>
      <vt:lpstr>9.18 - BPA P2P</vt:lpstr>
      <vt:lpstr>9.18.1 - BPA PTP</vt:lpstr>
      <vt:lpstr>9.19 - ID Trans Rate</vt:lpstr>
      <vt:lpstr>9.19.1 - ID Trans Rate</vt:lpstr>
      <vt:lpstr>9.20 - DPUD</vt:lpstr>
      <vt:lpstr>9.20.1 - DPUD</vt:lpstr>
      <vt:lpstr>9.21 - OFPC</vt:lpstr>
      <vt:lpstr>9.21.1 - OFPC</vt:lpstr>
      <vt:lpstr>9.22 - BPA RoD</vt:lpstr>
      <vt:lpstr>9.22.1 - BPA RoD</vt:lpstr>
      <vt:lpstr>9.23 - Coal Cost</vt:lpstr>
      <vt:lpstr>9.23.1 - Coal Cost</vt:lpstr>
      <vt:lpstr>9.24 - P50 Wind</vt:lpstr>
      <vt:lpstr>9.24.1 - P50 Wind</vt:lpstr>
      <vt:lpstr>9.25 - Interrelated Changes</vt:lpstr>
      <vt:lpstr>9.26 - Pro Forma Rebuttal</vt:lpstr>
      <vt:lpstr>9.26.1 - Pro Forma Rebuttal</vt:lpstr>
      <vt:lpstr>'9.0 - Columnar Summary'!Print_Area</vt:lpstr>
      <vt:lpstr>'9.1 - Summary '!Print_Area</vt:lpstr>
      <vt:lpstr>'9.10 - Hydro Median'!Print_Area</vt:lpstr>
      <vt:lpstr>'9.10.1 - Hydro Median'!Print_Area</vt:lpstr>
      <vt:lpstr>'9.11 - Coal Heat Rate'!Print_Area</vt:lpstr>
      <vt:lpstr>'9.11.1 - Coal Heat Rate'!Print_Area</vt:lpstr>
      <vt:lpstr>'9.12 - BPA Exchange'!Print_Area</vt:lpstr>
      <vt:lpstr>'9.12.1 - BPA Exchange'!Print_Area</vt:lpstr>
      <vt:lpstr>'9.13 - Chehalis Lateral'!Print_Area</vt:lpstr>
      <vt:lpstr>'9.13.1 - Chehalis Lateral'!Print_Area</vt:lpstr>
      <vt:lpstr>'9.14 - Stateline Losses'!Print_Area</vt:lpstr>
      <vt:lpstr>'9.14.1 - Stateline Losses'!Print_Area</vt:lpstr>
      <vt:lpstr>'9.15 - PGE Cove'!Print_Area</vt:lpstr>
      <vt:lpstr>'9.15.1 - PGE Cove'!Print_Area</vt:lpstr>
      <vt:lpstr>'9.16 - Butter Creek'!Print_Area</vt:lpstr>
      <vt:lpstr>'9.16.1 - Butter Creek'!Print_Area</vt:lpstr>
      <vt:lpstr>'9.17 - Small QF'!Print_Area</vt:lpstr>
      <vt:lpstr>'9.17.1 - Small QF'!Print_Area</vt:lpstr>
      <vt:lpstr>'9.18 - BPA P2P'!Print_Area</vt:lpstr>
      <vt:lpstr>'9.18.1 - BPA PTP'!Print_Area</vt:lpstr>
      <vt:lpstr>'9.19 - ID Trans Rate'!Print_Area</vt:lpstr>
      <vt:lpstr>'9.19.1 - ID Trans Rate'!Print_Area</vt:lpstr>
      <vt:lpstr>'9.20 - DPUD'!Print_Area</vt:lpstr>
      <vt:lpstr>'9.20.1 - DPUD'!Print_Area</vt:lpstr>
      <vt:lpstr>'9.21 - OFPC'!Print_Area</vt:lpstr>
      <vt:lpstr>'9.21.1 - OFPC'!Print_Area</vt:lpstr>
      <vt:lpstr>'9.22 - BPA RoD'!Print_Area</vt:lpstr>
      <vt:lpstr>'9.22.1 - BPA RoD'!Print_Area</vt:lpstr>
      <vt:lpstr>'9.23 - Coal Cost'!Print_Area</vt:lpstr>
      <vt:lpstr>'9.23.1 - Coal Cost'!Print_Area</vt:lpstr>
      <vt:lpstr>'9.24 - P50 Wind'!Print_Area</vt:lpstr>
      <vt:lpstr>'9.24.1 - P50 Wind'!Print_Area</vt:lpstr>
      <vt:lpstr>'9.25 - Interrelated Changes'!Print_Area</vt:lpstr>
      <vt:lpstr>'9.26 - Pro Forma Rebuttal'!Print_Area</vt:lpstr>
      <vt:lpstr>'9.26.1 - Pro Forma Rebuttal'!Print_Area</vt:lpstr>
      <vt:lpstr>'9.3.2 - Restating'!Print_Area</vt:lpstr>
      <vt:lpstr>'9.5.1 - QFs'!Print_Area</vt:lpstr>
      <vt:lpstr>'9.6.1 - ECA Sale'!Print_Area</vt:lpstr>
      <vt:lpstr>'9.6.1 - ID P2P'!Print_Area</vt:lpstr>
      <vt:lpstr>'9.8 - Pro Forma Direct'!Print_Area</vt:lpstr>
      <vt:lpstr>'9.8.1 Pro Forma Direct'!Print_Area</vt:lpstr>
      <vt:lpstr>'9.9 - Wind Reserve'!Print_Area</vt:lpstr>
      <vt:lpstr>'9.9.1 - Wind Reserve'!Print_Area</vt:lpstr>
      <vt:lpstr>'9.0 - Columnar Summary'!Print_Titles</vt:lpstr>
      <vt:lpstr>'9.1 - Summary '!Print_Titles</vt:lpstr>
      <vt:lpstr>'9.10.1 - Hydro Median'!Print_Titles</vt:lpstr>
      <vt:lpstr>'9.11.1 - Coal Heat Rate'!Print_Titles</vt:lpstr>
      <vt:lpstr>'9.12.1 - BPA Exchange'!Print_Titles</vt:lpstr>
      <vt:lpstr>'9.13.1 - Chehalis Lateral'!Print_Titles</vt:lpstr>
      <vt:lpstr>'9.14.1 - Stateline Losses'!Print_Titles</vt:lpstr>
      <vt:lpstr>'9.15.1 - PGE Cove'!Print_Titles</vt:lpstr>
      <vt:lpstr>'9.16.1 - Butter Creek'!Print_Titles</vt:lpstr>
      <vt:lpstr>'9.17.1 - Small QF'!Print_Titles</vt:lpstr>
      <vt:lpstr>'9.18.1 - BPA PTP'!Print_Titles</vt:lpstr>
      <vt:lpstr>'9.19.1 - ID Trans Rate'!Print_Titles</vt:lpstr>
      <vt:lpstr>'9.20.1 - DPUD'!Print_Titles</vt:lpstr>
      <vt:lpstr>'9.21.1 - OFPC'!Print_Titles</vt:lpstr>
      <vt:lpstr>'9.22.1 - BPA RoD'!Print_Titles</vt:lpstr>
      <vt:lpstr>'9.23.1 - Coal Cost'!Print_Titles</vt:lpstr>
      <vt:lpstr>'9.26.1 - Pro Forma Rebuttal'!Print_Titles</vt:lpstr>
      <vt:lpstr>'9.6.1 - ECA Sale'!Print_Titles</vt:lpstr>
      <vt:lpstr>'9.6.1 - ID P2P'!Print_Titles</vt:lpstr>
      <vt:lpstr>'9.9.1 - Wind Reserve'!Print_Titles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Hui Shu</dc:creator>
  <cp:lastModifiedBy>P14726</cp:lastModifiedBy>
  <cp:lastPrinted>2013-09-26T00:32:18Z</cp:lastPrinted>
  <dcterms:created xsi:type="dcterms:W3CDTF">2000-05-12T21:28:01Z</dcterms:created>
  <dcterms:modified xsi:type="dcterms:W3CDTF">2013-09-26T00:35:29Z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0x0101006E56B4D1795A2E4DB2F0B01679ED314A00A76616498D7811449987485091DF42B7</vt:lpwstr>
  </property>
  <property fmtid="{D5CDD505-2E9C-101B-9397-08002B2CF9AE}" pid="3" name="_docset_NoMedatataSyncRequired">
    <vt:lpwstr>False</vt:lpwstr>
  </property>
</Properties>
</file>