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WH-15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BOOK_LIFE">'[2]Lvl FCR'!$G$10</definedName>
    <definedName name="CASE">'[3]INPUTS'!$C$8</definedName>
    <definedName name="Classification">#REF!</definedName>
    <definedName name="Construction_OH">'[1]Virtual 49 Back-Up'!$E$54</definedName>
    <definedName name="DOCKET">#REF!</definedName>
    <definedName name="Expected_Life">#REF!</definedName>
    <definedName name="FCR">'[1]Virtual 49 Back-Up'!$B$20</definedName>
    <definedName name="Line_OH">#REF!</definedName>
    <definedName name="O_M_Rate">'[1]Virtual 49 Back-Up'!$B$21</definedName>
    <definedName name="OthRCF">'[3]INPUTS'!$F$41</definedName>
    <definedName name="_xlnm.Print_Area" localSheetId="0">'DWH-15'!$A$1:$K$50</definedName>
    <definedName name="PSPL">#REF!</definedName>
    <definedName name="ResRCF">'[3]INPUTS'!$F$39</definedName>
    <definedName name="ROR">'[3]INPUTS'!$F$24</definedName>
    <definedName name="SBRCF">'[3]INPUTS'!$F$40</definedName>
    <definedName name="TESTYEAR">#REF!</definedName>
    <definedName name="xx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<sst xmlns="http://schemas.openxmlformats.org/spreadsheetml/2006/main" count="57" uniqueCount="57">
  <si>
    <t>Twelve Months ended September 30, 2007</t>
  </si>
  <si>
    <t>Summary - Rate Spread</t>
  </si>
  <si>
    <t>Line No.</t>
  </si>
  <si>
    <t>Class</t>
  </si>
  <si>
    <t>Schedule</t>
  </si>
  <si>
    <t>Percent
of
Average
Increase</t>
  </si>
  <si>
    <t>Proposed
Revenue
Increase
(%
REBUTTAL</t>
  </si>
  <si>
    <t>Proposed
Revenue
Increase
($) 
REBUTTAL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</si>
  <si>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</si>
  <si>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</si>
  <si>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</si>
  <si>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</si>
  <si>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</si>
  <si>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</si>
  <si>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</si>
  <si>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</si>
  <si>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</si>
  <si>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</si>
  <si>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</si>
  <si>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</si>
  <si>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</si>
  <si>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</si>
  <si>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</si>
  <si>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</si>
  <si>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</si>
  <si>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</si>
  <si>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</si>
  <si>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</si>
  <si>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</si>
  <si>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</si>
  <si>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</si>
  <si>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Schedule 449</t>
  </si>
  <si>
    <t>Lighting</t>
  </si>
  <si>
    <t>50-59</t>
  </si>
  <si>
    <t>Firm Resale</t>
  </si>
  <si>
    <t>005</t>
  </si>
  <si>
    <t>Total Sales</t>
  </si>
  <si>
    <t>Average Increase Before Schedule 40</t>
  </si>
  <si>
    <t>Average Increase After Schedule 40</t>
  </si>
  <si>
    <t>Adjustment to Average Increase for Unequal Allocation of Increase</t>
  </si>
  <si>
    <t>Average Increase After Schedule 40 adjusted for Unequal Allocation of Increase</t>
  </si>
  <si>
    <t>Proposed Increase, All Classes, DWH-5</t>
  </si>
  <si>
    <t>Proposed Increase Change, DWH-11 vs. DWH-5</t>
  </si>
  <si>
    <t>% Decrease, DWH-11 vs. DWH-5</t>
  </si>
  <si>
    <t>Schedule 40 Rate Spread Calculation</t>
  </si>
  <si>
    <t>Energy Increase, DWH-5</t>
  </si>
  <si>
    <t>Demand Increase, DWH-5</t>
  </si>
  <si>
    <t>Total Demand &amp; Energy Increase, DWH-5</t>
  </si>
  <si>
    <t>Total Demand &amp; Energy Increase, DWH-11 vs. DWH-5</t>
  </si>
  <si>
    <t>Total Increase, DWH-5</t>
  </si>
  <si>
    <t>Total Increase, DWH-9</t>
  </si>
  <si>
    <t>Proposed
Increase
REBUTTAL</t>
  </si>
  <si>
    <t>Proforma
kWh
Revised</t>
  </si>
  <si>
    <t>Proforma
Revenue
Revised</t>
  </si>
  <si>
    <t>Percent of
Total w/o
Schedule 40</t>
  </si>
  <si>
    <t>Proposed
Revenue
($)
REBUTTAL</t>
  </si>
  <si>
    <t>Puget Sound Energy, Inc.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</si>
</sst>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0.000000"/>
    <numFmt numFmtId="169" formatCode="#,##0.00\ ;\(#,##0.00\)"/>
    <numFmt numFmtId="170" formatCode="#."/>
    <numFmt numFmtId="171" formatCode="mmmm\ d\,\ yyyy"/>
    <numFmt numFmtId="172" formatCode="_(&quot;$&quot;* #,##0.0000_);_(&quot;$&quot;* \(#,##0.0000\);_(&quot;$&quot;* &quot;-&quot;????_);_(@_)"/>
    <numFmt numFmtId="173" formatCode="&quot;$&quot;#,##0.00"/>
  </numFmts>
  <fonts count="21">
    <font>
      <sz val="10"/>
      <name val="Arial"/>
      <family val="0"/>
    </font>
    <font>
      <sz val="12"/>
      <name val="Arial"/>
      <family val="0"/>
    </font>
    <font>
      <sz val="10"/>
      <name val="Helv"/>
      <family val="0"/>
    </font>
    <font>
      <sz val="12"/>
      <name val="TIMES"/>
      <family val="0"/>
    </font>
    <font>
      <sz val="10"/>
      <color indexed="16"/>
      <name val="Courier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sz val="10"/>
      <color indexed="12"/>
      <name val="Arial"/>
      <family val="2"/>
    </font>
    <font>
      <b/>
      <sz val="12"/>
      <color indexed="20"/>
      <name val="Arial"/>
      <family val="0"/>
    </font>
    <font>
      <sz val="12"/>
      <color indexed="10"/>
      <name val="Arial"/>
      <family val="0"/>
    </font>
    <font>
      <sz val="12"/>
      <color indexed="10"/>
      <name val="TIMES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41" fontId="0" fillId="2" borderId="0">
      <alignment/>
      <protection/>
    </xf>
    <xf numFmtId="41" fontId="0" fillId="3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0" fontId="4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ill="0" applyBorder="0" applyAlignment="0" applyProtection="0"/>
    <xf numFmtId="171" fontId="1" fillId="0" borderId="0" applyFill="0" applyBorder="0" applyAlignment="0" applyProtection="0"/>
    <xf numFmtId="2" fontId="1" fillId="0" borderId="0" applyFill="0" applyBorder="0" applyAlignment="0" applyProtection="0"/>
    <xf numFmtId="0" fontId="5" fillId="0" borderId="0" applyNumberFormat="0" applyFill="0" applyBorder="0" applyAlignment="0" applyProtection="0"/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8" fillId="0" borderId="0">
      <alignment/>
      <protection/>
    </xf>
    <xf numFmtId="40" fontId="8" fillId="0" borderId="0">
      <alignment/>
      <protection/>
    </xf>
    <xf numFmtId="0" fontId="9" fillId="0" borderId="0" applyNumberFormat="0" applyFill="0" applyBorder="0" applyAlignment="0" applyProtection="0"/>
    <xf numFmtId="10" fontId="6" fillId="2" borderId="1" applyNumberFormat="0" applyBorder="0" applyAlignment="0" applyProtection="0"/>
    <xf numFmtId="41" fontId="10" fillId="4" borderId="2">
      <alignment horizontal="left"/>
      <protection locked="0"/>
    </xf>
    <xf numFmtId="10" fontId="10" fillId="4" borderId="2">
      <alignment horizontal="right"/>
      <protection locked="0"/>
    </xf>
    <xf numFmtId="3" fontId="11" fillId="0" borderId="0" applyFill="0" applyBorder="0" applyAlignment="0" applyProtection="0"/>
    <xf numFmtId="169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1" fontId="0" fillId="5" borderId="2">
      <alignment/>
      <protection/>
    </xf>
    <xf numFmtId="0" fontId="3" fillId="0" borderId="0">
      <alignment/>
      <protection/>
    </xf>
    <xf numFmtId="3" fontId="12" fillId="0" borderId="0" applyFill="0" applyBorder="0" applyAlignment="0" applyProtection="0"/>
    <xf numFmtId="0" fontId="13" fillId="0" borderId="0">
      <alignment/>
      <protection/>
    </xf>
    <xf numFmtId="42" fontId="0" fillId="2" borderId="0">
      <alignment/>
      <protection/>
    </xf>
    <xf numFmtId="42" fontId="0" fillId="2" borderId="3">
      <alignment vertical="center"/>
      <protection/>
    </xf>
    <xf numFmtId="0" fontId="14" fillId="2" borderId="4" applyNumberFormat="0">
      <alignment horizontal="center" vertical="center" wrapText="1"/>
      <protection/>
    </xf>
    <xf numFmtId="10" fontId="0" fillId="2" borderId="0">
      <alignment/>
      <protection/>
    </xf>
    <xf numFmtId="172" fontId="0" fillId="2" borderId="0">
      <alignment/>
      <protection/>
    </xf>
    <xf numFmtId="42" fontId="0" fillId="2" borderId="5">
      <alignment horizontal="left"/>
      <protection/>
    </xf>
    <xf numFmtId="172" fontId="15" fillId="2" borderId="5">
      <alignment horizontal="left"/>
      <protection/>
    </xf>
    <xf numFmtId="38" fontId="6" fillId="0" borderId="6">
      <alignment/>
      <protection/>
    </xf>
    <xf numFmtId="38" fontId="8" fillId="0" borderId="5">
      <alignment/>
      <protection/>
    </xf>
    <xf numFmtId="41" fontId="16" fillId="2" borderId="0">
      <alignment horizontal="left"/>
      <protection/>
    </xf>
    <xf numFmtId="173" fontId="17" fillId="2" borderId="0">
      <alignment horizontal="left" vertical="center"/>
      <protection/>
    </xf>
    <xf numFmtId="0" fontId="14" fillId="2" borderId="0">
      <alignment horizontal="left" wrapText="1"/>
      <protection/>
    </xf>
    <xf numFmtId="0" fontId="18" fillId="0" borderId="0">
      <alignment horizontal="left" vertical="center"/>
      <protection/>
    </xf>
    <xf numFmtId="41" fontId="14" fillId="2" borderId="0">
      <alignment horizontal="left"/>
      <protection/>
    </xf>
    <xf numFmtId="0" fontId="3" fillId="0" borderId="7">
      <alignment/>
      <protection/>
    </xf>
  </cellStyleXfs>
  <cellXfs count="7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9" fillId="0" borderId="4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left" wrapText="1"/>
    </xf>
    <xf numFmtId="0" fontId="19" fillId="0" borderId="4" xfId="0" applyFont="1" applyFill="1" applyBorder="1" applyAlignment="1" quotePrefix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 quotePrefix="1">
      <alignment horizontal="center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64" fontId="19" fillId="0" borderId="8" xfId="19" applyNumberFormat="1" applyFont="1" applyFill="1" applyBorder="1" applyAlignment="1">
      <alignment/>
    </xf>
    <xf numFmtId="165" fontId="19" fillId="0" borderId="8" xfId="28" applyNumberFormat="1" applyFont="1" applyFill="1" applyBorder="1" applyAlignment="1">
      <alignment/>
    </xf>
    <xf numFmtId="10" fontId="19" fillId="0" borderId="0" xfId="47" applyNumberFormat="1" applyFont="1" applyFill="1" applyBorder="1" applyAlignment="1">
      <alignment/>
    </xf>
    <xf numFmtId="9" fontId="19" fillId="0" borderId="0" xfId="47" applyFont="1" applyFill="1" applyAlignment="1">
      <alignment/>
    </xf>
    <xf numFmtId="10" fontId="19" fillId="0" borderId="0" xfId="47" applyNumberFormat="1" applyFont="1" applyFill="1" applyAlignment="1">
      <alignment/>
    </xf>
    <xf numFmtId="164" fontId="19" fillId="0" borderId="0" xfId="19" applyNumberFormat="1" applyFont="1" applyFill="1" applyBorder="1" applyAlignment="1">
      <alignment/>
    </xf>
    <xf numFmtId="165" fontId="19" fillId="0" borderId="0" xfId="28" applyNumberFormat="1" applyFont="1" applyFill="1" applyBorder="1" applyAlignment="1">
      <alignment/>
    </xf>
    <xf numFmtId="10" fontId="19" fillId="0" borderId="0" xfId="28" applyNumberFormat="1" applyFont="1" applyFill="1" applyBorder="1" applyAlignment="1">
      <alignment/>
    </xf>
    <xf numFmtId="0" fontId="19" fillId="0" borderId="0" xfId="0" applyFont="1" applyFill="1" applyAlignment="1" quotePrefix="1">
      <alignment horizontal="left" indent="1"/>
    </xf>
    <xf numFmtId="3" fontId="19" fillId="0" borderId="0" xfId="28" applyNumberFormat="1" applyFont="1" applyFill="1" applyBorder="1" applyAlignment="1">
      <alignment/>
    </xf>
    <xf numFmtId="0" fontId="19" fillId="0" borderId="0" xfId="0" applyFont="1" applyFill="1" applyAlignment="1" quotePrefix="1">
      <alignment horizontal="left"/>
    </xf>
    <xf numFmtId="3" fontId="19" fillId="0" borderId="8" xfId="19" applyNumberFormat="1" applyFont="1" applyFill="1" applyBorder="1" applyAlignment="1">
      <alignment/>
    </xf>
    <xf numFmtId="3" fontId="19" fillId="0" borderId="0" xfId="19" applyNumberFormat="1" applyFont="1" applyFill="1" applyBorder="1" applyAlignment="1">
      <alignment/>
    </xf>
    <xf numFmtId="0" fontId="19" fillId="0" borderId="0" xfId="0" applyFont="1" applyFill="1" applyAlignment="1">
      <alignment horizontal="left" indent="1"/>
    </xf>
    <xf numFmtId="3" fontId="19" fillId="0" borderId="0" xfId="19" applyNumberFormat="1" applyFont="1" applyFill="1" applyAlignment="1">
      <alignment/>
    </xf>
    <xf numFmtId="165" fontId="19" fillId="0" borderId="0" xfId="28" applyNumberFormat="1" applyFont="1" applyFill="1" applyAlignment="1">
      <alignment/>
    </xf>
    <xf numFmtId="10" fontId="19" fillId="0" borderId="0" xfId="28" applyNumberFormat="1" applyFont="1" applyFill="1" applyAlignment="1">
      <alignment/>
    </xf>
    <xf numFmtId="3" fontId="19" fillId="0" borderId="8" xfId="28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quotePrefix="1">
      <alignment horizontal="center"/>
    </xf>
    <xf numFmtId="164" fontId="19" fillId="0" borderId="0" xfId="19" applyNumberFormat="1" applyFont="1" applyFill="1" applyAlignment="1">
      <alignment/>
    </xf>
    <xf numFmtId="164" fontId="19" fillId="0" borderId="3" xfId="19" applyNumberFormat="1" applyFont="1" applyFill="1" applyBorder="1" applyAlignment="1">
      <alignment/>
    </xf>
    <xf numFmtId="165" fontId="19" fillId="0" borderId="3" xfId="28" applyNumberFormat="1" applyFont="1" applyFill="1" applyBorder="1" applyAlignment="1">
      <alignment/>
    </xf>
    <xf numFmtId="10" fontId="19" fillId="0" borderId="3" xfId="47" applyNumberFormat="1" applyFont="1" applyFill="1" applyBorder="1" applyAlignment="1">
      <alignment/>
    </xf>
    <xf numFmtId="164" fontId="19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/>
    </xf>
    <xf numFmtId="0" fontId="19" fillId="0" borderId="9" xfId="0" applyFont="1" applyFill="1" applyBorder="1" applyAlignment="1" quotePrefix="1">
      <alignment horizontal="left"/>
    </xf>
    <xf numFmtId="0" fontId="19" fillId="0" borderId="10" xfId="0" applyFont="1" applyFill="1" applyBorder="1" applyAlignment="1" quotePrefix="1">
      <alignment horizontal="left"/>
    </xf>
    <xf numFmtId="9" fontId="20" fillId="0" borderId="10" xfId="47" applyFont="1" applyFill="1" applyBorder="1" applyAlignment="1">
      <alignment/>
    </xf>
    <xf numFmtId="0" fontId="19" fillId="0" borderId="10" xfId="0" applyFont="1" applyFill="1" applyBorder="1" applyAlignment="1">
      <alignment/>
    </xf>
    <xf numFmtId="167" fontId="19" fillId="0" borderId="11" xfId="0" applyNumberFormat="1" applyFont="1" applyFill="1" applyBorder="1" applyAlignment="1">
      <alignment/>
    </xf>
    <xf numFmtId="0" fontId="19" fillId="0" borderId="1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left"/>
    </xf>
    <xf numFmtId="167" fontId="19" fillId="0" borderId="13" xfId="47" applyNumberFormat="1" applyFont="1" applyFill="1" applyBorder="1" applyAlignment="1">
      <alignment/>
    </xf>
    <xf numFmtId="0" fontId="19" fillId="0" borderId="14" xfId="0" applyFont="1" applyFill="1" applyBorder="1" applyAlignment="1" quotePrefix="1">
      <alignment horizontal="left"/>
    </xf>
    <xf numFmtId="0" fontId="19" fillId="0" borderId="15" xfId="0" applyFont="1" applyFill="1" applyBorder="1" applyAlignment="1" quotePrefix="1">
      <alignment horizontal="left"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 quotePrefix="1">
      <alignment horizontal="left"/>
    </xf>
    <xf numFmtId="0" fontId="19" fillId="0" borderId="18" xfId="0" applyFont="1" applyFill="1" applyBorder="1" applyAlignment="1" quotePrefix="1">
      <alignment horizontal="left"/>
    </xf>
    <xf numFmtId="0" fontId="19" fillId="0" borderId="18" xfId="0" applyFont="1" applyFill="1" applyBorder="1" applyAlignment="1">
      <alignment/>
    </xf>
    <xf numFmtId="167" fontId="20" fillId="0" borderId="19" xfId="47" applyNumberFormat="1" applyFont="1" applyFill="1" applyBorder="1" applyAlignment="1">
      <alignment/>
    </xf>
    <xf numFmtId="0" fontId="19" fillId="0" borderId="9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165" fontId="19" fillId="0" borderId="11" xfId="28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/>
    </xf>
    <xf numFmtId="0" fontId="20" fillId="0" borderId="14" xfId="0" applyFont="1" applyFill="1" applyBorder="1" applyAlignment="1" quotePrefix="1">
      <alignment horizontal="left"/>
    </xf>
    <xf numFmtId="0" fontId="20" fillId="0" borderId="15" xfId="0" applyFont="1" applyFill="1" applyBorder="1" applyAlignment="1">
      <alignment horizontal="left"/>
    </xf>
    <xf numFmtId="166" fontId="20" fillId="0" borderId="16" xfId="47" applyNumberFormat="1" applyFont="1" applyFill="1" applyBorder="1" applyAlignment="1">
      <alignment/>
    </xf>
    <xf numFmtId="0" fontId="20" fillId="0" borderId="0" xfId="0" applyFont="1" applyFill="1" applyAlignment="1" quotePrefix="1">
      <alignment wrapText="1"/>
    </xf>
    <xf numFmtId="0" fontId="20" fillId="0" borderId="0" xfId="0" applyFont="1" applyFill="1" applyAlignment="1">
      <alignment wrapText="1"/>
    </xf>
    <xf numFmtId="166" fontId="19" fillId="0" borderId="0" xfId="47" applyNumberFormat="1" applyFont="1" applyFill="1" applyAlignment="1">
      <alignment/>
    </xf>
    <xf numFmtId="0" fontId="20" fillId="0" borderId="20" xfId="0" applyFont="1" applyFill="1" applyBorder="1" applyAlignment="1" quotePrefix="1">
      <alignment horizontal="center"/>
    </xf>
    <xf numFmtId="0" fontId="20" fillId="0" borderId="21" xfId="0" applyFont="1" applyFill="1" applyBorder="1" applyAlignment="1" quotePrefix="1">
      <alignment horizontal="center"/>
    </xf>
    <xf numFmtId="0" fontId="20" fillId="0" borderId="22" xfId="0" applyFont="1" applyFill="1" applyBorder="1" applyAlignment="1" quotePrefix="1">
      <alignment horizontal="center"/>
    </xf>
    <xf numFmtId="0" fontId="19" fillId="0" borderId="12" xfId="0" applyFont="1" applyFill="1" applyBorder="1" applyAlignment="1">
      <alignment horizontal="left"/>
    </xf>
    <xf numFmtId="165" fontId="19" fillId="0" borderId="23" xfId="0" applyNumberFormat="1" applyFont="1" applyFill="1" applyBorder="1" applyAlignment="1">
      <alignment/>
    </xf>
    <xf numFmtId="165" fontId="19" fillId="0" borderId="24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</cellXfs>
  <cellStyles count="53">
    <cellStyle name="Normal" xfId="0"/>
    <cellStyle name="_11 02E Revenues and Expenses (2)" xfId="16"/>
    <cellStyle name="Calculation" xfId="17"/>
    <cellStyle name="CheckCell" xfId="18"/>
    <cellStyle name="Comma" xfId="19"/>
    <cellStyle name="Comma [0]" xfId="20"/>
    <cellStyle name="Comma0" xfId="21"/>
    <cellStyle name="Comma0 - Style2" xfId="22"/>
    <cellStyle name="Comma0 - Style5" xfId="23"/>
    <cellStyle name="Comma0_00COS Ind Allocators" xfId="24"/>
    <cellStyle name="Comma1 - Style1" xfId="25"/>
    <cellStyle name="Curren - Style2" xfId="26"/>
    <cellStyle name="Curren - Style6" xfId="27"/>
    <cellStyle name="Currency" xfId="28"/>
    <cellStyle name="Currency [0]" xfId="29"/>
    <cellStyle name="Currency0" xfId="30"/>
    <cellStyle name="Date" xfId="31"/>
    <cellStyle name="Fixed" xfId="32"/>
    <cellStyle name="Followed Hyperlink" xfId="33"/>
    <cellStyle name="Grey" xfId="34"/>
    <cellStyle name="Heading 1" xfId="35"/>
    <cellStyle name="Heading 2" xfId="36"/>
    <cellStyle name="Heading1" xfId="37"/>
    <cellStyle name="Heading2" xfId="38"/>
    <cellStyle name="Hyperlink" xfId="39"/>
    <cellStyle name="Input [yellow]" xfId="40"/>
    <cellStyle name="Input Cells" xfId="41"/>
    <cellStyle name="Input Cells Percent" xfId="42"/>
    <cellStyle name="LINKED" xfId="43"/>
    <cellStyle name="Normal - Style1" xfId="44"/>
    <cellStyle name="Percen - Style1" xfId="45"/>
    <cellStyle name="Percen - Style3" xfId="46"/>
    <cellStyle name="Percent" xfId="47"/>
    <cellStyle name="Percent [2]" xfId="48"/>
    <cellStyle name="Processing" xfId="49"/>
    <cellStyle name="purple - Style8" xfId="50"/>
    <cellStyle name="RED" xfId="51"/>
    <cellStyle name="Red - Style7" xfId="52"/>
    <cellStyle name="Report" xfId="53"/>
    <cellStyle name="Report Bar" xfId="54"/>
    <cellStyle name="Report Heading" xfId="55"/>
    <cellStyle name="Report Percent" xfId="56"/>
    <cellStyle name="Report Unit Cost" xfId="57"/>
    <cellStyle name="Reports Total" xfId="58"/>
    <cellStyle name="Reports Unit Cost Total" xfId="59"/>
    <cellStyle name="StmtTtl1" xfId="60"/>
    <cellStyle name="StmtTtl2" xfId="61"/>
    <cellStyle name="Sub-total" xfId="62"/>
    <cellStyle name="Title: Major" xfId="63"/>
    <cellStyle name="Title: Minor" xfId="64"/>
    <cellStyle name="Title: Worksheet" xfId="65"/>
    <cellStyle name="Total" xfId="66"/>
    <cellStyle name="Total4 - Style4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ljh\Local%20Settings\MSN%20Rate%20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93\FCR%20for%20PSE%20S40%20V0%20%20HM%20ed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RASANEN\#2005%20GRC\Update%206-30-06\COS%20Update%207-7-06\ECOS%20Model%20-%20UPDATE%20(JAH-5)%207-7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3">
        <row r="20">
          <cell r="B20">
            <v>0.1312</v>
          </cell>
        </row>
        <row r="21">
          <cell r="B21">
            <v>0.038234</v>
          </cell>
        </row>
        <row r="54">
          <cell r="E54">
            <v>0.23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2">
        <row r="10">
          <cell r="G10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1">
        <row r="8">
          <cell r="C8">
            <v>2</v>
          </cell>
        </row>
        <row r="24">
          <cell r="F24">
            <v>0.0876</v>
          </cell>
        </row>
        <row r="39">
          <cell r="F39">
            <v>0.6207334</v>
          </cell>
        </row>
        <row r="40">
          <cell r="F40">
            <v>0.6207334</v>
          </cell>
        </row>
        <row r="41">
          <cell r="F41">
            <v>0.6207334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8" sqref="H28"/>
    </sheetView>
  </sheetViews>
  <sheetFormatPr defaultColWidth="9.140625" defaultRowHeight="12.75"/>
  <cols>
    <col min="1" max="1" width="4.57421875" style="2" bestFit="1" customWidth="1"/>
    <col min="2" max="2" width="31.7109375" style="2" bestFit="1" customWidth="1"/>
    <col min="3" max="3" width="8.7109375" style="2" customWidth="1"/>
    <col min="4" max="5" width="15.00390625" style="2" bestFit="1" customWidth="1"/>
    <col min="6" max="6" width="13.421875" style="2" bestFit="1" customWidth="1"/>
    <col min="7" max="7" width="10.57421875" style="2" customWidth="1"/>
    <col min="8" max="8" width="8.00390625" style="2" bestFit="1" customWidth="1"/>
    <col min="9" max="9" width="15.57421875" style="2" bestFit="1" customWidth="1"/>
    <col min="10" max="11" width="17.140625" style="2" bestFit="1" customWidth="1"/>
    <col min="12" max="12" width="2.7109375" style="2" customWidth="1"/>
    <col min="13" max="16384" width="8.8515625" style="2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7" customFormat="1" ht="63.75">
      <c r="A6" s="4" t="s">
        <v>2</v>
      </c>
      <c r="B6" s="5" t="s">
        <v>3</v>
      </c>
      <c r="C6" s="4" t="s">
        <v>4</v>
      </c>
      <c r="D6" s="6" t="s">
        <v>52</v>
      </c>
      <c r="E6" s="4" t="s">
        <v>53</v>
      </c>
      <c r="F6" s="6" t="s">
        <v>51</v>
      </c>
      <c r="G6" s="6" t="s">
        <v>54</v>
      </c>
      <c r="H6" s="6" t="s">
        <v>5</v>
      </c>
      <c r="I6" s="6" t="s">
        <v>6</v>
      </c>
      <c r="J6" s="6" t="s">
        <v>7</v>
      </c>
      <c r="K6" s="6" t="s">
        <v>55</v>
      </c>
    </row>
    <row r="7" spans="2:11" s="8" customFormat="1" ht="12.75">
      <c r="B7" s="9"/>
      <c r="C7" s="10"/>
      <c r="D7" s="10" t="s">
        <v>8</v>
      </c>
      <c r="E7" s="10" t="s">
        <v>9</v>
      </c>
      <c r="F7" s="8" t="s">
        <v>10</v>
      </c>
      <c r="G7" s="10" t="s">
        <v>11</v>
      </c>
      <c r="H7" s="8" t="s">
        <v>12</v>
      </c>
      <c r="I7" s="8" t="s">
        <v>13</v>
      </c>
      <c r="J7" s="11" t="s">
        <v>14</v>
      </c>
      <c r="K7" s="11" t="s">
        <v>15</v>
      </c>
    </row>
    <row r="8" spans="2:7" s="8" customFormat="1" ht="12.75">
      <c r="B8" s="9"/>
      <c r="C8" s="10"/>
      <c r="D8" s="10"/>
      <c r="E8" s="10"/>
      <c r="G8" s="10"/>
    </row>
    <row r="9" spans="1:11" ht="12.75">
      <c r="A9" s="12">
        <v>1</v>
      </c>
      <c r="B9" s="13" t="s">
        <v>16</v>
      </c>
      <c r="C9" s="12">
        <v>7</v>
      </c>
      <c r="D9" s="14">
        <v>10689229506.4513</v>
      </c>
      <c r="E9" s="15">
        <v>984131417.025508</v>
      </c>
      <c r="G9" s="16">
        <f>E9/(E$32-E$22)</f>
        <v>0.5470199377215076</v>
      </c>
      <c r="H9" s="17">
        <v>1.25</v>
      </c>
      <c r="I9" s="18">
        <f>+$I$35*$I$36*H9</f>
        <v>0.11203228029896947</v>
      </c>
      <c r="J9" s="15">
        <f>+E9*I9</f>
        <v>110254486.76322374</v>
      </c>
      <c r="K9" s="15">
        <f>+E9+J9</f>
        <v>1094385903.7887318</v>
      </c>
    </row>
    <row r="10" spans="1:11" ht="12.75">
      <c r="A10" s="12">
        <f aca="true" t="shared" si="0" ref="A10:A50">+A9+1</f>
        <v>2</v>
      </c>
      <c r="C10" s="12"/>
      <c r="D10" s="19"/>
      <c r="E10" s="20"/>
      <c r="G10" s="21"/>
      <c r="J10" s="20"/>
      <c r="K10" s="20"/>
    </row>
    <row r="11" spans="1:11" ht="12.75">
      <c r="A11" s="12">
        <f t="shared" si="0"/>
        <v>3</v>
      </c>
      <c r="B11" s="2" t="s">
        <v>17</v>
      </c>
      <c r="C11" s="12"/>
      <c r="D11" s="19"/>
      <c r="E11" s="20"/>
      <c r="G11" s="21"/>
      <c r="J11" s="20"/>
      <c r="K11" s="20"/>
    </row>
    <row r="12" spans="1:11" ht="12.75">
      <c r="A12" s="12">
        <f t="shared" si="0"/>
        <v>4</v>
      </c>
      <c r="B12" s="22" t="s">
        <v>18</v>
      </c>
      <c r="C12" s="12">
        <v>24</v>
      </c>
      <c r="D12" s="23">
        <v>2617345842.8314</v>
      </c>
      <c r="E12" s="20">
        <v>225498621.79623896</v>
      </c>
      <c r="G12" s="16">
        <f>E12/(E$32-E$22)</f>
        <v>0.1253412297557687</v>
      </c>
      <c r="H12" s="17">
        <v>1</v>
      </c>
      <c r="I12" s="18">
        <f>+$I$35*$I$36*H12</f>
        <v>0.08962582423917557</v>
      </c>
      <c r="J12" s="20">
        <f>+E12*I12</f>
        <v>20210499.843286037</v>
      </c>
      <c r="K12" s="20">
        <f>+E12+J12</f>
        <v>245709121.639525</v>
      </c>
    </row>
    <row r="13" spans="1:11" ht="12.75">
      <c r="A13" s="12">
        <f t="shared" si="0"/>
        <v>5</v>
      </c>
      <c r="B13" s="22" t="s">
        <v>19</v>
      </c>
      <c r="C13" s="12" t="s">
        <v>20</v>
      </c>
      <c r="D13" s="23">
        <v>3074814746.2022</v>
      </c>
      <c r="E13" s="20">
        <v>260900410.58687988</v>
      </c>
      <c r="G13" s="16">
        <f>E13/(E$32-E$22)</f>
        <v>0.14501897193985389</v>
      </c>
      <c r="H13" s="17">
        <v>0.5</v>
      </c>
      <c r="I13" s="18">
        <f>+$I$35*$I$36*H13</f>
        <v>0.04481291211958779</v>
      </c>
      <c r="J13" s="20">
        <f>+E13*I13</f>
        <v>11691707.17159422</v>
      </c>
      <c r="K13" s="20">
        <f>+E13+J13</f>
        <v>272592117.7584741</v>
      </c>
    </row>
    <row r="14" spans="1:11" ht="12.75">
      <c r="A14" s="12">
        <f t="shared" si="0"/>
        <v>6</v>
      </c>
      <c r="B14" s="22" t="s">
        <v>21</v>
      </c>
      <c r="C14" s="12">
        <v>26</v>
      </c>
      <c r="D14" s="23">
        <v>2097537996.06</v>
      </c>
      <c r="E14" s="20">
        <v>159065782.2782134</v>
      </c>
      <c r="G14" s="16">
        <f>E14/(E$32-E$22)</f>
        <v>0.08841517790219666</v>
      </c>
      <c r="H14" s="17">
        <f>+H13</f>
        <v>0.5</v>
      </c>
      <c r="I14" s="18">
        <f>+$I$35*$I$36*H14</f>
        <v>0.04481291211958779</v>
      </c>
      <c r="J14" s="20">
        <f>+E14*I14</f>
        <v>7128200.922467062</v>
      </c>
      <c r="K14" s="20">
        <f>+E14+J14</f>
        <v>166193983.20068046</v>
      </c>
    </row>
    <row r="15" spans="1:11" ht="12.75">
      <c r="A15" s="12">
        <f t="shared" si="0"/>
        <v>7</v>
      </c>
      <c r="B15" s="24" t="s">
        <v>22</v>
      </c>
      <c r="C15" s="12"/>
      <c r="D15" s="25">
        <f>SUM(D12:D14)</f>
        <v>7789698585.093599</v>
      </c>
      <c r="E15" s="15">
        <f>SUM(E12:E14)</f>
        <v>645464814.6613322</v>
      </c>
      <c r="G15" s="21"/>
      <c r="J15" s="15">
        <f>SUM(J12:J14)</f>
        <v>39030407.937347315</v>
      </c>
      <c r="K15" s="15">
        <f>SUM(K12:K14)</f>
        <v>684495222.5986795</v>
      </c>
    </row>
    <row r="16" spans="1:11" ht="12.75">
      <c r="A16" s="12">
        <f t="shared" si="0"/>
        <v>8</v>
      </c>
      <c r="C16" s="12"/>
      <c r="D16" s="26"/>
      <c r="E16" s="20"/>
      <c r="G16" s="21"/>
      <c r="J16" s="20"/>
      <c r="K16" s="20"/>
    </row>
    <row r="17" spans="1:11" ht="12.75">
      <c r="A17" s="12">
        <f t="shared" si="0"/>
        <v>9</v>
      </c>
      <c r="B17" s="2" t="s">
        <v>23</v>
      </c>
      <c r="C17" s="12"/>
      <c r="D17" s="26"/>
      <c r="E17" s="20"/>
      <c r="G17" s="21"/>
      <c r="J17" s="20"/>
      <c r="K17" s="20"/>
    </row>
    <row r="18" spans="1:11" ht="12.75">
      <c r="A18" s="12">
        <f t="shared" si="0"/>
        <v>10</v>
      </c>
      <c r="B18" s="22" t="s">
        <v>24</v>
      </c>
      <c r="C18" s="12" t="s">
        <v>25</v>
      </c>
      <c r="D18" s="23">
        <v>1375432289.4800003</v>
      </c>
      <c r="E18" s="20">
        <v>99476005.69168033</v>
      </c>
      <c r="G18" s="16">
        <f>E18/(E$32-E$22)</f>
        <v>0.05529277644922182</v>
      </c>
      <c r="H18" s="17">
        <v>1</v>
      </c>
      <c r="I18" s="18">
        <f>+$I$35*$I$36*H18</f>
        <v>0.08962582423917557</v>
      </c>
      <c r="J18" s="20">
        <f>+E18*I18</f>
        <v>8915619.00213777</v>
      </c>
      <c r="K18" s="20">
        <f>+E18+J18</f>
        <v>108391624.69381809</v>
      </c>
    </row>
    <row r="19" spans="1:11" ht="12.75">
      <c r="A19" s="12">
        <f t="shared" si="0"/>
        <v>11</v>
      </c>
      <c r="B19" s="27" t="s">
        <v>26</v>
      </c>
      <c r="C19" s="12">
        <v>43</v>
      </c>
      <c r="D19" s="23">
        <v>166315853.19</v>
      </c>
      <c r="E19" s="20">
        <v>12849803.29962418</v>
      </c>
      <c r="G19" s="16">
        <f>E19/(E$32-E$22)</f>
        <v>0.007142438986389815</v>
      </c>
      <c r="H19" s="17">
        <v>1</v>
      </c>
      <c r="I19" s="18">
        <f>+$I$35*$I$36*H19</f>
        <v>0.08962582423917557</v>
      </c>
      <c r="J19" s="20">
        <f>+E19*I19</f>
        <v>1151674.2120400951</v>
      </c>
      <c r="K19" s="20">
        <f>+E19+J19</f>
        <v>14001477.511664275</v>
      </c>
    </row>
    <row r="20" spans="1:11" ht="12.75">
      <c r="A20" s="12">
        <f t="shared" si="0"/>
        <v>12</v>
      </c>
      <c r="B20" s="13" t="s">
        <v>27</v>
      </c>
      <c r="C20" s="12"/>
      <c r="D20" s="25">
        <f>SUM(D18:D19)</f>
        <v>1541748142.6700003</v>
      </c>
      <c r="E20" s="15">
        <f>SUM(E18:E19)</f>
        <v>112325808.9913045</v>
      </c>
      <c r="G20" s="21"/>
      <c r="J20" s="15">
        <f>SUM(J18:J19)</f>
        <v>10067293.214177866</v>
      </c>
      <c r="K20" s="15">
        <f>SUM(K18:K19)</f>
        <v>122393102.20548236</v>
      </c>
    </row>
    <row r="21" spans="1:7" ht="12.75">
      <c r="A21" s="12">
        <f t="shared" si="0"/>
        <v>13</v>
      </c>
      <c r="C21" s="12"/>
      <c r="D21" s="28"/>
      <c r="E21" s="29"/>
      <c r="G21" s="30"/>
    </row>
    <row r="22" spans="1:11" ht="12.75">
      <c r="A22" s="12">
        <f t="shared" si="0"/>
        <v>14</v>
      </c>
      <c r="B22" s="13" t="s">
        <v>28</v>
      </c>
      <c r="C22" s="12">
        <v>40</v>
      </c>
      <c r="D22" s="31">
        <v>616525728</v>
      </c>
      <c r="E22" s="15">
        <v>38977288.19174409</v>
      </c>
      <c r="G22" s="21"/>
      <c r="I22" s="18">
        <f>(J22/E22)</f>
        <v>0.046429811620086435</v>
      </c>
      <c r="J22" s="29">
        <f>+F49</f>
        <v>1809708.1482044975</v>
      </c>
      <c r="K22" s="15">
        <f>+E22+J22</f>
        <v>40786996.33994859</v>
      </c>
    </row>
    <row r="23" spans="1:7" ht="12.75">
      <c r="A23" s="12">
        <f t="shared" si="0"/>
        <v>15</v>
      </c>
      <c r="C23" s="12"/>
      <c r="D23" s="28"/>
      <c r="E23" s="29"/>
      <c r="G23" s="30"/>
    </row>
    <row r="24" spans="1:11" ht="12.75">
      <c r="A24" s="12">
        <f t="shared" si="0"/>
        <v>16</v>
      </c>
      <c r="B24" s="24" t="s">
        <v>29</v>
      </c>
      <c r="C24" s="12" t="s">
        <v>30</v>
      </c>
      <c r="D24" s="31">
        <v>559456743</v>
      </c>
      <c r="E24" s="15">
        <v>31895919.278871965</v>
      </c>
      <c r="G24" s="16">
        <f>E24/(E$32-E$22)</f>
        <v>0.017729038495929394</v>
      </c>
      <c r="H24" s="17">
        <v>1</v>
      </c>
      <c r="I24" s="18">
        <f>+$I$35*$I$36*H24</f>
        <v>0.08962582423917557</v>
      </c>
      <c r="J24" s="15">
        <f>+E24*I24</f>
        <v>2858698.05523511</v>
      </c>
      <c r="K24" s="15">
        <f>+E24+J24</f>
        <v>34754617.33410707</v>
      </c>
    </row>
    <row r="25" spans="1:11" ht="12.75">
      <c r="A25" s="12">
        <f t="shared" si="0"/>
        <v>17</v>
      </c>
      <c r="C25" s="12"/>
      <c r="D25" s="28"/>
      <c r="E25" s="29"/>
      <c r="G25" s="30"/>
      <c r="J25" s="32"/>
      <c r="K25" s="32"/>
    </row>
    <row r="26" spans="1:11" ht="12.75">
      <c r="A26" s="12">
        <f t="shared" si="0"/>
        <v>18</v>
      </c>
      <c r="B26" s="24" t="s">
        <v>31</v>
      </c>
      <c r="C26" s="12">
        <v>449</v>
      </c>
      <c r="D26" s="31">
        <v>2114957127</v>
      </c>
      <c r="E26" s="15">
        <v>8667087.28415802</v>
      </c>
      <c r="G26" s="16">
        <f>E26/(E$32-E$22)</f>
        <v>0.004817516710051443</v>
      </c>
      <c r="H26" s="17">
        <v>0</v>
      </c>
      <c r="I26" s="18">
        <f>+$I$35*$I$36*H26</f>
        <v>0</v>
      </c>
      <c r="J26" s="15">
        <f>+E26*I26</f>
        <v>0</v>
      </c>
      <c r="K26" s="15">
        <f>+E26+J26</f>
        <v>8667087.28415802</v>
      </c>
    </row>
    <row r="27" spans="1:10" ht="12.75">
      <c r="A27" s="12">
        <f t="shared" si="0"/>
        <v>19</v>
      </c>
      <c r="C27" s="12"/>
      <c r="D27" s="28"/>
      <c r="E27" s="29"/>
      <c r="G27" s="30"/>
      <c r="J27" s="32"/>
    </row>
    <row r="28" spans="1:11" ht="12.75">
      <c r="A28" s="12">
        <f t="shared" si="0"/>
        <v>20</v>
      </c>
      <c r="B28" s="2" t="s">
        <v>32</v>
      </c>
      <c r="C28" s="12" t="s">
        <v>33</v>
      </c>
      <c r="D28" s="31">
        <v>79343267.5189</v>
      </c>
      <c r="E28" s="15">
        <v>15450313.556139601</v>
      </c>
      <c r="G28" s="16">
        <f>E28/(E$32-E$22)</f>
        <v>0.008587907481707993</v>
      </c>
      <c r="H28" s="17">
        <v>0.75</v>
      </c>
      <c r="I28" s="18">
        <f>+$I$35*$I$36*H28</f>
        <v>0.06721936817938168</v>
      </c>
      <c r="J28" s="15">
        <f>+E28*I28</f>
        <v>1038560.3154170397</v>
      </c>
      <c r="K28" s="15">
        <f>+E28+J28</f>
        <v>16488873.871556642</v>
      </c>
    </row>
    <row r="29" spans="1:11" ht="12.75">
      <c r="A29" s="12">
        <f t="shared" si="0"/>
        <v>21</v>
      </c>
      <c r="C29" s="12"/>
      <c r="D29" s="28"/>
      <c r="E29" s="29"/>
      <c r="G29" s="30"/>
      <c r="J29" s="32"/>
      <c r="K29" s="32"/>
    </row>
    <row r="30" spans="1:11" ht="12.75">
      <c r="A30" s="12">
        <f t="shared" si="0"/>
        <v>22</v>
      </c>
      <c r="B30" s="2" t="s">
        <v>34</v>
      </c>
      <c r="C30" s="33" t="s">
        <v>35</v>
      </c>
      <c r="D30" s="31">
        <v>155517683</v>
      </c>
      <c r="E30" s="15">
        <v>1142422.59152</v>
      </c>
      <c r="G30" s="16">
        <f>E30/(E$32-E$22)</f>
        <v>0.0006350045573727639</v>
      </c>
      <c r="H30" s="17">
        <v>1</v>
      </c>
      <c r="I30" s="18">
        <f>+$I$35*$I$36*H30</f>
        <v>0.08962582423917557</v>
      </c>
      <c r="J30" s="15">
        <f>+E30*I30</f>
        <v>102390.566394435</v>
      </c>
      <c r="K30" s="15">
        <f>+E30+J30</f>
        <v>1244813.157914435</v>
      </c>
    </row>
    <row r="31" spans="1:7" ht="12.75">
      <c r="A31" s="12">
        <f t="shared" si="0"/>
        <v>23</v>
      </c>
      <c r="C31" s="12"/>
      <c r="D31" s="34"/>
      <c r="E31" s="29"/>
      <c r="G31" s="29"/>
    </row>
    <row r="32" spans="1:11" ht="13.5" thickBot="1">
      <c r="A32" s="12">
        <f t="shared" si="0"/>
        <v>24</v>
      </c>
      <c r="B32" s="2" t="s">
        <v>36</v>
      </c>
      <c r="C32" s="12"/>
      <c r="D32" s="35">
        <f>SUM(D30,D28,D26,D22,D24,D20,D15,D9)</f>
        <v>23546476782.7338</v>
      </c>
      <c r="E32" s="36">
        <f>SUM(E30,E28,E26,E22,E24,E20,E15,E9)</f>
        <v>1838055071.5805783</v>
      </c>
      <c r="F32" s="36">
        <v>165161545</v>
      </c>
      <c r="G32" s="37">
        <f>SUM(G9:G30)</f>
        <v>1.0000000000000002</v>
      </c>
      <c r="H32" s="36"/>
      <c r="I32" s="37">
        <f>+F32/E32</f>
        <v>0.08985669012516283</v>
      </c>
      <c r="J32" s="36">
        <f>SUM(J30,J28,J26,J22,J24,J20,J15,J9)</f>
        <v>165161545</v>
      </c>
      <c r="K32" s="36">
        <f>SUM(K30,K28,K26,K22,K24,K20,K15,K9)</f>
        <v>2003216616.5805783</v>
      </c>
    </row>
    <row r="33" spans="1:11" ht="14.25" thickBot="1" thickTop="1">
      <c r="A33" s="12">
        <f t="shared" si="0"/>
        <v>25</v>
      </c>
      <c r="C33" s="12"/>
      <c r="D33" s="38"/>
      <c r="E33" s="29"/>
      <c r="G33" s="29"/>
      <c r="K33" s="39"/>
    </row>
    <row r="34" spans="1:9" ht="12.75">
      <c r="A34" s="12">
        <f t="shared" si="0"/>
        <v>26</v>
      </c>
      <c r="B34" s="40" t="s">
        <v>37</v>
      </c>
      <c r="C34" s="41"/>
      <c r="D34" s="41"/>
      <c r="E34" s="41"/>
      <c r="F34" s="42">
        <v>1</v>
      </c>
      <c r="G34" s="43"/>
      <c r="H34" s="42"/>
      <c r="I34" s="44">
        <f>F32/(E32)</f>
        <v>0.08985669012516283</v>
      </c>
    </row>
    <row r="35" spans="1:11" ht="12.75">
      <c r="A35" s="12">
        <f t="shared" si="0"/>
        <v>27</v>
      </c>
      <c r="B35" s="45" t="s">
        <v>38</v>
      </c>
      <c r="C35" s="46"/>
      <c r="D35" s="46"/>
      <c r="E35" s="46"/>
      <c r="F35" s="32"/>
      <c r="G35" s="32"/>
      <c r="H35" s="32"/>
      <c r="I35" s="47">
        <f>(F32-J22)/SUM(E32-E22)</f>
        <v>0.0907975399174224</v>
      </c>
      <c r="K35" s="39"/>
    </row>
    <row r="36" spans="1:11" ht="13.5" thickBot="1">
      <c r="A36" s="12">
        <f t="shared" si="0"/>
        <v>28</v>
      </c>
      <c r="B36" s="48" t="s">
        <v>39</v>
      </c>
      <c r="C36" s="49"/>
      <c r="D36" s="49"/>
      <c r="E36" s="49"/>
      <c r="F36" s="50"/>
      <c r="G36" s="50"/>
      <c r="H36" s="50"/>
      <c r="I36" s="51">
        <f>1/SUMPRODUCT($H$9:$H$30,$G$9:$G$30)</f>
        <v>0.9870952926773956</v>
      </c>
      <c r="K36" s="39"/>
    </row>
    <row r="37" spans="1:11" ht="13.5" thickBot="1">
      <c r="A37" s="12">
        <f t="shared" si="0"/>
        <v>29</v>
      </c>
      <c r="B37" s="52" t="s">
        <v>40</v>
      </c>
      <c r="C37" s="53"/>
      <c r="D37" s="53"/>
      <c r="E37" s="53"/>
      <c r="F37" s="54"/>
      <c r="G37" s="54"/>
      <c r="H37" s="54"/>
      <c r="I37" s="55">
        <f>I36*I35</f>
        <v>0.08962582423917557</v>
      </c>
      <c r="K37" s="39"/>
    </row>
    <row r="38" spans="1:5" ht="13.5" thickBot="1">
      <c r="A38" s="12">
        <f t="shared" si="0"/>
        <v>30</v>
      </c>
      <c r="B38" s="46"/>
      <c r="C38" s="46"/>
      <c r="D38" s="46"/>
      <c r="E38" s="46"/>
    </row>
    <row r="39" spans="1:6" ht="12.75">
      <c r="A39" s="12">
        <f t="shared" si="0"/>
        <v>31</v>
      </c>
      <c r="B39" s="56" t="s">
        <v>41</v>
      </c>
      <c r="C39" s="57"/>
      <c r="D39" s="57"/>
      <c r="E39" s="57"/>
      <c r="F39" s="58">
        <v>174819117</v>
      </c>
    </row>
    <row r="40" spans="1:6" ht="12.75">
      <c r="A40" s="12">
        <f t="shared" si="0"/>
        <v>32</v>
      </c>
      <c r="B40" s="45" t="s">
        <v>42</v>
      </c>
      <c r="C40" s="59"/>
      <c r="D40" s="59"/>
      <c r="E40" s="59"/>
      <c r="F40" s="60">
        <f>+F32-F39</f>
        <v>-9657572</v>
      </c>
    </row>
    <row r="41" spans="1:7" ht="12.75" customHeight="1" thickBot="1">
      <c r="A41" s="12">
        <f t="shared" si="0"/>
        <v>33</v>
      </c>
      <c r="B41" s="61" t="s">
        <v>43</v>
      </c>
      <c r="C41" s="62"/>
      <c r="D41" s="62"/>
      <c r="E41" s="62"/>
      <c r="F41" s="63">
        <f>+F40/F39</f>
        <v>-0.05524322605976782</v>
      </c>
      <c r="G41" s="64"/>
    </row>
    <row r="42" spans="1:7" ht="12.75" customHeight="1" thickBot="1">
      <c r="A42" s="12">
        <f t="shared" si="0"/>
        <v>34</v>
      </c>
      <c r="B42" s="65"/>
      <c r="C42" s="64"/>
      <c r="D42" s="64"/>
      <c r="E42" s="64"/>
      <c r="F42" s="66"/>
      <c r="G42" s="64"/>
    </row>
    <row r="43" spans="1:6" ht="12.75">
      <c r="A43" s="12">
        <f t="shared" si="0"/>
        <v>35</v>
      </c>
      <c r="B43" s="67" t="s">
        <v>44</v>
      </c>
      <c r="C43" s="68"/>
      <c r="D43" s="68"/>
      <c r="E43" s="68"/>
      <c r="F43" s="69"/>
    </row>
    <row r="44" spans="1:6" ht="12.75">
      <c r="A44" s="12">
        <f t="shared" si="0"/>
        <v>36</v>
      </c>
      <c r="B44" s="70" t="s">
        <v>45</v>
      </c>
      <c r="C44" s="59"/>
      <c r="D44" s="59"/>
      <c r="E44" s="59"/>
      <c r="F44" s="60">
        <v>1669353.596140582</v>
      </c>
    </row>
    <row r="45" spans="1:6" ht="12.75">
      <c r="A45" s="12">
        <f t="shared" si="0"/>
        <v>37</v>
      </c>
      <c r="B45" s="70" t="s">
        <v>46</v>
      </c>
      <c r="C45" s="59"/>
      <c r="D45" s="59"/>
      <c r="E45" s="59"/>
      <c r="F45" s="60">
        <v>815871.5</v>
      </c>
    </row>
    <row r="46" spans="1:6" ht="12.75">
      <c r="A46" s="12">
        <f t="shared" si="0"/>
        <v>38</v>
      </c>
      <c r="B46" s="70" t="s">
        <v>47</v>
      </c>
      <c r="C46" s="59"/>
      <c r="D46" s="59"/>
      <c r="E46" s="59"/>
      <c r="F46" s="71">
        <f>SUM(F44:F45)</f>
        <v>2485225.096140582</v>
      </c>
    </row>
    <row r="47" spans="1:6" ht="12.75">
      <c r="A47" s="12">
        <f t="shared" si="0"/>
        <v>39</v>
      </c>
      <c r="B47" s="45" t="s">
        <v>48</v>
      </c>
      <c r="C47" s="59"/>
      <c r="D47" s="59"/>
      <c r="E47" s="59"/>
      <c r="F47" s="60">
        <f>+F46*(F41)</f>
        <v>-137291.85179550239</v>
      </c>
    </row>
    <row r="48" spans="1:6" ht="12.75">
      <c r="A48" s="12">
        <f t="shared" si="0"/>
        <v>40</v>
      </c>
      <c r="B48" s="70" t="s">
        <v>49</v>
      </c>
      <c r="C48" s="59"/>
      <c r="D48" s="59"/>
      <c r="E48" s="59"/>
      <c r="F48" s="60">
        <v>1947000</v>
      </c>
    </row>
    <row r="49" spans="1:6" ht="13.5" thickBot="1">
      <c r="A49" s="12">
        <f t="shared" si="0"/>
        <v>41</v>
      </c>
      <c r="B49" s="70" t="s">
        <v>50</v>
      </c>
      <c r="C49" s="59"/>
      <c r="D49" s="59"/>
      <c r="E49" s="59"/>
      <c r="F49" s="72">
        <f>+F48+F47</f>
        <v>1809708.1482044975</v>
      </c>
    </row>
    <row r="50" spans="1:6" ht="14.25" thickBot="1" thickTop="1">
      <c r="A50" s="12">
        <f t="shared" si="0"/>
        <v>42</v>
      </c>
      <c r="B50" s="73"/>
      <c r="C50" s="74"/>
      <c r="D50" s="74"/>
      <c r="E50" s="74"/>
      <c r="F50" s="51"/>
    </row>
  </sheetData>
  <mergeCells count="20">
    <mergeCell ref="A1:K1"/>
    <mergeCell ref="A3:K3"/>
    <mergeCell ref="A4:K4"/>
    <mergeCell ref="B39:E39"/>
    <mergeCell ref="A2:K2"/>
    <mergeCell ref="B40:E40"/>
    <mergeCell ref="B41:E41"/>
    <mergeCell ref="B34:E34"/>
    <mergeCell ref="B35:E35"/>
    <mergeCell ref="B36:E36"/>
    <mergeCell ref="B37:E37"/>
    <mergeCell ref="B38:E38"/>
    <mergeCell ref="B47:E47"/>
    <mergeCell ref="B48:E48"/>
    <mergeCell ref="B49:E49"/>
    <mergeCell ref="B50:E50"/>
    <mergeCell ref="B43:F43"/>
    <mergeCell ref="B44:E44"/>
    <mergeCell ref="B45:E45"/>
    <mergeCell ref="B46:E46"/>
  </mergeCells>
  <printOptions horizontalCentered="1"/>
  <pageMargins left="0.75" right="0.75" top="0.76" bottom="0.58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No Name</cp:lastModifiedBy>
  <cp:lastPrinted>2008-06-28T23:06:31Z</cp:lastPrinted>
  <dcterms:created xsi:type="dcterms:W3CDTF">2008-06-11T23:22:31Z</dcterms:created>
  <dcterms:modified xsi:type="dcterms:W3CDTF">2008-06-28T23:07:06Z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